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C.Otros!$F$10:$H$12</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Calculos!$AA$160:$AA$161</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CONDICION_AUTO">Calculos!$AA$158</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CONDICION_AUTO">Calculos!$Y$157</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PREFERENTE">C.Otros!$A$19</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Y157" i="1" l="1"/>
  <c r="C16" i="5" l="1"/>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15"/>
  <c r="D15" i="27" l="1"/>
  <c r="K4" i="96" l="1"/>
  <c r="K5"/>
  <c r="K6"/>
  <c r="K7"/>
  <c r="K8"/>
  <c r="K9"/>
  <c r="E133" i="1" l="1"/>
  <c r="C12" i="94" l="1"/>
  <c r="C24"/>
  <c r="D24" s="1"/>
  <c r="B21"/>
  <c r="B8" i="8"/>
  <c r="I10" s="1"/>
  <c r="O6" i="1" l="1"/>
  <c r="I8" i="96" l="1"/>
  <c r="L8" s="1"/>
  <c r="I7"/>
  <c r="L7" s="1"/>
  <c r="I9"/>
  <c r="L9" s="1"/>
  <c r="I6"/>
  <c r="L6" s="1"/>
  <c r="I5"/>
  <c r="L5" s="1"/>
  <c r="I4"/>
  <c r="L4" s="1"/>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A6" l="1"/>
  <c r="D6" s="1"/>
  <c r="D12" i="94"/>
  <c r="X137" i="1" l="1"/>
  <c r="Y137" s="1"/>
  <c r="X103"/>
  <c r="Y103" s="1"/>
  <c r="X104"/>
  <c r="X60"/>
  <c r="Y60"/>
  <c r="X61"/>
  <c r="Y61"/>
  <c r="X62"/>
  <c r="X63"/>
  <c r="X64"/>
  <c r="X65"/>
  <c r="X66"/>
  <c r="X67"/>
  <c r="X68"/>
  <c r="X69"/>
  <c r="X77"/>
  <c r="Y77" s="1"/>
  <c r="X78"/>
  <c r="X79"/>
  <c r="X95"/>
  <c r="Y95"/>
  <c r="Y51"/>
  <c r="X51"/>
  <c r="X52"/>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R12"/>
  <c r="B8"/>
  <c r="E44" s="1"/>
  <c r="E9"/>
  <c r="B7"/>
  <c r="E118" s="1"/>
  <c r="B11"/>
  <c r="E64" s="1"/>
  <c r="E65" s="1"/>
  <c r="O27"/>
  <c r="AA20"/>
  <c r="E5" i="5"/>
  <c r="X112" i="1"/>
  <c r="E69"/>
  <c r="E156"/>
  <c r="F52" i="7"/>
  <c r="F98" i="1"/>
  <c r="F22" i="7"/>
  <c r="F101" i="1"/>
  <c r="E70" i="7"/>
  <c r="F103" i="1"/>
  <c r="F32"/>
  <c r="F31" s="1"/>
  <c r="G32"/>
  <c r="G31" s="1"/>
  <c r="P19"/>
  <c r="P23"/>
  <c r="Q23" s="1"/>
  <c r="B4" i="27" s="1"/>
  <c r="AA32" i="1"/>
  <c r="AA33"/>
  <c r="Y38"/>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E134" i="1"/>
  <c r="H29" i="31"/>
  <c r="B18" i="80" s="1"/>
  <c r="B38" s="1"/>
  <c r="B10" i="31"/>
  <c r="B18" i="84" s="1"/>
  <c r="K9" i="31"/>
  <c r="B17" i="85" s="1"/>
  <c r="K28" i="31"/>
  <c r="B17" i="78" s="1"/>
  <c r="B21" s="1"/>
  <c r="E29" i="31"/>
  <c r="B18" i="81" s="1"/>
  <c r="B29" i="31"/>
  <c r="B18" i="82" s="1"/>
  <c r="H10" i="31"/>
  <c r="B18" i="83" s="1"/>
  <c r="B41" s="1"/>
  <c r="D7" i="28"/>
  <c r="AA160" i="1" l="1"/>
  <c r="AA161"/>
  <c r="B19" i="94"/>
  <c r="AA43" i="1"/>
  <c r="AA44"/>
  <c r="B18" i="31"/>
  <c r="B26" i="84" s="1"/>
  <c r="H18" i="31"/>
  <c r="B26" i="83" s="1"/>
  <c r="P27" i="1"/>
  <c r="Q27" s="1"/>
  <c r="Q30" s="1"/>
  <c r="Q33" s="1"/>
  <c r="C3" i="27" s="1"/>
  <c r="Q19" i="1"/>
  <c r="B6" i="8"/>
  <c r="H7" s="1"/>
  <c r="B8" i="94"/>
  <c r="B6" i="95" s="1"/>
  <c r="B7" i="94"/>
  <c r="B5" i="95" s="1"/>
  <c r="K8" s="1"/>
  <c r="E43" i="1"/>
  <c r="E41"/>
  <c r="E42"/>
  <c r="E40"/>
  <c r="F47"/>
  <c r="G47"/>
  <c r="F172"/>
  <c r="E60"/>
  <c r="E61" s="1"/>
  <c r="E119"/>
  <c r="E135" s="1"/>
  <c r="B31" i="31" s="1"/>
  <c r="B20" i="82" s="1"/>
  <c r="E116" i="1"/>
  <c r="Y48" s="1"/>
  <c r="E115"/>
  <c r="E117"/>
  <c r="B9" i="94" s="1"/>
  <c r="B7" i="95" s="1"/>
  <c r="L8" s="1"/>
  <c r="C47" i="3"/>
  <c r="E58" i="1"/>
  <c r="E59"/>
  <c r="E62"/>
  <c r="E164" s="1"/>
  <c r="E165" s="1"/>
  <c r="Y57"/>
  <c r="AA66" s="1"/>
  <c r="Y109"/>
  <c r="R19"/>
  <c r="X113"/>
  <c r="Y112"/>
  <c r="Y74"/>
  <c r="AA77"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4" i="1" s="1"/>
  <c r="B33" i="82"/>
  <c r="B33" i="81"/>
  <c r="B33" i="80"/>
  <c r="AA158" i="1" l="1" a="1"/>
  <c r="AA158" s="1"/>
  <c r="AA39" a="1"/>
  <c r="AA39" s="1"/>
  <c r="B7" i="8"/>
  <c r="I7" s="1"/>
  <c r="I9" s="1"/>
  <c r="I12" s="1"/>
  <c r="L6" s="1"/>
  <c r="L9" i="95"/>
  <c r="O5" s="1"/>
  <c r="H9" i="26"/>
  <c r="W140" i="1"/>
  <c r="E176"/>
  <c r="D16" i="28" s="1"/>
  <c r="S19" i="1"/>
  <c r="T19" s="1"/>
  <c r="B48" i="27" s="1"/>
  <c r="E68" i="1"/>
  <c r="E72" s="1"/>
  <c r="E63"/>
  <c r="AA61"/>
  <c r="AA67"/>
  <c r="AA68"/>
  <c r="AA69"/>
  <c r="AA60"/>
  <c r="AA62"/>
  <c r="AA63"/>
  <c r="AA64"/>
  <c r="AA65"/>
  <c r="AA112"/>
  <c r="D7" i="5"/>
  <c r="Y113" i="1"/>
  <c r="AA113" s="1"/>
  <c r="AA79"/>
  <c r="AA78"/>
  <c r="AA52"/>
  <c r="AA51"/>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9" a="1"/>
  <c r="AA49" s="1"/>
  <c r="E71"/>
  <c r="F107" s="1"/>
  <c r="F106" s="1"/>
  <c r="AA58" a="1"/>
  <c r="AA58" s="1"/>
  <c r="E8" i="5"/>
  <c r="Y114" i="1"/>
  <c r="AA114" s="1"/>
  <c r="AA75" a="1"/>
  <c r="AA75"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5" i="1" s="1"/>
  <c r="AA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6" i="1"/>
  <c r="AA116"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AA110" i="1" l="1" a="1"/>
  <c r="AA110" s="1"/>
  <c r="G87"/>
  <c r="E21"/>
  <c r="X140" s="1"/>
  <c r="Y140" s="1"/>
  <c r="Y142" s="1"/>
  <c r="Y145" s="1"/>
  <c r="E20"/>
  <c r="E19"/>
  <c r="O22" i="81"/>
  <c r="O22" i="82"/>
  <c r="L22" i="83"/>
  <c r="L22" i="84"/>
  <c r="G23" i="9"/>
  <c r="O23" i="80" s="1"/>
  <c r="F23" i="9"/>
  <c r="B24" i="28" s="1"/>
  <c r="J24" i="9"/>
  <c r="U25"/>
  <c r="V24"/>
  <c r="AA148" i="1" l="1"/>
  <c r="AA149"/>
  <c r="AA150"/>
  <c r="AA151"/>
  <c r="AA152"/>
  <c r="E22"/>
  <c r="E26" s="1"/>
  <c r="G24" i="9"/>
  <c r="O24" i="80" s="1"/>
  <c r="L23" i="83"/>
  <c r="O23" i="81"/>
  <c r="L23" i="84"/>
  <c r="O23" i="82"/>
  <c r="F24" i="9"/>
  <c r="B25" i="28" s="1"/>
  <c r="J25" i="9"/>
  <c r="U26"/>
  <c r="V25"/>
  <c r="E31" i="1" l="1"/>
  <c r="AA146" a="1"/>
  <c r="AA146"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D19" i="27"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E139" i="1" l="1"/>
  <c r="F8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C12" i="28" l="1"/>
  <c r="D35" i="27"/>
  <c r="F84" i="1"/>
  <c r="E84" s="1"/>
  <c r="E35"/>
  <c r="G91" s="1"/>
  <c r="E177"/>
  <c r="E10" i="28" s="1"/>
  <c r="D26" i="27"/>
  <c r="L7" i="1"/>
  <c r="E143"/>
  <c r="L27" i="83"/>
  <c r="G28" i="9"/>
  <c r="O28" i="80" s="1"/>
  <c r="O27" i="81"/>
  <c r="L27" i="84"/>
  <c r="F28" i="9"/>
  <c r="B29" i="28" s="1"/>
  <c r="O27" i="82"/>
  <c r="J29" i="9"/>
  <c r="U30"/>
  <c r="V29"/>
  <c r="B46" i="82"/>
  <c r="B46" i="81"/>
  <c r="F91" i="1" l="1"/>
  <c r="E91" s="1"/>
  <c r="E144"/>
  <c r="L13" s="1"/>
  <c r="E37"/>
  <c r="Y92" s="1"/>
  <c r="AA95" s="1"/>
  <c r="AA93" s="1" a="1"/>
  <c r="AA93" s="1"/>
  <c r="O28" i="82"/>
  <c r="O28" i="81"/>
  <c r="L28" i="84"/>
  <c r="L28" i="83"/>
  <c r="F29" i="9"/>
  <c r="B30" i="28" s="1"/>
  <c r="G29" i="9"/>
  <c r="O29" i="80" s="1"/>
  <c r="J30" i="9"/>
  <c r="U31"/>
  <c r="V30"/>
  <c r="E145" i="1" l="1"/>
  <c r="E162" s="1"/>
  <c r="C11" i="28"/>
  <c r="E124" i="1"/>
  <c r="E127" s="1"/>
  <c r="Y84"/>
  <c r="AA87" s="1"/>
  <c r="AA85" s="1" a="1"/>
  <c r="AA85" s="1"/>
  <c r="D32" i="27"/>
  <c r="Y100" i="1"/>
  <c r="AA103" s="1"/>
  <c r="F46"/>
  <c r="G46" s="1"/>
  <c r="G45" s="1"/>
  <c r="G30" i="9"/>
  <c r="O30" i="80" s="1"/>
  <c r="L29" i="83"/>
  <c r="F30" i="9"/>
  <c r="B31" i="28" s="1"/>
  <c r="O29" i="81"/>
  <c r="O29" i="82"/>
  <c r="L29" i="84"/>
  <c r="J31" i="9"/>
  <c r="U32"/>
  <c r="V31"/>
  <c r="D27" i="27" l="1"/>
  <c r="D33"/>
  <c r="C15" i="26"/>
  <c r="E161" i="1"/>
  <c r="E163" s="1"/>
  <c r="B27" i="31"/>
  <c r="B16" i="82" s="1"/>
  <c r="H180" s="1"/>
  <c r="C7" i="26"/>
  <c r="AA104" i="1"/>
  <c r="AA101" s="1" a="1"/>
  <c r="AA101" s="1"/>
  <c r="E148"/>
  <c r="F45"/>
  <c r="E45" s="1"/>
  <c r="F97" s="1"/>
  <c r="F95" s="1"/>
  <c r="G31" i="9"/>
  <c r="O31" i="80" s="1"/>
  <c r="O30" i="81"/>
  <c r="L30" i="84"/>
  <c r="L30" i="83"/>
  <c r="O30" i="82"/>
  <c r="F31" i="9"/>
  <c r="B32" i="28" s="1"/>
  <c r="J32" i="9"/>
  <c r="U33"/>
  <c r="V32"/>
  <c r="B30" i="82"/>
  <c r="B30" i="81"/>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D71" i="28"/>
  <c r="N70" i="85"/>
  <c r="L70" l="1"/>
  <c r="G71" i="28" s="1"/>
  <c r="O71" i="83"/>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D87" i="28"/>
  <c r="N86" i="85"/>
  <c r="L86" l="1"/>
  <c r="G87" i="28" s="1"/>
  <c r="O87" i="83"/>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N267" i="85"/>
  <c r="L267" l="1"/>
  <c r="G268" i="28" s="1"/>
  <c r="O268" i="83"/>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<sst xmlns="http://schemas.openxmlformats.org/spreadsheetml/2006/main" count="18017" uniqueCount="11082">
  <si>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</si>
  <si>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</si>
  <si>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</si>
  <si>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</si>
  <si>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</si>
  <si>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</si>
  <si>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</si>
  <si>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</si>
  <si>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</si>
  <si>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</si>
  <si>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</si>
  <si>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</si>
  <si>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</si>
  <si>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</si>
  <si>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</si>
  <si>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</si>
  <si>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</si>
  <si>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</si>
  <si>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</si>
  <si>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</si>
  <si>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</si>
  <si>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</si>
  <si>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</si>
  <si>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</si>
  <si>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</si>
  <si>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</si>
  <si>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</si>
  <si>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</si>
  <si>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</si>
  <si>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</si>
  <si>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</si>
  <si>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</si>
  <si>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</si>
  <si>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</si>
  <si>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</si>
  <si>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</si>
  <si>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</si>
  <si>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</si>
  <si>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</si>
  <si>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</si>
  <si>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</si>
  <si>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</si>
  <si>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</si>
  <si>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</si>
  <si>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</si>
  <si>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</si>
  <si>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</si>
  <si>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</si>
  <si>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</si>
  <si>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</si>
  <si>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</si>
  <si>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</si>
  <si>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</si>
  <si>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</si>
  <si>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</si>
  <si>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</si>
  <si>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</si>
  <si>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</si>
  <si>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</si>
  <si>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</si>
  <si>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</si>
  <si>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</si>
  <si>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</si>
  <si>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</si>
  <si>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</si>
  <si>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</si>
  <si>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</si>
  <si>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</si>
  <si>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</si>
  <si>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</si>
  <si>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</si>
  <si>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</si>
  <si>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</si>
  <si>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</si>
  <si>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</si>
  <si>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</si>
  <si>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</si>
  <si>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</si>
  <si>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</si>
  <si>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</si>
  <si>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</si>
  <si>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</si>
  <si>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</si>
  <si>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</si>
  <si>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</si>
  <si>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</si>
  <si>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</si>
  <si>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</si>
  <si>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</si>
  <si>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</si>
  <si>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</si>
  <si>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</si>
  <si>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</si>
  <si>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</si>
  <si>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</si>
  <si>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</si>
  <si>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</si>
  <si>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</si>
  <si>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</si>
  <si>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</si>
  <si>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</si>
  <si>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</si>
  <si>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</si>
  <si>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</si>
  <si>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</si>
  <si>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</si>
  <si>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</si>
  <si>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</si>
  <si>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</si>
  <si>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</si>
  <si>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</si>
  <si>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</si>
  <si>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</si>
  <si>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</si>
  <si>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</si>
  <si>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</si>
  <si>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</si>
  <si>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</si>
  <si>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</si>
  <si>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</si>
  <si>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</si>
  <si>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</si>
  <si>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</si>
  <si>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</si>
  <si>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</si>
  <si>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</si>
  <si>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</si>
  <si>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</si>
  <si>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</si>
  <si>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</si>
  <si>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</si>
  <si>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</si>
  <si>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</si>
  <si>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</si>
  <si>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</si>
  <si>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</si>
  <si>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</si>
  <si>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</si>
  <si>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</si>
  <si>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</si>
  <si>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</si>
  <si>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</si>
  <si>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</si>
  <si>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</si>
  <si>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</si>
  <si>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</si>
  <si>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</si>
  <si>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</si>
  <si>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</si>
  <si>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</si>
  <si>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</si>
  <si>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</si>
  <si>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</si>
  <si>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</si>
  <si>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</si>
  <si>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</si>
  <si>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</si>
  <si>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</si>
  <si>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</si>
  <si>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</si>
  <si>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</si>
  <si>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</si>
  <si>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</si>
  <si>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</si>
  <si>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</si>
  <si>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</si>
  <si>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</si>
  <si>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</si>
  <si>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</si>
  <si>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</si>
  <si>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</si>
  <si>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</si>
  <si>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</si>
  <si>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</si>
  <si>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</si>
  <si>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</si>
  <si>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</si>
  <si>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</si>
  <si>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</si>
  <si>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</si>
  <si>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</si>
  <si>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</si>
  <si>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</si>
  <si>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</si>
  <si>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</si>
  <si>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</si>
  <si>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</si>
  <si>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</si>
  <si>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</si>
  <si>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</si>
  <si>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</si>
  <si>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</si>
  <si>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</si>
  <si>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</si>
  <si>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</si>
  <si>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</si>
  <si>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</si>
  <si>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</si>
  <si>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</si>
  <si>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</si>
  <si>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</si>
  <si>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</si>
  <si>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</si>
  <si>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</si>
  <si>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</si>
  <si>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</si>
  <si>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</si>
  <si>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</si>
  <si>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</si>
  <si>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</si>
  <si>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</si>
  <si>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</si>
  <si>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</si>
  <si>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</si>
  <si>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</si>
  <si>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</si>
  <si>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</si>
  <si>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</si>
  <si>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</si>
  <si>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</si>
  <si>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</si>
  <si>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</si>
  <si>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</si>
  <si>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</si>
  <si>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</si>
  <si>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</si>
  <si>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</si>
  <si>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</si>
  <si>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</si>
  <si>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</si>
  <si>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</si>
  <si>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</si>
  <si>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</si>
  <si>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</si>
  <si>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</si>
  <si>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</si>
  <si>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</si>
  <si>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</si>
  <si>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</si>
  <si>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</si>
  <si>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</si>
  <si>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</si>
  <si>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</si>
  <si>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</si>
  <si>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</si>
  <si>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</si>
  <si>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</si>
  <si>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</si>
  <si>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</si>
  <si>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</si>
  <si>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</si>
  <si>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</si>
  <si>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</si>
  <si>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</si>
  <si>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</si>
  <si>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</si>
  <si>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</si>
  <si>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</si>
  <si>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</si>
  <si>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</si>
  <si>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</si>
  <si>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</si>
  <si>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</si>
  <si>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</si>
  <si>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</si>
  <si>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</si>
  <si>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</si>
  <si>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</si>
  <si>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</si>
  <si>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</si>
  <si>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</si>
  <si>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</si>
  <si>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</si>
  <si>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</si>
  <si>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</si>
  <si>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</si>
  <si>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</si>
  <si>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</si>
  <si>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</si>
  <si>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</si>
  <si>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</si>
  <si>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</si>
  <si>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</si>
  <si>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</si>
  <si>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</si>
  <si>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</si>
  <si>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</si>
  <si>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</si>
  <si>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</si>
  <si>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</si>
  <si>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</si>
  <si>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</si>
  <si>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</si>
  <si>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</si>
  <si>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</si>
  <si>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</si>
  <si>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</si>
  <si>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</si>
  <si>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</si>
  <si>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</si>
  <si>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</si>
  <si>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</si>
  <si>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</si>
  <si>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</si>
  <si>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</si>
  <si>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</si>
  <si>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</si>
  <si>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</si>
  <si>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</si>
  <si>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</si>
  <si>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</si>
  <si>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</si>
  <si>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</si>
  <si>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</si>
  <si>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</si>
  <si>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</si>
  <si>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</si>
  <si>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</si>
  <si>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</si>
  <si>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</si>
  <si>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</si>
  <si>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</si>
  <si>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</si>
  <si>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</si>
  <si>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</si>
  <si>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</si>
  <si>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</si>
  <si>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</si>
  <si>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</si>
  <si>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</si>
  <si>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</si>
  <si>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</si>
  <si>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</si>
  <si>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</si>
  <si>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</si>
  <si>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</si>
  <si>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</si>
  <si>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</si>
  <si>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</si>
  <si>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</si>
  <si>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</si>
  <si>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</si>
  <si>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</si>
  <si>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</si>
  <si>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</si>
  <si>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</si>
  <si>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</si>
  <si>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</si>
  <si>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</si>
  <si>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</si>
  <si>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</si>
  <si>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</si>
  <si>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</si>
  <si>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</si>
  <si>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</si>
  <si>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</si>
  <si>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</si>
  <si>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</si>
  <si>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</si>
  <si>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</si>
  <si>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</si>
  <si>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</si>
  <si>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</si>
  <si>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</si>
  <si>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</si>
  <si>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</si>
  <si>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</si>
  <si>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</si>
  <si>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</si>
  <si>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</si>
  <si>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</si>
  <si>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</si>
  <si>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</si>
  <si>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</si>
  <si>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</si>
  <si>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</si>
  <si>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</si>
  <si>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</si>
  <si>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</si>
  <si>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</si>
  <si>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</si>
  <si>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</si>
  <si>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</si>
  <si>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</si>
  <si>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</si>
  <si>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</si>
  <si>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</si>
  <si>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</si>
  <si>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</si>
  <si>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</si>
  <si>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</si>
  <si>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</si>
  <si>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</si>
  <si>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</si>
  <si>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</si>
  <si>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</si>
  <si>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</si>
  <si>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</si>
  <si>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</si>
  <si>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</si>
  <si>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</si>
  <si>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</si>
  <si>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</si>
  <si>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</si>
  <si>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</si>
  <si>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</si>
  <si>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</si>
  <si>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</si>
  <si>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</si>
  <si>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</si>
  <si>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</si>
  <si>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</si>
  <si>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</si>
  <si>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</si>
  <si>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</si>
  <si>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</si>
  <si>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</si>
  <si>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</si>
  <si>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</si>
  <si>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</si>
  <si>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</si>
  <si>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</si>
  <si>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</si>
  <si>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</si>
  <si>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</si>
  <si>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</si>
  <si>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</si>
  <si>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</si>
  <si>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</si>
  <si>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</si>
  <si>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</si>
  <si>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</si>
  <si>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</si>
  <si>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</si>
  <si>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</si>
  <si>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</si>
  <si>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</si>
  <si>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</si>
  <si>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</si>
  <si>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</si>
  <si>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</si>
  <si>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</si>
  <si>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</si>
  <si>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</si>
  <si>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</si>
  <si>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</si>
  <si>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</si>
  <si>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</si>
  <si>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</si>
  <si>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</si>
  <si>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</si>
  <si>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</si>
  <si>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</si>
  <si>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</si>
  <si>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</si>
  <si>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</si>
  <si>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</si>
  <si>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</si>
  <si>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</si>
  <si>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</si>
  <si>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</si>
  <si>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</si>
  <si>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</si>
  <si>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</si>
  <si>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</si>
  <si>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</si>
  <si>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</si>
  <si>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</si>
  <si>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</si>
  <si>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</si>
  <si>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</si>
  <si>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</si>
  <si>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</si>
  <si>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</si>
  <si>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</si>
  <si>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</si>
  <si>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</si>
  <si>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</si>
  <si>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</si>
  <si>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</si>
  <si>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</si>
  <si>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</si>
  <si>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</si>
  <si>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</si>
  <si>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</si>
  <si>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</si>
  <si>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</si>
  <si>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</si>
  <si>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</si>
  <si>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</si>
  <si>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</si>
  <si>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</si>
  <si>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</si>
  <si>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</si>
  <si>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</si>
  <si>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</si>
  <si>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</si>
  <si>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</si>
  <si>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</si>
  <si>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</si>
  <si>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</si>
  <si>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</si>
  <si>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</si>
  <si>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</si>
  <si>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</si>
  <si>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</si>
  <si>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</si>
  <si>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</si>
  <si>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</si>
  <si>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</si>
  <si>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</si>
  <si>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</si>
  <si>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</si>
  <si>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</si>
  <si>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</si>
  <si>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</si>
  <si>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</si>
  <si>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</si>
  <si>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</si>
  <si>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</si>
  <si>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</si>
  <si>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</si>
  <si>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</si>
  <si>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</si>
  <si>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</si>
  <si>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</si>
  <si>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</si>
  <si>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</si>
  <si>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</si>
  <si>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</si>
  <si>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</si>
  <si>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</si>
  <si>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</si>
  <si>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</si>
  <si>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</si>
  <si>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</si>
  <si>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</si>
  <si>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</si>
  <si>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</si>
  <si>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</si>
  <si>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</si>
  <si>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</si>
  <si>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</si>
  <si>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</si>
  <si>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</si>
  <si>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</si>
  <si>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</si>
  <si>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</si>
  <si>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</si>
  <si>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</si>
  <si>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</si>
  <si>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</si>
  <si>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</si>
  <si>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</si>
  <si>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</si>
  <si>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</si>
  <si>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</si>
  <si>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</si>
  <si>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</si>
  <si>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</si>
  <si>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</si>
  <si>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</si>
  <si>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</si>
  <si>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</si>
  <si>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</si>
  <si>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</si>
  <si>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</si>
  <si>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</si>
  <si>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</si>
  <si>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</si>
  <si>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</si>
  <si>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</si>
  <si>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</si>
  <si>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</si>
  <si>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</si>
  <si>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</si>
  <si>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</si>
  <si>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</si>
  <si>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</si>
  <si>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</si>
  <si>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</si>
  <si>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</si>
  <si>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</si>
  <si>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</si>
  <si>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</si>
  <si>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</si>
  <si>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</si>
  <si>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</si>
  <si>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</si>
  <si>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</si>
  <si>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</si>
  <si>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</si>
  <si>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</si>
  <si>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</si>
  <si>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</si>
  <si>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</si>
  <si>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</si>
  <si>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</si>
  <si>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</si>
  <si>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</si>
  <si>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</si>
  <si>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</si>
  <si>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</si>
  <si>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</si>
  <si>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</si>
  <si>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</si>
  <si>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</si>
  <si>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</si>
  <si>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</si>
  <si>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</si>
  <si>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</si>
  <si>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</si>
  <si>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</si>
  <si>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</si>
  <si>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</si>
  <si>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</si>
  <si>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</si>
  <si>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</si>
  <si>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</si>
  <si>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</si>
  <si>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</si>
  <si>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</si>
  <si>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</si>
  <si>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</si>
  <si>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</si>
  <si>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</si>
  <si>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</si>
  <si>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</si>
  <si>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</si>
  <si>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</si>
  <si>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</si>
  <si>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</si>
  <si>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</si>
  <si>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</si>
  <si>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</si>
  <si>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</si>
  <si>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</si>
  <si>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</si>
  <si>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</si>
  <si>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</si>
  <si>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</si>
  <si>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</si>
  <si>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</si>
  <si>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</si>
  <si>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</si>
  <si>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</si>
  <si>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</si>
  <si>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</si>
  <si>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</si>
  <si>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</si>
  <si>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</si>
  <si>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</si>
  <si>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</si>
  <si>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</si>
  <si>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</si>
  <si>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</si>
  <si>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</si>
  <si>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</si>
  <si>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</si>
  <si>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</si>
  <si>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</si>
  <si>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</si>
  <si>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</si>
  <si>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</si>
  <si>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</si>
  <si>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</si>
  <si>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</si>
  <si>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</si>
  <si>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</si>
  <si>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</si>
  <si>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</si>
  <si>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</si>
  <si>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</si>
  <si>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</si>
  <si>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</si>
  <si>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</si>
  <si>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</si>
  <si>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</si>
  <si>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</si>
  <si>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</si>
  <si>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</si>
  <si>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</si>
  <si>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</si>
  <si>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</si>
  <si>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</si>
  <si>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</si>
  <si>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</si>
  <si>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</si>
  <si>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</si>
  <si>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</si>
  <si>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</si>
  <si>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</si>
  <si>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</si>
  <si>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</si>
  <si>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</si>
  <si>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</si>
  <si>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</si>
  <si>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</si>
  <si>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</si>
  <si>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</si>
  <si>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</si>
  <si>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</si>
  <si>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</si>
  <si>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</si>
  <si>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</si>
  <si>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</si>
  <si>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</si>
  <si>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</si>
  <si>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</si>
  <si>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</si>
  <si>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</si>
  <si>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</si>
  <si>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</si>
  <si>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</si>
  <si>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</si>
  <si>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</si>
  <si>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</si>
  <si>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</si>
  <si>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</si>
  <si>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</si>
  <si>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</si>
  <si>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</si>
  <si>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</si>
  <si>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</si>
  <si>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</si>
  <si>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</si>
  <si>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</si>
  <si>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</si>
  <si>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</si>
  <si>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</si>
  <si>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</si>
  <si>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</si>
  <si>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</si>
  <si>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</si>
  <si>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</si>
  <si>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</si>
  <si>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</si>
  <si>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</si>
  <si>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</si>
  <si>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</si>
  <si>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</si>
  <si>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</si>
  <si>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</si>
  <si>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</si>
  <si>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</si>
  <si>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</si>
  <si>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</si>
  <si>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</si>
  <si>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</si>
  <si>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</si>
  <si>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</si>
  <si>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</si>
  <si>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</si>
  <si>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</si>
  <si>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</si>
  <si>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</si>
  <si>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</si>
  <si>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</si>
  <si>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</si>
  <si>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</si>
  <si>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</si>
  <si>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</si>
  <si>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</si>
  <si>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</si>
  <si>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</si>
  <si>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</si>
  <si>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</si>
  <si>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</si>
  <si>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</si>
  <si>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</si>
  <si>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</si>
  <si>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</si>
  <si>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</si>
  <si>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</si>
  <si>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</si>
  <si>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</si>
  <si>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</si>
  <si>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</si>
  <si>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</si>
  <si>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</si>
  <si>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</si>
  <si>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</si>
  <si>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</si>
  <si>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</si>
  <si>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</si>
  <si>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</si>
  <si>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</si>
  <si>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</si>
  <si>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</si>
  <si>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</si>
  <si>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</si>
  <si>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</si>
  <si>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</si>
  <si>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</si>
  <si>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</si>
  <si>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</si>
  <si>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</si>
  <si>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</si>
  <si>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</si>
  <si>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</si>
  <si>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</si>
  <si>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</si>
  <si>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</si>
  <si>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</si>
  <si>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</si>
  <si>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</si>
  <si>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</si>
  <si>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</si>
  <si>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</si>
  <si>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</si>
  <si>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</si>
  <si>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</si>
  <si>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</si>
  <si>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</si>
  <si>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</si>
  <si>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</si>
  <si>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</si>
  <si>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</si>
  <si>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</si>
  <si>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</si>
  <si>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</si>
  <si>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</si>
  <si>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</si>
  <si>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</si>
  <si>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</si>
  <si>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</si>
  <si>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</si>
  <si>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</si>
  <si>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</si>
  <si>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</si>
  <si>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</si>
  <si>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</si>
  <si>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</si>
  <si>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</si>
  <si>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</si>
  <si>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</si>
  <si>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</si>
  <si>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</si>
  <si>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</si>
  <si>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</si>
  <si>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</si>
  <si>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</si>
  <si>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</si>
  <si>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</si>
  <si>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</si>
  <si>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</si>
  <si>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</si>
  <si>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</si>
  <si>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</si>
  <si>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</si>
  <si>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</si>
  <si>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</si>
  <si>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</si>
  <si>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</si>
  <si>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</si>
  <si>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</si>
  <si>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</si>
  <si>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</si>
  <si>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</si>
  <si>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</si>
  <si>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</si>
  <si>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</si>
  <si>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</si>
  <si>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</si>
  <si>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</si>
  <si>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</si>
  <si>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</si>
  <si>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</si>
  <si>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</si>
  <si>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</si>
  <si>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</si>
  <si>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</si>
  <si>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</si>
  <si>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</si>
  <si>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</si>
  <si>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</si>
  <si>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</si>
  <si>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</si>
  <si>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</si>
  <si>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</si>
  <si>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</si>
  <si>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</si>
  <si>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</si>
  <si>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</si>
  <si>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</si>
  <si>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</si>
  <si>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</si>
  <si>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</si>
  <si>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</si>
  <si>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</si>
  <si>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</si>
  <si>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</si>
  <si>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</si>
  <si>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</si>
  <si>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</si>
  <si>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</si>
  <si>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</si>
  <si>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</si>
  <si>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</si>
  <si>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</si>
  <si>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</si>
  <si>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</si>
  <si>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</si>
  <si>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</si>
  <si>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</si>
  <si>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</si>
  <si>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</si>
  <si>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</si>
  <si>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</si>
  <si>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</si>
  <si>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</si>
  <si>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</si>
  <si>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</si>
  <si>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</si>
  <si>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</si>
  <si>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</si>
  <si>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</si>
  <si>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</si>
  <si>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</si>
  <si>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</si>
  <si>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</si>
  <si>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</si>
  <si>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</si>
  <si>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</si>
  <si>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</si>
  <si>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</si>
  <si>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</si>
  <si>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</si>
  <si>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</si>
  <si>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</si>
  <si>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</si>
  <si>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</si>
  <si>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</si>
  <si>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</si>
  <si>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</si>
  <si>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</si>
  <si>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</si>
  <si>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</si>
  <si>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</si>
  <si>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</si>
  <si>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</si>
  <si>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</si>
  <si>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</si>
  <si>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</si>
  <si>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</si>
  <si>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</si>
  <si>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</si>
  <si>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</si>
  <si>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</si>
  <si>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</si>
  <si>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</si>
  <si>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</si>
  <si>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</si>
  <si>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</si>
  <si>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</si>
  <si>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</si>
  <si>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</si>
  <si>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</si>
  <si>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</si>
  <si>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</si>
  <si>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</si>
  <si>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</si>
  <si>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</si>
  <si>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</si>
  <si>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</si>
  <si>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</si>
  <si>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</si>
  <si>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</si>
  <si>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</si>
  <si>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</si>
  <si>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</si>
  <si>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</si>
  <si>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</si>
  <si>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</si>
  <si>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</si>
  <si>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</si>
  <si>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</si>
  <si>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</si>
  <si>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</si>
  <si>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</si>
  <si>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</si>
  <si>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</si>
  <si>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</si>
  <si>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</si>
  <si>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</si>
  <si>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</si>
  <si>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</si>
  <si>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</si>
  <si>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</si>
  <si>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</si>
  <si>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</si>
  <si>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</si>
  <si>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</si>
  <si>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</si>
  <si>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</si>
  <si>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</si>
  <si>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</si>
  <si>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</si>
  <si>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</si>
  <si>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</si>
  <si>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</si>
  <si>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</si>
  <si>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</si>
  <si>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</si>
  <si>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</si>
  <si>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</si>
  <si>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</si>
  <si>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</si>
  <si>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</si>
  <si>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</si>
  <si>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</si>
  <si>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</si>
  <si>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</si>
  <si>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</si>
  <si>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</si>
  <si>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</si>
  <si>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</si>
  <si>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</si>
  <si>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</si>
  <si>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</si>
  <si>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</si>
  <si>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</si>
  <si>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</si>
  <si>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</si>
  <si>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</si>
  <si>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</si>
  <si>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</si>
  <si>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</si>
  <si>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</si>
  <si>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</si>
  <si>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</si>
  <si>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</si>
  <si>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</si>
  <si>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</si>
  <si>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</si>
  <si>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</si>
  <si>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</si>
  <si>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</si>
  <si>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</si>
  <si>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</si>
  <si>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</si>
  <si>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</si>
  <si>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</si>
  <si>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</si>
  <si>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</si>
  <si>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</si>
  <si>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</si>
  <si>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</si>
  <si>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</si>
  <si>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</si>
  <si>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</si>
  <si>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</si>
  <si>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</si>
  <si>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</si>
  <si>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</si>
  <si>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</si>
  <si>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</si>
  <si>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</si>
  <si>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</si>
  <si>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</si>
  <si>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</si>
  <si>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</si>
  <si>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</si>
  <si>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</si>
  <si>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</si>
  <si>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</si>
  <si>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</si>
  <si>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</si>
  <si>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</si>
  <si>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</si>
  <si>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</si>
  <si>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</si>
  <si>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</si>
  <si>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</si>
  <si>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</si>
  <si>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</si>
  <si>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</si>
  <si>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</si>
  <si>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</si>
  <si>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</si>
  <si>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</si>
  <si>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</si>
  <si>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</si>
  <si>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</si>
  <si>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</si>
  <si>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</si>
  <si>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</si>
  <si>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</si>
  <si>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</si>
  <si>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</si>
  <si>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</si>
  <si>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</si>
  <si>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</si>
  <si>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</si>
  <si>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</si>
  <si>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</si>
  <si>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</si>
  <si>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</si>
  <si>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</si>
  <si>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</si>
  <si>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</si>
  <si>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</si>
  <si>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</si>
  <si>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</si>
  <si>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</si>
  <si>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</si>
  <si>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</si>
  <si>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</si>
  <si>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</si>
  <si>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</si>
  <si>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</si>
  <si>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</si>
  <si>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</si>
  <si>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</si>
  <si>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</si>
  <si>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</si>
  <si>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</si>
  <si>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</si>
  <si>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</si>
  <si>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</si>
  <si>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</si>
  <si>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</si>
  <si>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</si>
  <si>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</si>
  <si>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</si>
  <si>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</si>
  <si>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</si>
  <si>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</si>
  <si>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</si>
  <si>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</si>
  <si>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</si>
  <si>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</si>
  <si>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</si>
  <si>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</si>
  <si>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</si>
  <si>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</si>
  <si>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</si>
  <si>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</si>
  <si>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</si>
  <si>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</si>
  <si>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</si>
  <si>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</si>
  <si>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</si>
  <si>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</si>
  <si>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</si>
  <si>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</si>
  <si>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</si>
  <si>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</si>
  <si>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</si>
  <si>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</si>
  <si>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</si>
  <si>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</si>
  <si>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</si>
  <si>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</si>
  <si>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</si>
  <si>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</si>
  <si>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</si>
  <si>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</si>
  <si>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</si>
  <si>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</si>
  <si>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</si>
  <si>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</si>
  <si>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</si>
  <si>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</si>
  <si>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</si>
  <si>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</si>
  <si>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</si>
  <si>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</si>
  <si>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</si>
  <si>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</si>
  <si>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</si>
  <si>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</si>
  <si>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</si>
  <si>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</si>
  <si>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</si>
  <si>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</si>
  <si>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</si>
  <si>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</si>
  <si>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</si>
  <si>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</si>
  <si>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</si>
  <si>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</si>
  <si>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</si>
  <si>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</si>
  <si>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</si>
  <si>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</si>
  <si>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</si>
  <si>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</si>
  <si>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</si>
  <si>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</si>
  <si>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</si>
  <si>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</si>
  <si>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</si>
  <si>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</si>
  <si>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</si>
  <si>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</si>
  <si>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</si>
  <si>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</si>
  <si>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</si>
  <si>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</si>
  <si>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</si>
  <si>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</si>
  <si>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</si>
  <si>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</si>
  <si>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</si>
  <si>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</si>
  <si>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</si>
  <si>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</si>
  <si>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</si>
  <si>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</si>
  <si>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</si>
  <si>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</si>
  <si>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</si>
  <si>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</si>
  <si>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</si>
  <si>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</si>
  <si>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</si>
  <si>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</si>
  <si>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</si>
  <si>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</si>
  <si>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</si>
  <si>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</si>
  <si>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</si>
  <si>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</si>
  <si>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</si>
  <si>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</si>
  <si>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</si>
  <si>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</si>
  <si>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</si>
  <si>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</si>
  <si>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</si>
  <si>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</si>
  <si>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</si>
  <si>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</si>
  <si>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</si>
  <si>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</si>
  <si>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</si>
  <si>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</si>
  <si>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</si>
  <si>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</si>
  <si>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</si>
  <si>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</si>
  <si>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</si>
  <si>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</si>
  <si>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</si>
  <si>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</si>
  <si>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</si>
  <si>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</si>
  <si>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</si>
  <si>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</si>
  <si>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</si>
  <si>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</si>
  <si>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</si>
  <si>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</si>
  <si>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</si>
  <si>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</si>
  <si>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</si>
  <si>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</si>
  <si>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</si>
  <si>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</si>
  <si>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</si>
  <si>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</si>
  <si>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</si>
  <si>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</si>
  <si>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</si>
  <si>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</si>
  <si>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</si>
  <si>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</si>
  <si>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</si>
  <si>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</si>
  <si>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</si>
  <si>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</si>
  <si>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</si>
  <si>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</si>
  <si>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</si>
  <si>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</si>
  <si>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</si>
  <si>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</si>
  <si>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</si>
  <si>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</si>
  <si>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</si>
  <si>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</si>
  <si>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</si>
  <si>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</si>
  <si>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</si>
  <si>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</si>
  <si>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</si>
  <si>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</si>
  <si>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</si>
  <si>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</si>
  <si>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</si>
  <si>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</si>
  <si>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</si>
  <si>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</si>
  <si>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</si>
  <si>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</si>
  <si>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</si>
  <si>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</si>
  <si>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</si>
  <si>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</si>
  <si>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</si>
  <si>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</si>
  <si>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</si>
  <si>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</si>
  <si>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</si>
  <si>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</si>
  <si>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</si>
  <si>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</si>
  <si>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</si>
  <si>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</si>
  <si>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</si>
  <si>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</si>
  <si>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</si>
  <si>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</si>
  <si>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</si>
  <si>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</si>
  <si>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</si>
  <si>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</si>
  <si>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</si>
  <si>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</si>
  <si>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</si>
  <si>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</si>
  <si>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</si>
  <si>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</si>
  <si>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</si>
  <si>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</si>
  <si>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</si>
  <si>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</si>
  <si>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</si>
  <si>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</si>
  <si>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</si>
  <si>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</si>
  <si>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</si>
  <si>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</si>
  <si>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</si>
  <si>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</si>
  <si>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</si>
  <si>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</si>
  <si>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</si>
  <si>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</si>
  <si>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</si>
  <si>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</si>
  <si>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</si>
  <si>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</si>
  <si>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</si>
  <si>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</si>
  <si>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</si>
  <si>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</si>
  <si>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</si>
  <si>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</si>
  <si>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</si>
  <si>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</si>
  <si>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</si>
  <si>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</si>
  <si>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</si>
  <si>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</si>
  <si>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</si>
  <si>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</si>
  <si>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</si>
  <si>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</si>
  <si>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</si>
  <si>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</si>
  <si>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</si>
  <si>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</si>
  <si>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</si>
  <si>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</si>
  <si>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</si>
  <si>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</si>
  <si>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</si>
  <si>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</si>
  <si>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</si>
  <si>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</si>
  <si>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</si>
  <si>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</si>
  <si>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</si>
  <si>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</si>
  <si>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</si>
  <si>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</si>
  <si>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</si>
  <si>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</si>
  <si>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</si>
  <si>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</si>
  <si>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</si>
  <si>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</si>
  <si>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</si>
  <si>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</si>
  <si>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</si>
  <si>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</si>
  <si>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</si>
  <si>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</si>
  <si>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</si>
  <si>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</si>
  <si>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</si>
  <si>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</si>
  <si>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</si>
  <si>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</si>
  <si>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</si>
  <si>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</si>
  <si>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</si>
  <si>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</si>
  <si>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</si>
  <si>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</si>
  <si>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</si>
  <si>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</si>
  <si>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</si>
  <si>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</si>
  <si>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</si>
  <si>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</si>
  <si>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</si>
  <si>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</si>
  <si>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</si>
  <si>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</si>
  <si>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</si>
  <si>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</si>
  <si>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</si>
  <si>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</si>
  <si>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</si>
  <si>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</si>
  <si>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</si>
  <si>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</si>
  <si>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</si>
  <si>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</si>
  <si>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</si>
  <si>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</si>
  <si>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</si>
  <si>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</si>
  <si>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</si>
  <si>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</si>
  <si>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</si>
  <si>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</si>
  <si>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</si>
  <si>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</si>
  <si>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</si>
  <si>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</si>
  <si>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</si>
  <si>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</si>
  <si>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</si>
  <si>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</si>
  <si>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</si>
  <si>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</si>
  <si>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</si>
  <si>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</si>
  <si>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</si>
  <si>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</si>
  <si>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</si>
  <si>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</si>
  <si>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</si>
  <si>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</si>
  <si>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</si>
  <si>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</si>
  <si>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</si>
  <si>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</si>
  <si>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</si>
  <si>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</si>
  <si>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</si>
  <si>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</si>
  <si>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</si>
  <si>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</si>
  <si>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</si>
  <si>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</si>
  <si>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</si>
  <si>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</si>
  <si>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</si>
  <si>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</si>
  <si>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</si>
  <si>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</si>
  <si>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</si>
  <si>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</si>
  <si>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</si>
  <si>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</si>
  <si>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</si>
  <si>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</si>
  <si>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</si>
  <si>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</si>
  <si>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</si>
  <si>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</si>
  <si>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</si>
  <si>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</si>
  <si>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</si>
  <si>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</si>
  <si>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</si>
  <si>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</si>
  <si>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</si>
  <si>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</si>
  <si>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</si>
  <si>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</si>
  <si>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</si>
  <si>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</si>
  <si>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</si>
  <si>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</si>
  <si>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</si>
  <si>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</si>
  <si>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</si>
  <si>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</si>
  <si>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</si>
  <si>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</si>
  <si>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</si>
  <si>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</si>
  <si>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</si>
  <si>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</si>
  <si>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</si>
  <si>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</si>
  <si>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</si>
  <si>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</si>
  <si>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</si>
  <si>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</si>
  <si>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</si>
  <si>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</si>
  <si>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</si>
  <si>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</si>
  <si>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</si>
  <si>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</si>
  <si>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</si>
  <si>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</si>
  <si>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</si>
  <si>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</si>
  <si>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</si>
  <si>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</si>
  <si>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</si>
  <si>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</si>
  <si>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</si>
  <si>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</si>
  <si>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</si>
  <si>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</si>
  <si>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</si>
  <si>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</si>
  <si>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</si>
  <si>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</si>
  <si>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</si>
  <si>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</si>
  <si>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</si>
  <si>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</si>
  <si>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</si>
  <si>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</si>
  <si>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</si>
  <si>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</si>
  <si>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</si>
  <si>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</si>
  <si>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</si>
  <si>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</si>
  <si>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</si>
  <si>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</si>
  <si>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</si>
  <si>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</si>
  <si>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</si>
  <si>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</si>
  <si>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</si>
  <si>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</si>
  <si>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</si>
  <si>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</si>
  <si>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</si>
  <si>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</si>
  <si>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</si>
  <si>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</si>
  <si>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</si>
  <si>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</si>
  <si>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</si>
  <si>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</si>
  <si>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</si>
  <si>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</si>
  <si>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</si>
  <si>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</si>
  <si>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</si>
  <si>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</si>
  <si>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</si>
  <si>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</si>
  <si>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</si>
  <si>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</si>
  <si>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</si>
  <si>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</si>
  <si>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</si>
  <si>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</si>
  <si>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</si>
  <si>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</si>
  <si>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</si>
  <si>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</si>
  <si>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</si>
  <si>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</si>
  <si>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</si>
  <si>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</si>
  <si>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</si>
  <si>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</si>
  <si>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</si>
  <si>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</si>
  <si>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</si>
  <si>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</si>
  <si>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</si>
  <si>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</si>
  <si>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</si>
  <si>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</si>
  <si>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</si>
  <si>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</si>
  <si>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</si>
  <si>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</si>
  <si>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</si>
  <si>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</si>
  <si>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</si>
  <si>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</si>
  <si>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</si>
  <si>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</si>
  <si>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</si>
  <si>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</si>
  <si>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</si>
  <si>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</si>
  <si>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</si>
  <si>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</si>
  <si>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</si>
  <si>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</si>
  <si>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</si>
  <si>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</si>
  <si>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</si>
  <si>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</si>
  <si>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</si>
  <si>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</si>
  <si>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</si>
  <si>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</si>
  <si>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</si>
  <si>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</si>
  <si>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</si>
  <si>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</si>
  <si>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</si>
  <si>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</si>
  <si>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</si>
  <si>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</si>
  <si>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</si>
  <si>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</si>
  <si>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</si>
  <si>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</si>
  <si>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</si>
  <si>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</si>
  <si>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</si>
  <si>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</si>
  <si>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</si>
  <si>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</si>
  <si>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</si>
  <si>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</si>
  <si>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</si>
  <si>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</si>
  <si>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</si>
  <si>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</si>
  <si>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</si>
  <si>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</si>
  <si>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</si>
  <si>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</si>
  <si>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</si>
  <si>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</si>
  <si>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</si>
  <si>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</si>
  <si>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</si>
  <si>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</si>
  <si>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</si>
  <si>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</si>
  <si>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</si>
  <si>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</si>
  <si>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</si>
  <si>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</si>
  <si>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</si>
  <si>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</si>
  <si>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</si>
  <si>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</si>
  <si>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</si>
  <si>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</si>
  <si>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</si>
  <si>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</si>
  <si>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</si>
  <si>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</si>
  <si>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</si>
  <si>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</si>
  <si>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</si>
  <si>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</si>
  <si>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</si>
  <si>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</si>
  <si>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</si>
  <si>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</si>
  <si>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</si>
  <si>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</si>
  <si>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</si>
  <si>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</si>
  <si>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</si>
  <si>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</si>
  <si>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</si>
  <si>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</si>
  <si>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</si>
  <si>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</si>
  <si>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</si>
  <si>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</si>
  <si>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</si>
  <si>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</si>
  <si>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</si>
  <si>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</si>
  <si>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</si>
  <si>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</si>
  <si>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</si>
  <si>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</si>
  <si>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</si>
  <si>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</si>
  <si>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</si>
  <si>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</si>
  <si>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</si>
  <si>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</si>
  <si>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</si>
  <si>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</si>
  <si>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</si>
  <si>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</si>
  <si>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</si>
  <si>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</si>
  <si>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</si>
  <si>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</si>
  <si>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</si>
  <si>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</si>
  <si>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</si>
  <si>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</si>
  <si>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</si>
  <si>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</si>
  <si>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</si>
  <si>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</si>
  <si>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</si>
  <si>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</si>
  <si>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</si>
  <si>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</si>
  <si>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</si>
  <si>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</si>
  <si>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</si>
  <si>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</si>
  <si>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</si>
  <si>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</si>
  <si>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</si>
  <si>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</si>
  <si>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</si>
  <si>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</si>
  <si>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</si>
  <si>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</si>
  <si>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</si>
  <si>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</si>
  <si>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</si>
  <si>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</si>
  <si>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</si>
  <si>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</si>
  <si>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</si>
  <si>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</si>
  <si>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</si>
  <si>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</si>
  <si>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</si>
  <si>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</si>
  <si>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</si>
  <si>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</si>
  <si>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</si>
  <si>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</si>
  <si>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</si>
  <si>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</si>
  <si>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</si>
  <si>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</si>
  <si>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</si>
  <si>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</si>
  <si>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</si>
  <si>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</si>
  <si>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</si>
  <si>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</si>
  <si>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</si>
  <si>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</si>
  <si>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</si>
  <si>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</si>
  <si>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</si>
  <si>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</si>
  <si>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</si>
  <si>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</si>
  <si>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</si>
  <si>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</si>
  <si>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</si>
  <si>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</si>
  <si>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</si>
  <si>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</si>
  <si>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</si>
  <si>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</si>
  <si>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</si>
  <si>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</si>
  <si>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</si>
  <si>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</si>
  <si>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</si>
  <si>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</si>
  <si>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</si>
  <si>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</si>
  <si>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</si>
  <si>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</si>
  <si>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</si>
  <si>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</si>
  <si>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</si>
  <si>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</si>
  <si>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</si>
  <si>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</si>
  <si>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</si>
  <si>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</si>
  <si>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</si>
  <si>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</si>
  <si>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</si>
  <si>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</si>
  <si>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</si>
  <si>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</si>
  <si>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</si>
  <si>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</si>
  <si>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</si>
  <si>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</si>
  <si>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</si>
  <si>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</si>
  <si>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</si>
  <si>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</si>
  <si>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</si>
  <si>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</si>
  <si>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</si>
  <si>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</si>
  <si>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</si>
  <si>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</si>
  <si>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</si>
  <si>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</si>
  <si>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</si>
  <si>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</si>
  <si>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</si>
  <si>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</si>
  <si>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</si>
  <si>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</si>
  <si>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</si>
  <si>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</si>
  <si>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</si>
  <si>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</si>
  <si>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</si>
  <si>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</si>
  <si>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</si>
  <si>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</si>
  <si>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</si>
  <si>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</si>
  <si>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</si>
  <si>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</si>
  <si>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</si>
  <si>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</si>
  <si>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</si>
  <si>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</si>
  <si>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</si>
  <si>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</si>
  <si>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</si>
  <si>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</si>
  <si>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</si>
  <si>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</si>
  <si>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</si>
  <si>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</si>
  <si>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</si>
  <si>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</si>
  <si>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</si>
  <si>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</si>
  <si>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</si>
  <si>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</si>
  <si>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</si>
  <si>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</si>
  <si>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</si>
  <si>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</si>
  <si>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</si>
  <si>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</si>
  <si>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</si>
  <si>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</si>
  <si>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</si>
  <si>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</si>
  <si>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</si>
  <si>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</si>
  <si>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</si>
  <si>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</si>
  <si>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</si>
  <si>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</si>
  <si>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</si>
  <si>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</si>
  <si>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</si>
  <si>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</si>
  <si>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</si>
  <si>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</si>
  <si>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</si>
  <si>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</si>
  <si>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</si>
  <si>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</si>
  <si>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</si>
  <si>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</si>
  <si>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</si>
  <si>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</si>
  <si>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</si>
  <si>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</si>
  <si>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</si>
  <si>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</si>
  <si>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</si>
  <si>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</si>
  <si>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</si>
  <si>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</si>
  <si>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</si>
  <si>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</si>
  <si>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</si>
  <si>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</si>
  <si>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</si>
  <si>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</si>
  <si>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</si>
  <si>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</si>
  <si>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</si>
  <si>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</si>
  <si>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</si>
  <si>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</si>
  <si>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</si>
  <si>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</si>
  <si>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</si>
  <si>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</si>
  <si>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</si>
  <si>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</si>
  <si>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</si>
  <si>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</si>
  <si>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</si>
  <si>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</si>
  <si>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</si>
  <si>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</si>
  <si>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</si>
  <si>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</si>
  <si>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</si>
  <si>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</si>
  <si>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</si>
  <si>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</si>
  <si>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</si>
  <si>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</si>
  <si>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</si>
  <si>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</si>
  <si>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</si>
  <si>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</si>
  <si>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</si>
  <si>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</si>
  <si>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</si>
  <si>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</si>
  <si>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</si>
  <si>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</si>
  <si>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</si>
  <si>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</si>
  <si>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</si>
  <si>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</si>
  <si>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</si>
  <si>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</si>
  <si>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</si>
  <si>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</si>
  <si>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</si>
  <si>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</si>
  <si>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</si>
  <si>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</si>
  <si>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</si>
  <si>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</si>
  <si>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</si>
  <si>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</si>
  <si>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</si>
  <si>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</si>
  <si>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</si>
  <si>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</si>
  <si>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</si>
  <si>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</si>
  <si>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</si>
  <si>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</si>
  <si>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</si>
  <si>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</si>
  <si>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</si>
  <si>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</si>
  <si>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</si>
  <si>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</si>
  <si>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</si>
  <si>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</si>
  <si>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</si>
  <si>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</si>
  <si>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</si>
  <si>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</si>
  <si>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</si>
  <si>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</si>
  <si>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</si>
  <si>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</si>
  <si>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</si>
  <si>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</si>
  <si>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</si>
  <si>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</si>
  <si>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</si>
  <si>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</si>
  <si>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</si>
  <si>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</si>
  <si>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</si>
  <si>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</si>
  <si>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</si>
  <si>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</si>
  <si>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</si>
  <si>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</si>
  <si>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</si>
  <si>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</si>
  <si>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</si>
  <si>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</si>
  <si>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</si>
  <si>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</si>
  <si>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</si>
  <si>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</si>
  <si>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</si>
  <si>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</si>
  <si>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</si>
  <si>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</si>
  <si>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</si>
  <si>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</si>
  <si>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</si>
  <si>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</si>
  <si>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</si>
  <si>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</si>
  <si>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</si>
  <si>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</si>
  <si>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</si>
  <si>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</si>
  <si>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</si>
  <si>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</si>
  <si>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</si>
  <si>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</si>
  <si>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</si>
  <si>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</si>
  <si>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</si>
  <si>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</si>
  <si>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</si>
  <si>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</si>
  <si>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</si>
  <si>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</si>
  <si>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</si>
  <si>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</si>
  <si>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</si>
  <si>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</si>
  <si>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</si>
  <si>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</si>
  <si>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</si>
  <si>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</si>
  <si>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</si>
  <si>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</si>
  <si>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</si>
  <si>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</si>
  <si>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</si>
  <si>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</si>
  <si>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</si>
  <si>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</si>
  <si>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</si>
  <si>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</si>
  <si>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</si>
  <si>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</si>
  <si>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</si>
  <si>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</si>
  <si>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</si>
  <si>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</si>
  <si>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</si>
  <si>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</si>
  <si>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</si>
  <si>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</si>
  <si>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</si>
  <si>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</si>
  <si>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</si>
  <si>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</si>
  <si>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</si>
  <si>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</si>
  <si>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</si>
  <si>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</si>
  <si>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</si>
  <si>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</si>
  <si>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</si>
  <si>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</si>
  <si>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</si>
  <si>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</si>
  <si>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</si>
  <si>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</si>
  <si>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</si>
  <si>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</si>
  <si>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</si>
  <si>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</si>
  <si>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</si>
  <si>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</si>
  <si>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</si>
  <si>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</si>
  <si>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</si>
  <si>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</si>
  <si>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</si>
  <si>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</si>
  <si>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</si>
  <si>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</si>
  <si>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</si>
  <si>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</si>
  <si>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</si>
  <si>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</si>
  <si>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</si>
  <si>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</si>
  <si>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</si>
  <si>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</si>
  <si>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</si>
  <si>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</si>
  <si>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</si>
  <si>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</si>
  <si>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</si>
  <si>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</si>
  <si>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</si>
  <si>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</si>
  <si>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</si>
  <si>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</si>
  <si>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</si>
  <si>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</si>
  <si>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</si>
  <si>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</si>
  <si>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</si>
  <si>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</si>
  <si>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</si>
  <si>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</si>
  <si>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</si>
  <si>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</si>
  <si>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</si>
  <si>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</si>
  <si>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</si>
  <si>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</si>
  <si>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</si>
  <si>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</si>
  <si>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</si>
  <si>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</si>
  <si>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</si>
  <si>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</si>
  <si>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</si>
  <si>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</si>
  <si>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</si>
  <si>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</si>
  <si>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</si>
  <si>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</si>
  <si>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</si>
  <si>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</si>
  <si>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</si>
  <si>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</si>
  <si>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</si>
  <si>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</si>
  <si>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</si>
  <si>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</si>
  <si>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</si>
  <si>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</si>
  <si>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</si>
  <si>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</si>
  <si>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</si>
  <si>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</si>
  <si>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</si>
  <si>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</si>
  <si>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</si>
  <si>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</si>
  <si>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</si>
  <si>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</si>
  <si>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</si>
  <si>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</si>
  <si>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</si>
  <si>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</si>
  <si>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</si>
  <si>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</si>
  <si>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</si>
  <si>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</si>
  <si>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</si>
  <si>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</si>
  <si>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</si>
  <si>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</si>
  <si>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</si>
  <si>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</si>
  <si>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</si>
  <si>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</si>
  <si>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</si>
  <si>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</si>
  <si>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</si>
  <si>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</si>
  <si>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</si>
  <si>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</si>
  <si>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</si>
  <si>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</si>
  <si>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</si>
  <si>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</si>
  <si>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</si>
  <si>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</si>
  <si>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</si>
  <si>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</si>
  <si>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</si>
  <si>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</si>
  <si>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</si>
  <si>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</si>
  <si>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</si>
  <si>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</si>
  <si>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</si>
  <si>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</si>
  <si>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</si>
  <si>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</si>
  <si>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</si>
  <si>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</si>
  <si>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</si>
  <si>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</si>
  <si>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</si>
  <si>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</si>
  <si>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</si>
  <si>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</si>
  <si>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</si>
  <si>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</si>
  <si>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</si>
  <si>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</si>
  <si>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</si>
  <si>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</si>
  <si>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</si>
  <si>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</si>
  <si>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</si>
  <si>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</si>
  <si>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</si>
  <si>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</si>
  <si>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</si>
  <si>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</si>
  <si>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</si>
  <si>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</si>
  <si>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</si>
  <si>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</si>
  <si>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</si>
  <si>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</si>
  <si>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</si>
  <si>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</si>
  <si>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</si>
  <si>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</si>
  <si>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</si>
  <si>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</si>
  <si>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</si>
  <si>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</si>
  <si>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</si>
  <si>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</si>
  <si>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</si>
  <si>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</si>
  <si>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</si>
  <si>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</si>
  <si>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</si>
  <si>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</si>
  <si>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</si>
  <si>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</si>
  <si>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</si>
  <si>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</si>
  <si>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</si>
  <si>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</si>
  <si>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</si>
  <si>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</si>
  <si>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</si>
  <si>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</si>
  <si>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</si>
  <si>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</si>
  <si>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</si>
  <si>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</si>
  <si>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</si>
  <si>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</si>
  <si>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</si>
  <si>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</si>
  <si>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</si>
  <si>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</si>
  <si>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</si>
  <si>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</si>
  <si>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</si>
  <si>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</si>
  <si>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</si>
  <si>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</si>
  <si>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</si>
  <si>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</si>
  <si>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</si>
  <si>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</si>
  <si>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</si>
  <si>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</si>
  <si>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</si>
  <si>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</si>
  <si>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</si>
  <si>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</si>
  <si>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</si>
  <si>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</si>
  <si>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</si>
  <si>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</si>
  <si>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</si>
  <si>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</si>
  <si>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</si>
  <si>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</si>
  <si>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</si>
  <si>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</si>
  <si>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</si>
  <si>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</si>
  <si>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</si>
  <si>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</si>
  <si>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</si>
  <si>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</si>
  <si>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</si>
  <si>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</si>
  <si>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</si>
  <si>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</si>
  <si>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</si>
  <si>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</si>
  <si>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</si>
  <si>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</si>
  <si>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</si>
  <si>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</si>
  <si>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</si>
  <si>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</si>
  <si>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</si>
  <si>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</si>
  <si>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</si>
  <si>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</si>
  <si>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</si>
  <si>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</si>
  <si>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</si>
  <si>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</si>
  <si>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</si>
  <si>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</si>
  <si>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</si>
  <si>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</si>
  <si>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</si>
  <si>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</si>
  <si>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</si>
  <si>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</si>
  <si>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</si>
  <si>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</si>
  <si>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</si>
  <si>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</si>
  <si>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</si>
  <si>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</si>
  <si>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</si>
  <si>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</si>
  <si>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</si>
  <si>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</si>
  <si>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</si>
  <si>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</si>
  <si>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</si>
  <si>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</si>
  <si>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</si>
  <si>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</si>
  <si>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</si>
  <si>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</si>
  <si>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</si>
  <si>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</si>
  <si>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</si>
  <si>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</si>
  <si>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</si>
  <si>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</si>
  <si>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</si>
  <si>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</si>
  <si>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</si>
  <si>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</si>
  <si>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</si>
  <si>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</si>
  <si>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</si>
  <si>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</si>
  <si>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</si>
  <si>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</si>
  <si>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</si>
  <si>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</si>
  <si>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</si>
  <si>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</si>
  <si>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</si>
  <si>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</si>
  <si>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</si>
  <si>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</si>
  <si>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</si>
  <si>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</si>
  <si>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</si>
  <si>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</si>
  <si>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</si>
  <si>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</si>
  <si>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</si>
  <si>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</si>
  <si>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</si>
  <si>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</si>
  <si>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</si>
  <si>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</si>
  <si>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</si>
  <si>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</si>
  <si>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</si>
  <si>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</si>
  <si>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</si>
  <si>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</si>
  <si>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</si>
  <si>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</si>
  <si>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</si>
  <si>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</si>
  <si>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</si>
  <si>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</si>
  <si>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</si>
  <si>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</si>
  <si>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</si>
  <si>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</si>
  <si>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</si>
  <si>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</si>
  <si>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</si>
  <si>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</si>
  <si>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</si>
  <si>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</si>
  <si>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</si>
  <si>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</si>
  <si>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</si>
  <si>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</si>
  <si>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</si>
  <si>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</si>
  <si>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</si>
  <si>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</si>
  <si>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</si>
  <si>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</si>
  <si>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</si>
  <si>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</si>
  <si>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</si>
  <si>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</si>
  <si>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</si>
  <si>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</si>
  <si>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</si>
  <si>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</si>
  <si>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</si>
  <si>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</si>
  <si>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</si>
  <si>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</si>
  <si>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</si>
  <si>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</si>
  <si>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</si>
  <si>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</si>
  <si>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</si>
  <si>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</si>
  <si>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</si>
  <si>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</si>
  <si>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</si>
  <si>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</si>
  <si>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</si>
  <si>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</si>
  <si>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</si>
  <si>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</si>
  <si>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</si>
  <si>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</si>
  <si>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</si>
  <si>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</si>
  <si>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</si>
  <si>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</si>
  <si>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</si>
  <si>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</si>
  <si>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</si>
  <si>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</si>
  <si>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</si>
  <si>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</si>
  <si>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</si>
  <si>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</si>
  <si>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</si>
  <si>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</si>
  <si>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</si>
  <si>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</si>
  <si>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</si>
  <si>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</si>
  <si>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</si>
  <si>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</si>
  <si>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</si>
  <si>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</si>
  <si>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</si>
  <si>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</si>
  <si>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</si>
  <si>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</si>
  <si>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</si>
  <si>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</si>
  <si>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</si>
  <si>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</si>
  <si>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</si>
  <si>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</si>
  <si>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</si>
  <si>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</si>
  <si>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</si>
  <si>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</si>
  <si>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</si>
  <si>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</si>
  <si>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</si>
  <si>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</si>
  <si>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</si>
  <si>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</si>
  <si>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</si>
  <si>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</si>
  <si>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</si>
  <si>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</si>
  <si>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</si>
  <si>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</si>
  <si>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</si>
  <si>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</si>
  <si>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</si>
  <si>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</si>
  <si>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</si>
  <si>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</si>
  <si>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</si>
  <si>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</si>
  <si>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</si>
  <si>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</si>
  <si>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</si>
  <si>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</si>
  <si>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</si>
  <si>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</si>
  <si>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</si>
  <si>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</si>
  <si>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</si>
  <si>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</si>
  <si>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</si>
  <si>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</si>
  <si>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</si>
  <si>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</si>
  <si>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</si>
  <si>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</si>
  <si>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</si>
  <si>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</si>
  <si>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</si>
  <si>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</si>
  <si>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</si>
  <si>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</si>
  <si>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</si>
  <si>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</si>
  <si>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</si>
  <si>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</si>
  <si>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</si>
  <si>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</si>
  <si>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</si>
  <si>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</si>
  <si>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</si>
  <si>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</si>
  <si>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</si>
  <si>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</si>
  <si>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</si>
  <si>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</si>
  <si>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</si>
  <si>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</si>
  <si>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</si>
  <si>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</si>
  <si>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</si>
  <si>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</si>
  <si>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</si>
  <si>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</si>
  <si>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</si>
  <si>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</si>
  <si>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</si>
  <si>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</si>
  <si>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</si>
  <si>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</si>
  <si>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</si>
  <si>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</si>
  <si>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</si>
  <si>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</si>
  <si>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</si>
  <si>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</si>
  <si>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</si>
  <si>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</si>
  <si>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</si>
  <si>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</si>
  <si>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</si>
  <si>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</si>
  <si>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</si>
  <si>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</si>
  <si>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</si>
  <si>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</si>
  <si>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</si>
  <si>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</si>
  <si>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</si>
  <si>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</si>
  <si>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</si>
  <si>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</si>
  <si>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</si>
  <si>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</si>
  <si>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</si>
  <si>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</si>
  <si>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</si>
  <si>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</si>
  <si>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</si>
  <si>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</si>
  <si>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</si>
  <si>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</si>
  <si>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</si>
  <si>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</si>
  <si>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</si>
  <si>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</si>
  <si>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</si>
  <si>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</si>
  <si>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</si>
  <si>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</si>
  <si>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</si>
  <si>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</si>
  <si>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</si>
  <si>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</si>
  <si>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</si>
  <si>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</si>
  <si>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</si>
  <si>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</si>
  <si>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</si>
  <si>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</si>
  <si>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</si>
  <si>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</si>
  <si>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</si>
  <si>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</si>
  <si>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</si>
  <si>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</si>
  <si>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</si>
  <si>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</si>
  <si>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</si>
  <si>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</si>
  <si>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</si>
  <si>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</si>
  <si>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</si>
  <si>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</si>
  <si>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</si>
  <si>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</si>
  <si>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</si>
  <si>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</si>
  <si>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</si>
  <si>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</si>
  <si>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</si>
  <si>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</si>
  <si>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</si>
  <si>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</si>
  <si>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</si>
  <si>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</si>
  <si>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</si>
  <si>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</si>
  <si>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</si>
  <si>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</si>
  <si>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</si>
  <si>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</si>
  <si>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</si>
  <si>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</si>
  <si>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</si>
  <si>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</si>
  <si>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</si>
  <si>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</si>
  <si>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</si>
  <si>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</si>
  <si>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</si>
  <si>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</si>
  <si>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</si>
  <si>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</si>
  <si>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</si>
  <si>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</si>
  <si>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</si>
  <si>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</si>
  <si>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</si>
  <si>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</si>
  <si>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</si>
  <si>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</si>
  <si>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</si>
  <si>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</si>
  <si>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</si>
  <si>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</si>
  <si>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</si>
  <si>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</si>
  <si>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</si>
  <si>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</si>
  <si>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</si>
  <si>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</si>
  <si>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</si>
  <si>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</si>
  <si>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</si>
  <si>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</si>
  <si>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</si>
  <si>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</si>
  <si>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</si>
  <si>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</si>
  <si>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</si>
  <si>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</si>
  <si>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</si>
  <si>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</si>
  <si>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</si>
  <si>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</si>
  <si>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</si>
  <si>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</si>
  <si>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</si>
  <si>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</si>
  <si>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</si>
  <si>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</si>
  <si>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</si>
  <si>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</si>
  <si>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</si>
  <si>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</si>
  <si>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</si>
  <si>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</si>
  <si>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</si>
  <si>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</si>
  <si>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</si>
  <si>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</si>
  <si>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</si>
  <si>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</si>
  <si>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</si>
  <si>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</si>
  <si>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</si>
  <si>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</si>
  <si>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</si>
  <si>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</si>
  <si>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</si>
  <si>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</si>
  <si>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</si>
  <si>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</si>
  <si>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</si>
  <si>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</si>
  <si>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</si>
  <si>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</si>
  <si>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</si>
  <si>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</si>
  <si>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</si>
  <si>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</si>
  <si>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</si>
  <si>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</si>
  <si>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</si>
  <si>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</si>
  <si>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</si>
  <si>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</si>
  <si>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</si>
  <si>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</si>
  <si>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</si>
  <si>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</si>
  <si>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</si>
  <si>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</si>
  <si>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</si>
  <si>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</si>
  <si>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</si>
  <si>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</si>
  <si>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</si>
  <si>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</si>
  <si>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</si>
  <si>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</si>
  <si>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</si>
  <si>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</si>
  <si>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</si>
  <si>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</si>
  <si>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</si>
  <si>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</si>
  <si>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</si>
  <si>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</si>
  <si>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</si>
  <si>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</si>
  <si>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</si>
  <si>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</si>
  <si>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</si>
  <si>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</si>
  <si>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</si>
  <si>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</si>
  <si>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</si>
  <si>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</si>
  <si>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</si>
  <si>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</si>
  <si>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</si>
  <si>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</si>
  <si>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</si>
  <si>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</si>
  <si>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</si>
  <si>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</si>
  <si>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</si>
  <si>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</si>
  <si>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</si>
  <si>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</si>
  <si>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</si>
  <si>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</si>
  <si>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</si>
  <si>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</si>
  <si>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</si>
  <si>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</si>
  <si>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</si>
  <si>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</si>
  <si>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</si>
  <si>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</si>
  <si>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</si>
  <si>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</si>
  <si>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</si>
  <si>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</si>
  <si>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</si>
  <si>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</si>
  <si>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</si>
  <si>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</si>
  <si>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</si>
  <si>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</si>
  <si>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</si>
  <si>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</si>
  <si>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</si>
  <si>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</si>
  <si>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</si>
  <si>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</si>
  <si>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</si>
  <si>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</si>
  <si>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</si>
  <si>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</si>
  <si>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</si>
  <si>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</si>
  <si>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</si>
  <si>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</si>
  <si>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</si>
  <si>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</si>
  <si>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</si>
  <si>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</si>
  <si>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</si>
  <si>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</si>
  <si>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</si>
  <si>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</si>
  <si>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</si>
  <si>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</si>
  <si>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</si>
  <si>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</si>
  <si>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</si>
  <si>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</si>
  <si>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</si>
  <si>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</si>
  <si>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</si>
  <si>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</si>
  <si>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</si>
  <si>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</si>
  <si>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</si>
  <si>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</si>
  <si>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</si>
  <si>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</si>
  <si>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</si>
  <si>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</si>
  <si>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</si>
  <si>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</si>
  <si>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</si>
  <si>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</si>
  <si>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</si>
  <si>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</si>
  <si>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</si>
  <si>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</si>
  <si>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</si>
  <si>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</si>
  <si>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</si>
  <si>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</si>
  <si>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</si>
  <si>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</si>
  <si>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</si>
  <si>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</si>
  <si>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</si>
  <si>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</si>
  <si>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</si>
  <si>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</si>
  <si>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</si>
  <si>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</si>
  <si>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</si>
  <si>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</si>
  <si>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</si>
  <si>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</si>
  <si>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</si>
  <si>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</si>
  <si>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</si>
  <si>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</si>
  <si>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</si>
  <si>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</si>
  <si>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</si>
  <si>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</si>
  <si>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</si>
  <si>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</si>
  <si>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</si>
  <si>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</si>
  <si>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</si>
  <si>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</si>
  <si>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</si>
  <si>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</si>
  <si>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</si>
  <si>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</si>
  <si>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</si>
  <si>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</si>
  <si>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</si>
  <si>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</si>
  <si>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</si>
  <si>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</si>
  <si>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</si>
  <si>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</si>
  <si>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</si>
  <si>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</si>
  <si>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</si>
  <si>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</si>
  <si>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</si>
  <si>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</si>
  <si>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</si>
  <si>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</si>
  <si>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</si>
  <si>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</si>
  <si>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</si>
  <si>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</si>
  <si>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</si>
  <si>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</si>
  <si>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</si>
  <si>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</si>
  <si>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</si>
  <si>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</si>
  <si>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</si>
  <si>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</si>
  <si>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</si>
  <si>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</si>
  <si>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</si>
  <si>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</si>
  <si>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</si>
  <si>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</si>
  <si>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</si>
  <si>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</si>
  <si>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</si>
  <si>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</si>
  <si>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</si>
  <si>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</si>
  <si>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</si>
  <si>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</si>
  <si>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</si>
  <si>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</si>
  <si>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</si>
  <si>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</si>
  <si>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</si>
  <si>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</si>
  <si>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</si>
  <si>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</si>
  <si>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</si>
  <si>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</si>
  <si>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</si>
  <si>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</si>
  <si>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</si>
  <si>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</si>
  <si>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</si>
  <si>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</si>
  <si>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</si>
  <si>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</si>
  <si>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</si>
  <si>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</si>
  <si>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</si>
  <si>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</si>
  <si>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</si>
  <si>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</si>
  <si>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</si>
  <si>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</si>
  <si>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</si>
  <si>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</si>
  <si>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</si>
  <si>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</si>
  <si>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</si>
  <si>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</si>
  <si>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</si>
  <si>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</si>
  <si>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</si>
  <si>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</si>
  <si>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</si>
  <si>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</si>
  <si>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</si>
  <si>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</si>
  <si>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</si>
  <si>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</si>
  <si>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</si>
  <si>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</si>
  <si>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</si>
  <si>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</si>
  <si>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</si>
  <si>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</si>
  <si>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</si>
  <si>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</si>
  <si>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</si>
  <si>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</si>
  <si>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</si>
  <si>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</si>
  <si>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</si>
  <si>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</si>
  <si>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</si>
  <si>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</si>
  <si>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</si>
  <si>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</si>
  <si>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</si>
  <si>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</si>
  <si>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</si>
  <si>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</si>
  <si>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</si>
  <si>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</si>
  <si>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</si>
  <si>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</si>
  <si>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</si>
  <si>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</si>
  <si>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</si>
  <si>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</si>
  <si>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</si>
  <si>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</si>
  <si>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</si>
  <si>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</si>
  <si>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</si>
  <si>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</si>
  <si>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</si>
  <si>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</si>
  <si>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</si>
  <si>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</si>
  <si>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</si>
  <si>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</si>
  <si>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</si>
  <si>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</si>
  <si>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</si>
  <si>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</si>
  <si>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</si>
  <si>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</si>
  <si>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</si>
  <si>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</si>
  <si>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</si>
  <si>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</si>
  <si>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</si>
  <si>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</si>
  <si>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</si>
  <si>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</si>
  <si>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</si>
  <si>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</si>
  <si>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</si>
  <si>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</si>
  <si>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</si>
  <si>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</si>
  <si>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</si>
  <si>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</si>
  <si>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</si>
  <si>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</si>
  <si>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</si>
  <si>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</si>
  <si>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</si>
  <si>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</si>
  <si>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</si>
  <si>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</si>
  <si>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</si>
  <si>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</si>
  <si>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</si>
  <si>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</si>
  <si>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</si>
  <si>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</si>
  <si>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</si>
  <si>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</si>
  <si>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</si>
  <si>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</si>
  <si>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</si>
  <si>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</si>
  <si>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</si>
  <si>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</si>
  <si>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</si>
  <si>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</si>
  <si>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</si>
  <si>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</si>
  <si>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</si>
  <si>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</si>
  <si>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</si>
  <si>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</si>
  <si>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</si>
  <si>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</si>
  <si>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</si>
  <si>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</si>
  <si>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</si>
  <si>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</si>
  <si>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</si>
  <si>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</si>
  <si>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</si>
  <si>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</si>
  <si>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</si>
  <si>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</si>
  <si>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</si>
  <si>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</si>
  <si>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</si>
  <si>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</si>
  <si>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</si>
  <si>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</si>
  <si>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</si>
  <si>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</si>
  <si>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</si>
  <si>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</si>
  <si>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</si>
  <si>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</si>
  <si>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</si>
  <si>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</si>
  <si>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</si>
  <si>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</si>
  <si>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</si>
  <si>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</si>
  <si>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</si>
  <si>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</si>
  <si>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</si>
  <si>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</si>
  <si>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</si>
  <si>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</si>
  <si>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</si>
  <si>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</si>
  <si>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</si>
  <si>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</si>
  <si>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</si>
  <si>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</si>
  <si>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</si>
  <si>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</si>
  <si>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</si>
  <si>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</si>
  <si>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</si>
  <si>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</si>
  <si>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</si>
  <si>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</si>
  <si>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</si>
  <si>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</si>
  <si>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</si>
  <si>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</si>
  <si>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</si>
  <si>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</si>
  <si>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</si>
  <si>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</si>
  <si>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</si>
  <si>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</si>
  <si>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</si>
  <si>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</si>
  <si>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</si>
  <si>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</si>
  <si>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</si>
  <si>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</si>
  <si>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</si>
  <si>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</si>
  <si>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</si>
  <si>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</si>
  <si>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</si>
  <si>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</si>
  <si>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</si>
  <si>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</si>
  <si>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</si>
  <si>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</si>
  <si>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</si>
  <si>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</si>
  <si>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</si>
  <si>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</si>
  <si>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</si>
  <si>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</si>
  <si>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</si>
  <si>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</si>
  <si>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</si>
  <si>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</si>
  <si>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</si>
  <si>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</si>
  <si>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</si>
  <si>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</si>
  <si>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</si>
  <si>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</si>
  <si>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</si>
  <si>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</si>
  <si>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</si>
  <si>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</si>
  <si>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</si>
  <si>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</si>
  <si>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</si>
  <si>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</si>
  <si>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</si>
  <si>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</si>
  <si>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</si>
  <si>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</si>
  <si>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</si>
  <si>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</si>
  <si>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</si>
  <si>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</si>
  <si>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</si>
  <si>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</si>
  <si>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</si>
  <si>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</si>
  <si>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</si>
  <si>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</si>
  <si>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</si>
  <si>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</si>
  <si>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</si>
  <si>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</si>
  <si>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</si>
  <si>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</si>
  <si>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</si>
  <si>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</si>
  <si>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</si>
  <si>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</si>
  <si>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</si>
  <si>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</si>
  <si>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</si>
  <si>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</si>
  <si>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</si>
  <si>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</si>
  <si>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</si>
  <si>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</si>
  <si>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</si>
  <si>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</si>
  <si>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</si>
  <si>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</si>
  <si>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</si>
  <si>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</si>
  <si>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</si>
  <si>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</si>
  <si>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</si>
  <si>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</si>
  <si>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</si>
  <si>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</si>
  <si>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</si>
  <si>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</si>
  <si>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</si>
  <si>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</si>
  <si>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</si>
  <si>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</si>
  <si>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</si>
  <si>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</si>
  <si>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</si>
  <si>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</si>
  <si>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</si>
  <si>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</si>
  <si>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</si>
  <si>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</si>
  <si>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</si>
  <si>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</si>
  <si>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</si>
  <si>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</si>
  <si>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</si>
  <si>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</si>
  <si>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</si>
  <si>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</si>
  <si>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</si>
  <si>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</si>
  <si>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</si>
  <si>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</si>
  <si>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</si>
  <si>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</si>
  <si>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</si>
  <si>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</si>
  <si>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</si>
  <si>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</si>
  <si>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</si>
  <si>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</si>
  <si>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</si>
  <si>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</si>
  <si>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</si>
  <si>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</si>
  <si>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</si>
  <si>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</si>
  <si>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</si>
  <si>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</si>
  <si>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</si>
  <si>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</si>
  <si>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</si>
  <si>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</si>
  <si>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</si>
  <si>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</si>
  <si>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</si>
  <si>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</si>
  <si>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</si>
  <si>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</si>
  <si>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</si>
  <si>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</si>
  <si>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</si>
  <si>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</si>
  <si>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</si>
  <si>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</si>
  <si>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</si>
  <si>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</si>
  <si>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</si>
  <si>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</si>
  <si>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</si>
  <si>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</si>
  <si>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</si>
  <si>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</si>
  <si>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</si>
  <si>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</si>
  <si>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</si>
  <si>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</si>
  <si>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</si>
  <si>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</si>
  <si>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</si>
  <si>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</si>
  <si>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</si>
  <si>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</si>
  <si>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</si>
  <si>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</si>
  <si>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</si>
  <si>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</si>
  <si>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</si>
  <si>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</si>
  <si>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</si>
  <si>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</si>
  <si>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</si>
  <si>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</si>
  <si>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</si>
  <si>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</si>
  <si>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</si>
  <si>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</si>
  <si>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</si>
  <si>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</si>
  <si>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</si>
  <si>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</si>
  <si>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</si>
  <si>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</si>
  <si>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</si>
  <si>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</si>
  <si>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</si>
  <si>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</si>
  <si>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</si>
  <si>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</si>
  <si>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</si>
  <si>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</si>
  <si>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</si>
  <si>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</si>
  <si>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</si>
  <si>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</si>
  <si>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</si>
  <si>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</si>
  <si>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</si>
  <si>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</si>
  <si>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</si>
  <si>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</si>
  <si>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</si>
  <si>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</si>
  <si>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</si>
  <si>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</si>
  <si>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</si>
  <si>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</si>
  <si>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</si>
  <si>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</si>
  <si>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</si>
  <si>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</si>
  <si>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</si>
  <si>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</si>
  <si>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</si>
  <si>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</si>
  <si>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</si>
  <si>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</si>
  <si>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</si>
  <si>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</si>
  <si>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</si>
  <si>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</si>
  <si>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</si>
  <si>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</si>
  <si>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</si>
  <si>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</si>
  <si>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</si>
  <si>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</si>
  <si>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</si>
  <si>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</si>
  <si>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</si>
  <si>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</si>
  <si>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</si>
  <si>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</si>
  <si>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</si>
  <si>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</si>
  <si>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</si>
  <si>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</si>
  <si>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</si>
  <si>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</si>
  <si>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</si>
  <si>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</si>
  <si>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</si>
  <si>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</si>
  <si>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</si>
  <si>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</si>
  <si>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</si>
  <si>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</si>
  <si>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</si>
  <si>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</si>
  <si>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</si>
  <si>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</si>
  <si>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</si>
  <si>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</si>
  <si>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</si>
  <si>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</si>
  <si>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</si>
  <si>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</si>
  <si>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</si>
  <si>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</si>
  <si>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</si>
  <si>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</si>
  <si>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</si>
  <si>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</si>
  <si>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</si>
  <si>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</si>
  <si>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</si>
  <si>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</si>
  <si>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</si>
  <si>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</si>
  <si>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</si>
  <si>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</si>
  <si>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</si>
  <si>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</si>
  <si>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</si>
  <si>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</si>
  <si>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</si>
  <si>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</si>
  <si>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</si>
  <si>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</si>
  <si>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</si>
  <si>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</si>
  <si>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</si>
  <si>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</si>
  <si>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</si>
  <si>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</si>
  <si>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</si>
  <si>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</si>
  <si>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</si>
  <si>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</si>
  <si>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</si>
  <si>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</si>
  <si>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</si>
  <si>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</si>
  <si>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</si>
  <si>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</si>
  <si>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</si>
  <si>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</si>
  <si>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</si>
  <si>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</si>
  <si>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</si>
  <si>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</si>
  <si>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</si>
  <si>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</si>
  <si>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</si>
  <si>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</si>
  <si>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</si>
  <si>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</si>
  <si>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</si>
  <si>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</si>
  <si>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</si>
  <si>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</si>
  <si>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</si>
  <si>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</si>
  <si>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</si>
  <si>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</si>
  <si>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</si>
  <si>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</si>
  <si>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</si>
  <si>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</si>
  <si>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</si>
  <si>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</si>
  <si>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</si>
  <si>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</si>
  <si>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</si>
  <si>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</si>
  <si>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</si>
  <si>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</si>
  <si>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</si>
  <si>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</si>
  <si>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</si>
  <si>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</si>
  <si>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</si>
  <si>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</si>
  <si>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</si>
  <si>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</si>
  <si>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</si>
  <si>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</si>
  <si>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</si>
  <si>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</si>
  <si>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</si>
  <si>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</si>
  <si>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</si>
  <si>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</si>
  <si>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</si>
  <si>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</si>
  <si>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</si>
  <si>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</si>
  <si>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</si>
  <si>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</si>
  <si>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</si>
  <si>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</si>
  <si>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</si>
  <si>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</si>
  <si>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</si>
  <si>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</si>
  <si>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</si>
  <si>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</si>
  <si>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</si>
  <si>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</si>
  <si>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</si>
  <si>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</si>
  <si>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</si>
  <si>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</si>
  <si>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</si>
  <si>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</si>
  <si>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</si>
  <si>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</si>
  <si>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</si>
  <si>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</si>
  <si>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</si>
  <si>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</si>
  <si>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</si>
  <si>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</si>
  <si>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</si>
  <si>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</si>
  <si>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</si>
  <si>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</si>
  <si>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</si>
  <si>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</si>
  <si>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</si>
  <si>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</si>
  <si>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</si>
  <si>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</si>
  <si>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</si>
  <si>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</si>
  <si>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</si>
  <si>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</si>
  <si>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</si>
  <si>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</si>
  <si>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</si>
  <si>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</si>
  <si>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</si>
  <si>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</si>
  <si>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</si>
  <si>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</si>
  <si>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</si>
  <si>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</si>
  <si>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</si>
  <si>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</si>
  <si>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</si>
  <si>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</si>
  <si>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</si>
  <si>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</si>
  <si>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</si>
  <si>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</si>
  <si>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</si>
  <si>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</si>
  <si>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</si>
  <si>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</si>
  <si>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</si>
  <si>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</si>
  <si>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</si>
  <si>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</si>
  <si>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</si>
  <si>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</si>
  <si>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</si>
  <si>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</si>
  <si>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</si>
  <si>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</si>
  <si>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</si>
  <si>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</si>
  <si>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</si>
  <si>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</si>
  <si>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</si>
  <si>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</si>
  <si>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</si>
  <si>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</si>
  <si>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</si>
  <si>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</si>
  <si>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</si>
  <si>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</si>
  <si>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</si>
  <si>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</si>
  <si>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</si>
  <si>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</si>
  <si>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</si>
  <si>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</si>
  <si>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</si>
  <si>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</si>
  <si>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</si>
  <si>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</si>
  <si>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</si>
  <si>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</si>
  <si>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</si>
  <si>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</si>
  <si>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</si>
  <si>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</si>
  <si>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</si>
  <si>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</si>
  <si>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</si>
  <si>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</si>
  <si>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</si>
  <si>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</si>
  <si>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</si>
  <si>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</si>
  <si>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</si>
  <si>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</si>
  <si>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</si>
  <si>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</si>
  <si>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</si>
  <si>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</si>
  <si>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</si>
  <si>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</si>
  <si>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</si>
  <si>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</si>
  <si>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</si>
  <si>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</si>
  <si>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</si>
  <si>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</si>
  <si>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</si>
  <si>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</si>
  <si>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</si>
  <si>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</si>
  <si>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</si>
  <si>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</si>
  <si>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</si>
  <si>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</si>
  <si>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</si>
  <si>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</si>
  <si>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</si>
  <si>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</si>
  <si>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</si>
  <si>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</si>
  <si>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</si>
  <si>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</si>
  <si>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</si>
  <si>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</si>
  <si>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</si>
  <si>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</si>
  <si>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</si>
  <si>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</si>
  <si>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</si>
  <si>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</si>
  <si>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</si>
  <si>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</si>
  <si>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</si>
  <si>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</si>
  <si>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</si>
  <si>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</si>
  <si>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</si>
  <si>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</si>
  <si>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</si>
  <si>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</si>
  <si>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</si>
  <si>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</si>
  <si>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</si>
  <si>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</si>
  <si>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</si>
  <si>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</si>
  <si>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</si>
  <si>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</si>
  <si>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</si>
  <si>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</si>
  <si>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</si>
  <si>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</si>
  <si>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</si>
  <si>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</si>
  <si>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</si>
  <si>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</si>
  <si>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</si>
  <si>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</si>
  <si>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</si>
  <si>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</si>
  <si>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</si>
  <si>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</si>
  <si>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</si>
  <si>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</si>
  <si>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</si>
  <si>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</si>
  <si>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</si>
  <si>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</si>
  <si>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</si>
  <si>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</si>
  <si>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</si>
  <si>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</si>
  <si>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</si>
  <si>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</si>
  <si>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</si>
  <si>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</si>
  <si>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</si>
  <si>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</si>
  <si>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</si>
  <si>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</si>
  <si>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</si>
  <si>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</si>
  <si>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</si>
  <si>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</si>
  <si>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</si>
  <si>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</si>
  <si>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</si>
  <si>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</si>
  <si>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</si>
  <si>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</si>
  <si>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</si>
  <si>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</si>
  <si>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</si>
  <si>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</si>
  <si>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</si>
  <si>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</si>
  <si>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</si>
  <si>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</si>
  <si>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</si>
  <si>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</si>
  <si>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</si>
  <si>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</si>
  <si>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</si>
  <si>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</si>
  <si>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</si>
  <si>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</si>
  <si>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</si>
  <si>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</si>
  <si>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</si>
  <si>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</si>
  <si>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</si>
  <si>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</si>
  <si>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</si>
  <si>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</si>
  <si>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</si>
  <si>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</si>
  <si>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</si>
  <si>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</si>
  <si>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</si>
  <si>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</si>
  <si>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</si>
  <si>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</si>
  <si>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</si>
  <si>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</si>
  <si>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</si>
  <si>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</si>
  <si>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</si>
  <si>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</si>
  <si>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</si>
  <si>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</si>
  <si>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</si>
  <si>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</si>
  <si>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</si>
  <si>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</si>
  <si>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</si>
  <si>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</si>
  <si>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</si>
  <si>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</si>
  <si>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</si>
  <si>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</si>
  <si>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</si>
  <si>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</si>
  <si>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</si>
  <si>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</si>
  <si>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</si>
  <si>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</si>
  <si>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</si>
  <si>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</si>
  <si>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</si>
  <si>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</si>
  <si>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</si>
  <si>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</si>
  <si>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</si>
  <si>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</si>
  <si>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</si>
  <si>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</si>
  <si>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</si>
  <si>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</si>
  <si>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</si>
  <si>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</si>
  <si>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</si>
  <si>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</si>
  <si>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</si>
  <si>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</si>
  <si>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</si>
  <si>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</si>
  <si>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</si>
  <si>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</si>
  <si>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</si>
  <si>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</si>
  <si>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</si>
  <si>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</si>
  <si>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</si>
  <si>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</si>
  <si>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</si>
  <si>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</si>
  <si>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</si>
  <si>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</si>
  <si>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</si>
  <si>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</si>
  <si>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</si>
  <si>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</si>
  <si>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</si>
  <si>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</si>
  <si>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</si>
  <si>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</si>
  <si>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</si>
  <si>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</si>
  <si>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</si>
  <si>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</si>
  <si>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</si>
  <si>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</si>
  <si>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</si>
  <si>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</si>
  <si>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</si>
  <si>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</si>
  <si>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</si>
  <si>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</si>
  <si>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</si>
  <si>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</si>
  <si>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</si>
  <si>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</si>
  <si>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</si>
  <si>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</si>
  <si>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</si>
  <si>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</si>
  <si>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</si>
  <si>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</si>
  <si>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</si>
  <si>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</si>
  <si>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</si>
  <si>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</si>
  <si>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</si>
  <si>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</si>
  <si>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</si>
  <si>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</si>
  <si>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</si>
  <si>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</si>
  <si>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</si>
  <si>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</si>
  <si>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</si>
  <si>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</si>
  <si>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</si>
  <si>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</si>
  <si>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</si>
  <si>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</si>
  <si>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</si>
  <si>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</si>
  <si>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</si>
  <si>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</si>
  <si>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</si>
  <si>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</si>
  <si>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</si>
  <si>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</si>
  <si>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</si>
  <si>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</si>
  <si>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</si>
  <si>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</si>
  <si>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</si>
  <si>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</si>
  <si>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</si>
  <si>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</si>
  <si>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</si>
  <si>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</si>
  <si>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</si>
  <si>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</si>
  <si>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</si>
  <si>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</si>
  <si>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</si>
  <si>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</si>
  <si>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</si>
  <si>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</si>
  <si>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</si>
  <si>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</si>
  <si>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</si>
  <si>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</si>
  <si>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</si>
  <si>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</si>
  <si>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</si>
  <si>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</si>
  <si>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</si>
  <si>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</si>
  <si>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</si>
  <si>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</si>
  <si>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</si>
  <si>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</si>
  <si>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</si>
  <si>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</si>
  <si>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</si>
  <si>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</si>
  <si>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</si>
  <si>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</si>
  <si>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</si>
  <si>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</si>
  <si>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</si>
  <si>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</si>
  <si>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</si>
  <si>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</si>
  <si>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</si>
  <si>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</si>
  <si>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</si>
  <si>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</si>
  <si>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</si>
  <si>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</si>
  <si>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</si>
  <si>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</si>
  <si>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</si>
  <si>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</si>
  <si>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</si>
  <si>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</si>
  <si>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</si>
  <si>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</si>
  <si>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</si>
  <si>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</si>
  <si>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</si>
  <si>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</si>
  <si>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</si>
  <si>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</si>
  <si>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</si>
  <si>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</si>
  <si>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</si>
  <si>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</si>
  <si>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</si>
  <si>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</si>
  <si>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</si>
  <si>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</si>
  <si>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</si>
  <si>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</si>
  <si>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</si>
  <si>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</si>
  <si>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</si>
  <si>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</si>
  <si>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</si>
  <si>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</si>
  <si>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</si>
  <si>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</si>
  <si>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</si>
  <si>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</si>
  <si>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</si>
  <si>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</si>
  <si>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</si>
  <si>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</si>
  <si>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</si>
  <si>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</si>
  <si>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</si>
  <si>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</si>
  <si>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</si>
  <si>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</si>
  <si>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</si>
  <si>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</si>
  <si>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</si>
  <si>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</si>
  <si>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</si>
  <si>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</si>
  <si>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</si>
  <si>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</si>
  <si>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</si>
  <si>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</si>
  <si>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</si>
  <si>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</si>
  <si>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</si>
  <si>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</si>
  <si>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</si>
  <si>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</si>
  <si>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</si>
  <si>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</si>
  <si>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</si>
  <si>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</si>
  <si>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</si>
  <si>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</si>
  <si>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</si>
  <si>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</si>
  <si>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</si>
  <si>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</si>
  <si>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</si>
  <si>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</si>
  <si>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</si>
  <si>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</si>
  <si>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</si>
  <si>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</si>
  <si>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</si>
  <si>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</si>
  <si>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</si>
  <si>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</si>
  <si>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</si>
  <si>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</si>
  <si>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</si>
  <si>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</si>
  <si>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</si>
  <si>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</si>
  <si>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</si>
  <si>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</si>
  <si>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</si>
  <si>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</si>
  <si>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</si>
  <si>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</si>
  <si>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</si>
  <si>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</si>
  <si>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</si>
  <si>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</si>
  <si>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</si>
  <si>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</si>
  <si>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</si>
  <si>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</si>
  <si>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</si>
  <si>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</si>
  <si>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</si>
  <si>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</si>
  <si>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</si>
  <si>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</si>
  <si>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</si>
  <si>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</si>
  <si>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</si>
  <si>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</si>
  <si>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</si>
  <si>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</si>
  <si>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</si>
  <si>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</si>
  <si>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</si>
  <si>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</si>
  <si>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</si>
  <si>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</si>
  <si>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</si>
  <si>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</si>
  <si>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</si>
  <si>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</si>
  <si>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</si>
  <si>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</si>
  <si>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</si>
  <si>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</si>
  <si>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</si>
  <si>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</si>
  <si>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</si>
  <si>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</si>
  <si>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</si>
  <si>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</si>
  <si>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</si>
  <si>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</si>
  <si>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</si>
  <si>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</si>
  <si>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</si>
  <si>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</si>
  <si>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</si>
  <si>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</si>
  <si>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</si>
  <si>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</si>
  <si>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</si>
  <si>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</si>
  <si>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</si>
  <si>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</si>
  <si>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</si>
  <si>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</si>
  <si>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</si>
  <si>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</si>
  <si>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</si>
  <si>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</si>
  <si>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</si>
  <si>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</si>
  <si>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</si>
  <si>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</si>
  <si>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</si>
  <si>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</si>
  <si>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</si>
  <si>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</si>
  <si>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</si>
  <si>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</si>
  <si>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</si>
  <si>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</si>
  <si>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</si>
  <si>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</si>
  <si>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</si>
  <si>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</si>
  <si>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</si>
  <si>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</si>
  <si>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</si>
  <si>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</si>
  <si>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</si>
  <si>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</si>
  <si>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</si>
  <si>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</si>
  <si>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</si>
  <si>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</si>
  <si>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</si>
  <si>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</si>
  <si>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</si>
  <si>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</si>
  <si>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</si>
  <si>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</si>
  <si>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</si>
  <si>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</si>
  <si>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</si>
  <si>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</si>
  <si>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</si>
  <si>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</si>
  <si>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</si>
  <si>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</si>
  <si>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</si>
  <si>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</si>
  <si>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</si>
  <si>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</si>
  <si>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</si>
  <si>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</si>
  <si>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</si>
  <si>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</si>
  <si>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</si>
  <si>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</si>
  <si>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</si>
  <si>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</si>
  <si>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</si>
  <si>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</si>
  <si>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</si>
  <si>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</si>
  <si>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</si>
  <si>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</si>
  <si>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</si>
  <si>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</si>
  <si>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</si>
  <si>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</si>
  <si>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</si>
  <si>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</si>
  <si>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</si>
  <si>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</si>
  <si>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</si>
  <si>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</si>
  <si>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</si>
  <si>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</si>
  <si>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</si>
  <si>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</si>
  <si>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</si>
  <si>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</si>
  <si>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</si>
  <si>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</si>
  <si>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</si>
  <si>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</si>
  <si>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</si>
  <si>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</si>
  <si>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</si>
  <si>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</si>
  <si>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</si>
  <si>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</si>
  <si>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</si>
  <si>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</si>
  <si>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</si>
  <si>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</si>
  <si>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</si>
  <si>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</si>
  <si>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</si>
  <si>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</si>
  <si>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</si>
  <si>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</si>
  <si>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</si>
  <si>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</si>
  <si>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</si>
  <si>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</si>
  <si>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</si>
  <si>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</si>
  <si>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</si>
  <si>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</si>
  <si>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</si>
  <si>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</si>
  <si>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</si>
  <si>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</si>
  <si>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</si>
  <si>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</si>
  <si>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</si>
  <si>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</si>
  <si>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</si>
  <si>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</si>
  <si>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</si>
  <si>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</si>
  <si>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</si>
  <si>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</si>
  <si>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</si>
  <si>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</si>
  <si>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</si>
  <si>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</si>
  <si>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</si>
  <si>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</si>
  <si>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</si>
  <si>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</si>
  <si>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</si>
  <si>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</si>
  <si>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</si>
  <si>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</si>
  <si>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</si>
  <si>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</si>
  <si>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</si>
  <si>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</si>
  <si>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</si>
  <si>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</si>
  <si>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</si>
  <si>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</si>
  <si>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</si>
  <si>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</si>
  <si>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</si>
  <si>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</si>
  <si>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</si>
  <si>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</si>
  <si>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</si>
  <si>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</si>
  <si>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</si>
  <si>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</si>
  <si>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</si>
  <si>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</si>
  <si>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</si>
  <si>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</si>
  <si>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</si>
  <si>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</si>
  <si>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</si>
  <si>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</si>
  <si>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</si>
  <si>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</si>
  <si>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</si>
  <si>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</si>
  <si>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</si>
  <si>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</si>
  <si>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</si>
  <si>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</si>
  <si>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</si>
  <si>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</si>
  <si>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</si>
  <si>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</si>
  <si>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</si>
  <si>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</si>
  <si>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</si>
  <si>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</si>
  <si>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</si>
  <si>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</si>
  <si>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</si>
  <si>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</si>
  <si>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</si>
  <si>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</si>
  <si>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</si>
  <si>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</si>
  <si>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</si>
  <si>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</si>
  <si>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</si>
  <si>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</si>
  <si>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</si>
  <si>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</si>
  <si>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</si>
  <si>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</si>
  <si>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</si>
  <si>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</si>
  <si>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</si>
  <si>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</si>
  <si>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</si>
  <si>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</si>
  <si>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</si>
  <si>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</si>
  <si>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</si>
  <si>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</si>
  <si>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</si>
  <si>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</si>
  <si>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</si>
  <si>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</si>
  <si>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</si>
  <si>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</si>
  <si>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</si>
  <si>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</si>
  <si>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</si>
  <si>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</si>
  <si>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</si>
  <si>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</si>
  <si>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</si>
  <si>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</si>
  <si>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</si>
  <si>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</si>
  <si>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</si>
  <si>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</si>
  <si>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</si>
  <si>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</si>
  <si>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</si>
  <si>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</si>
  <si>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</si>
  <si>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</si>
  <si>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</si>
  <si>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</si>
  <si>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</si>
  <si>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</si>
  <si>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</si>
  <si>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</si>
  <si>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</si>
  <si>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</si>
  <si>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</si>
  <si>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</si>
  <si>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</si>
  <si>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</si>
  <si>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</si>
  <si>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</si>
  <si>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</si>
  <si>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</si>
  <si>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</si>
  <si>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</si>
  <si>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</si>
  <si>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</si>
  <si>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</si>
  <si>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</si>
  <si>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</si>
  <si>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</si>
  <si>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</si>
  <si>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</si>
  <si>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</si>
  <si>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</si>
  <si>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</si>
  <si>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</si>
  <si>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</si>
  <si>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</si>
  <si>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</si>
  <si>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</si>
  <si>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</si>
  <si>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</si>
  <si>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</si>
  <si>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</si>
  <si>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</si>
  <si>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</si>
  <si>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</si>
  <si>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</si>
  <si>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</si>
  <si>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</si>
  <si>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</si>
  <si>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</si>
  <si>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</si>
  <si>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</si>
  <si>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</si>
  <si>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</si>
  <si>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</si>
  <si>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</si>
  <si>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</si>
  <si>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</si>
  <si>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</si>
  <si>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</si>
  <si>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</si>
  <si>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</si>
  <si>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</si>
  <si>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</si>
  <si>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</si>
  <si>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</si>
  <si>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</si>
  <si>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</si>
  <si>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</si>
  <si>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</si>
  <si>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</si>
  <si>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</si>
  <si>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</si>
  <si>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</si>
  <si>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</si>
  <si>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</si>
  <si>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</si>
  <si>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</si>
  <si>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</si>
  <si>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</si>
  <si>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</si>
  <si>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</si>
  <si>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</si>
  <si>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</si>
  <si>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</si>
  <si>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</si>
  <si>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</si>
  <si>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</si>
  <si>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</si>
  <si>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</si>
  <si>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</si>
  <si>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</si>
  <si>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</si>
  <si>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</si>
  <si>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</si>
  <si>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</si>
  <si>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</si>
  <si>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</si>
  <si>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</si>
  <si>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</si>
  <si>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</si>
  <si>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</si>
  <si>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</si>
  <si>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</si>
  <si>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</si>
  <si>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</si>
  <si>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</si>
  <si>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</si>
  <si>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</si>
  <si>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</si>
  <si>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</si>
  <si>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</si>
  <si>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</si>
  <si>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</si>
  <si>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</si>
  <si>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</si>
  <si>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</si>
  <si>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</si>
  <si>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</si>
  <si>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</si>
  <si>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</si>
  <si>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</si>
  <si>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</si>
  <si>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</si>
  <si>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</si>
  <si>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</si>
  <si>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</si>
  <si>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</si>
  <si>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</si>
  <si>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</si>
  <si>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</si>
  <si>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</si>
  <si>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</si>
  <si>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</si>
  <si>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</si>
  <si>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</si>
  <si>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</si>
  <si>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</si>
  <si>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</si>
  <si>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</si>
  <si>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</si>
  <si>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</si>
  <si>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</si>
  <si>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</si>
  <si>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</si>
  <si>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</si>
  <si>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</si>
  <si>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</si>
  <si>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</si>
  <si>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</si>
  <si>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</si>
  <si>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</si>
  <si>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</si>
  <si>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</si>
  <si>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</si>
  <si>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</si>
  <si>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</si>
  <si>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</si>
  <si>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</si>
  <si>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</si>
  <si>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</si>
  <si>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</si>
  <si>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</si>
  <si>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</si>
  <si>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</si>
  <si>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</si>
  <si>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</si>
  <si>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</si>
  <si>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</si>
  <si>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</si>
  <si>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</si>
  <si>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</si>
  <si>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</si>
  <si>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</si>
  <si>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</si>
  <si>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</si>
  <si>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</si>
  <si>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</si>
  <si>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</si>
  <si>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</si>
  <si>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</si>
  <si>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</si>
  <si>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</si>
  <si>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</si>
  <si>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</si>
  <si>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</si>
  <si>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</si>
  <si>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</si>
  <si>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</si>
  <si>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</si>
  <si>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</si>
  <si>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</si>
  <si>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</si>
  <si>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</si>
  <si>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</si>
  <si>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</si>
  <si>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</si>
  <si>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</si>
  <si>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</si>
  <si>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</si>
  <si>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</si>
  <si>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</si>
  <si>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</si>
  <si>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</si>
  <si>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</si>
  <si>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</si>
  <si>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</si>
  <si>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</si>
  <si>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</si>
  <si>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</si>
  <si>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</si>
  <si>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</si>
  <si>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</si>
  <si>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</si>
  <si>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</si>
  <si>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</si>
  <si>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</si>
  <si>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</si>
  <si>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</si>
  <si>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</si>
  <si>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</si>
  <si>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</si>
  <si>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</si>
  <si>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</si>
  <si>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</si>
  <si>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</si>
  <si>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</si>
  <si>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</si>
  <si>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</si>
  <si>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</si>
  <si>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</si>
  <si>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</si>
  <si>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</si>
  <si>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</si>
  <si>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</si>
  <si>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</si>
  <si>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</si>
  <si>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</si>
  <si>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</si>
  <si>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</si>
  <si>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</si>
  <si>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</si>
  <si>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</si>
  <si>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</si>
  <si>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</si>
  <si>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</si>
  <si>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</si>
  <si>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</si>
  <si>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</si>
  <si>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</si>
  <si>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</si>
  <si>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</si>
  <si>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</si>
  <si>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</si>
  <si>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</si>
  <si>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</si>
  <si>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</si>
  <si>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</si>
  <si>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</si>
  <si>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</si>
  <si>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</si>
  <si>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</si>
  <si>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</si>
  <si>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</si>
  <si>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</si>
  <si>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</si>
  <si>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</si>
  <si>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</si>
  <si>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</si>
  <si>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</si>
  <si>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</si>
  <si>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</si>
  <si>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</si>
  <si>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</si>
  <si>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</si>
  <si>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</si>
  <si>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</si>
  <si>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</si>
  <si>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</si>
  <si>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</si>
  <si>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</si>
  <si>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</si>
  <si>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</si>
  <si>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</si>
  <si>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</si>
  <si>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</si>
  <si>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</si>
  <si>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</si>
  <si>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</si>
  <si>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</si>
  <si>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</si>
  <si>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</si>
  <si>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</si>
  <si>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</si>
  <si>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</si>
  <si>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</si>
  <si>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</si>
  <si>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</si>
  <si>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</si>
  <si>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</si>
  <si>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</si>
  <si>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</si>
  <si>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</si>
  <si>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</si>
  <si>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</si>
  <si>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</si>
  <si>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</si>
  <si>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</si>
  <si>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</si>
  <si>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</si>
  <si>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</si>
  <si>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</si>
  <si>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</si>
  <si>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</si>
  <si>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</si>
  <si>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</si>
  <si>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</si>
  <si>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</si>
  <si>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</si>
  <si>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</si>
  <si>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</si>
  <si>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</si>
  <si>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</si>
  <si>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</si>
  <si>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</si>
  <si>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</si>
  <si>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</si>
  <si>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</si>
  <si>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</si>
  <si>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</si>
  <si>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</si>
  <si>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</si>
  <si>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</si>
  <si>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</si>
  <si>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</si>
  <si>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</si>
  <si>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</si>
  <si>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</si>
  <si>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</si>
  <si>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</si>
  <si>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</si>
  <si>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</si>
  <si>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</si>
  <si>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</si>
  <si>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</si>
  <si>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</si>
  <si>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</si>
  <si>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</si>
  <si>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</si>
  <si>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</si>
  <si>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</si>
  <si>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</si>
  <si>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</si>
  <si>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</si>
  <si>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</si>
  <si>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</si>
  <si>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</si>
  <si>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</si>
  <si>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</si>
  <si>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</si>
  <si>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</si>
  <si>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</si>
  <si>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</si>
  <si>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</si>
  <si>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</si>
  <si>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</si>
  <si>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</si>
  <si>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</si>
  <si>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</si>
  <si>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</si>
  <si>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</si>
  <si>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</si>
  <si>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</si>
  <si>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</si>
  <si>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</si>
  <si>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</si>
  <si>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</si>
  <si>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</si>
  <si>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</si>
  <si>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</si>
  <si>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</si>
  <si>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</si>
  <si>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</si>
  <si>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</si>
  <si>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</si>
  <si>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</si>
  <si>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</si>
  <si>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</si>
  <si>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</si>
  <si>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</si>
  <si>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</si>
  <si>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</si>
  <si>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</si>
  <si>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</si>
  <si>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</si>
  <si>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</si>
  <si>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</si>
  <si>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</si>
  <si>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</si>
  <si>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</si>
  <si>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</si>
  <si>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</si>
  <si>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</si>
  <si>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</si>
  <si>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</si>
  <si>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</si>
  <si>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</si>
  <si>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</si>
  <si>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</si>
  <si>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</si>
  <si>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</si>
  <si>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</si>
  <si>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</si>
  <si>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</si>
  <si>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</si>
  <si>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</si>
  <si>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</si>
  <si>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</si>
  <si>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</si>
  <si>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</si>
  <si>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</si>
  <si>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</si>
  <si>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</si>
  <si>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</si>
  <si>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</si>
  <si>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</si>
  <si>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</si>
  <si>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</si>
  <si>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</si>
  <si>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</si>
  <si>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</si>
  <si>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</si>
  <si>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</si>
  <si>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</si>
  <si>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</si>
  <si>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</si>
  <si>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</si>
  <si>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</si>
  <si>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</si>
  <si>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</si>
  <si>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</si>
  <si>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</si>
  <si>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</si>
  <si>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</si>
  <si>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</si>
  <si>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</si>
  <si>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</si>
  <si>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</si>
  <si>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</si>
  <si>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</si>
  <si>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</si>
  <si>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</si>
  <si>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</si>
  <si>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</si>
  <si>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</si>
  <si>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</si>
  <si>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</si>
  <si>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</si>
  <si>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</si>
  <si>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</si>
  <si>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</si>
  <si>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</si>
  <si>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</si>
  <si>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</si>
  <si>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</si>
  <si>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</si>
  <si>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</si>
  <si>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</si>
  <si>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</si>
  <si>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</si>
  <si>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</si>
  <si>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</si>
  <si>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</si>
  <si>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</si>
  <si>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</si>
  <si>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</si>
  <si>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</si>
  <si>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</si>
  <si>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</si>
  <si>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</si>
  <si>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</si>
  <si>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</si>
  <si>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</si>
  <si>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</si>
  <si>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</si>
  <si>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</si>
  <si>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</si>
  <si>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</si>
  <si>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</si>
  <si>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</si>
  <si>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</si>
  <si>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</si>
  <si>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</si>
  <si>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</si>
  <si>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</si>
  <si>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</si>
  <si>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</si>
  <si>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</si>
  <si>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</si>
  <si>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</si>
  <si>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</si>
  <si>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</si>
  <si>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</si>
  <si>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</si>
  <si>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</si>
  <si>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</si>
  <si>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</si>
  <si>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</si>
  <si>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</si>
  <si>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</si>
  <si>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</si>
  <si>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</si>
  <si>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</si>
  <si>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</si>
  <si>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</si>
  <si>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</si>
  <si>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</si>
  <si>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</si>
  <si>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</si>
  <si>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</si>
  <si>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</si>
  <si>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</si>
  <si>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</si>
  <si>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</si>
  <si>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</si>
  <si>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</si>
  <si>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</si>
  <si>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</si>
  <si>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</si>
  <si>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</si>
  <si>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</si>
  <si>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</si>
  <si>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</si>
  <si>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</si>
  <si>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</si>
  <si>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</si>
  <si>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</si>
  <si>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</si>
  <si>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</si>
  <si>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</si>
  <si>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</si>
  <si>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</si>
  <si>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</si>
  <si>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</si>
  <si>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</si>
  <si>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</si>
  <si>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</si>
  <si>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</si>
  <si>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</si>
  <si>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</si>
  <si>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</si>
  <si>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</si>
  <si>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</si>
  <si>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</si>
  <si>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</si>
  <si>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</si>
  <si>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</si>
  <si>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</si>
  <si>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</si>
  <si>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</si>
  <si>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</si>
  <si>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</si>
  <si>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</si>
  <si>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</si>
  <si>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</si>
  <si>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</si>
  <si>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</si>
  <si>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</si>
  <si>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</si>
  <si>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</si>
  <si>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</si>
  <si>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</si>
  <si>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</si>
  <si>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</si>
  <si>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</si>
  <si>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</si>
  <si>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</si>
  <si>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</si>
  <si>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</si>
  <si>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</si>
  <si>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</si>
  <si>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</si>
  <si>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</si>
  <si>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</si>
  <si>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</si>
  <si>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</si>
  <si>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</si>
  <si>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</si>
  <si>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</si>
  <si>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</si>
  <si>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</si>
  <si>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</si>
  <si>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</si>
  <si>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</si>
  <si>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</si>
  <si>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</si>
  <si>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</si>
  <si>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</si>
  <si>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</si>
  <si>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</si>
  <si>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</si>
  <si>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</si>
  <si>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</si>
  <si>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</si>
  <si>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</si>
  <si>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</si>
  <si>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</si>
  <si>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</si>
  <si>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</si>
  <si>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</si>
  <si>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</si>
  <si>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</si>
  <si>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</si>
  <si>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</si>
  <si>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</si>
  <si>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</si>
  <si>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</si>
  <si>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</si>
  <si>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</si>
  <si>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</si>
  <si>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</si>
  <si>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</si>
  <si>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</si>
  <si>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</si>
  <si>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</si>
  <si>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</si>
  <si>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</si>
  <si>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</si>
  <si>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</si>
  <si>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</si>
  <si>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</si>
  <si>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</si>
  <si>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</si>
  <si>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</si>
  <si>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</si>
  <si>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</si>
  <si>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</si>
  <si>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</si>
  <si>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</si>
  <si>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</si>
  <si>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</si>
  <si>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</si>
  <si>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</si>
  <si>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</si>
  <si>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</si>
  <si>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</si>
  <si>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</si>
  <si>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</si>
  <si>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</si>
  <si>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</si>
  <si>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</si>
  <si>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</si>
  <si>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</si>
  <si>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</si>
  <si>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</si>
  <si>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</si>
  <si>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</si>
  <si>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</si>
  <si>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</si>
  <si>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</si>
  <si>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</si>
  <si>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</si>
  <si>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</si>
  <si>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</si>
  <si>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</si>
  <si>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</si>
  <si>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</si>
  <si>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</si>
  <si>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</si>
  <si>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</si>
  <si>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</si>
  <si>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</si>
  <si>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</si>
  <si>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</si>
  <si>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</si>
  <si>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</si>
  <si>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</si>
  <si>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</si>
  <si>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</si>
  <si>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</si>
  <si>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</si>
  <si>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</si>
  <si>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</si>
  <si>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</si>
  <si>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</si>
  <si>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</si>
  <si>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</si>
  <si>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</si>
  <si>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</si>
  <si>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</si>
  <si>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</si>
  <si>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</si>
  <si>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</si>
  <si>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</si>
  <si>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</si>
  <si>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</si>
  <si>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</si>
  <si>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</si>
  <si>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</si>
  <si>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</si>
  <si>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</si>
  <si>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</si>
  <si>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</si>
  <si>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</si>
  <si>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</si>
  <si>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</si>
  <si>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</si>
  <si>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</si>
  <si>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</si>
  <si>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</si>
  <si>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</si>
  <si>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</si>
  <si>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</si>
  <si>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</si>
  <si>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</si>
  <si>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</si>
  <si>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</si>
  <si>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</si>
  <si>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</si>
  <si>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</si>
  <si>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</si>
  <si>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</si>
  <si>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</si>
  <si>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</si>
  <si>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</si>
  <si>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</si>
  <si>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</si>
  <si>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</si>
  <si>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</si>
  <si>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</si>
  <si>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</si>
  <si>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</si>
  <si>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</si>
  <si>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</si>
  <si>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</si>
  <si>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</si>
  <si>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</si>
  <si>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</si>
  <si>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</si>
  <si>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</si>
  <si>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</si>
  <si>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</si>
  <si>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</si>
  <si>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</si>
  <si>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</si>
  <si>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</si>
  <si>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</si>
  <si>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</si>
  <si>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</si>
  <si>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</si>
  <si>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</si>
  <si>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</si>
  <si>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</si>
  <si>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</si>
  <si>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</si>
  <si>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</si>
  <si>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</si>
  <si>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</si>
  <si>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</si>
  <si>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</si>
  <si>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</si>
  <si>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</si>
  <si>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</si>
  <si>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</si>
  <si>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</si>
  <si>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</si>
  <si>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</si>
  <si>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</si>
  <si>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</si>
  <si>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</si>
  <si>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</si>
  <si>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</si>
  <si>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</si>
  <si>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</si>
  <si>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</si>
  <si>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</si>
  <si>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</si>
  <si>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</si>
  <si>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</si>
  <si>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</si>
  <si>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</si>
  <si>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</si>
  <si>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</si>
  <si>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</si>
  <si>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</si>
  <si>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</si>
  <si>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</si>
  <si>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</si>
  <si>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</si>
  <si>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</si>
  <si>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</si>
  <si>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</si>
  <si>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</si>
  <si>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</si>
  <si>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</si>
  <si>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</si>
  <si>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</si>
  <si>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</si>
  <si>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</si>
  <si>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</si>
  <si>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</si>
  <si>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</si>
  <si>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</si>
  <si>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</si>
  <si>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</si>
  <si>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</si>
  <si>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</si>
  <si>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</si>
  <si>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</si>
  <si>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</si>
  <si>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</si>
  <si>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</si>
  <si>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</si>
  <si>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</si>
  <si>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</si>
  <si>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</si>
  <si>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</si>
  <si>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</si>
  <si>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</si>
  <si>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</si>
  <si>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</si>
  <si>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</si>
  <si>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</si>
  <si>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</si>
  <si>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</si>
  <si>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</si>
  <si>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</si>
  <si>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</si>
  <si>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</si>
  <si>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</si>
  <si>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</si>
  <si>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</si>
  <si>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</si>
  <si>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</si>
  <si>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</si>
  <si>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</si>
  <si>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</si>
  <si>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</si>
  <si>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</si>
  <si>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</si>
  <si>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</si>
  <si>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</si>
  <si>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</si>
  <si>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</si>
  <si>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</si>
  <si>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</si>
  <si>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</si>
  <si>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</si>
  <si>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</si>
  <si>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</si>
  <si>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</si>
  <si>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</si>
  <si>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</si>
  <si>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</si>
  <si>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</si>
  <si>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</si>
  <si>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</si>
  <si>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</si>
  <si>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</si>
  <si>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</si>
  <si>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</si>
  <si>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</si>
  <si>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</si>
  <si>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</si>
  <si>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</si>
  <si>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</si>
  <si>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</si>
  <si>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</si>
  <si>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</si>
  <si>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</si>
  <si>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</si>
  <si>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</si>
  <si>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</si>
  <si>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</si>
  <si>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</si>
  <si>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</si>
  <si>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</si>
  <si>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</si>
  <si>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</si>
  <si>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</si>
  <si>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</si>
  <si>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</si>
  <si>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</si>
  <si>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</si>
  <si>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</si>
  <si>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</si>
  <si>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</si>
  <si>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</si>
  <si>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</si>
  <si>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</si>
  <si>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</si>
  <si>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</si>
  <si>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</si>
  <si>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</si>
  <si>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</si>
  <si>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</si>
  <si>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</si>
  <si>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</si>
  <si>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</si>
  <si>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</si>
  <si>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</si>
  <si>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</si>
  <si>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</si>
  <si>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</si>
  <si>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</si>
  <si>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</si>
  <si>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</si>
  <si>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</si>
  <si>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</si>
  <si>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</si>
  <si>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</si>
  <si>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</si>
  <si>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</si>
  <si>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</si>
  <si>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</si>
  <si>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</si>
  <si>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</si>
  <si>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</si>
  <si>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</si>
  <si>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</si>
  <si>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</si>
  <si>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</si>
  <si>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</si>
  <si>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</si>
  <si>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</si>
  <si>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</si>
  <si>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</si>
  <si>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</si>
  <si>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</si>
  <si>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</si>
  <si>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</si>
  <si>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</si>
  <si>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</si>
  <si>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</si>
  <si>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</si>
  <si>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</si>
  <si>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</si>
  <si>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</si>
  <si>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</si>
  <si>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</si>
  <si>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</si>
  <si>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</si>
  <si>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</si>
  <si>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</si>
  <si>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</si>
  <si>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</si>
  <si>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</si>
  <si>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</si>
  <si>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</si>
  <si>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</si>
  <si>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</si>
  <si>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</si>
  <si>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</si>
  <si>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</si>
  <si>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</si>
  <si>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</si>
  <si>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</si>
  <si>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</si>
  <si>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</si>
  <si>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</si>
  <si>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</si>
  <si>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</si>
  <si>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</si>
  <si>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</si>
  <si>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</si>
  <si>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</si>
  <si>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</si>
  <si>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</si>
  <si>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</si>
  <si>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</si>
  <si>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</si>
  <si>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</si>
  <si>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</si>
  <si>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</si>
  <si>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</si>
  <si>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</si>
  <si>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</si>
  <si>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</si>
  <si>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</si>
  <si>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</si>
  <si>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</si>
  <si>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</si>
  <si>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</si>
  <si>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</si>
  <si>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</si>
  <si>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</si>
  <si>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</si>
  <si>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</si>
  <si>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</si>
  <si>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</si>
  <si>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</si>
  <si>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</si>
  <si>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</si>
  <si>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</si>
  <si>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</si>
  <si>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</si>
  <si>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</si>
  <si>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</si>
  <si>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</si>
  <si>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</si>
  <si>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</si>
  <si>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</si>
  <si>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</si>
  <si>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</si>
  <si>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</si>
  <si>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</si>
  <si>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</si>
  <si>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</si>
  <si>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</si>
  <si>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</si>
  <si>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</si>
  <si>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</si>
  <si>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</si>
  <si>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</si>
  <si>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</si>
  <si>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</si>
  <si>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</si>
  <si>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</si>
  <si>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</si>
  <si>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</si>
  <si>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</si>
  <si>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</si>
  <si>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</si>
  <si>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</si>
  <si>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</si>
  <si>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</si>
  <si>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</si>
  <si>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</si>
  <si>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</si>
  <si>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</si>
  <si>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</si>
  <si>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</si>
  <si>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</si>
  <si>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</si>
  <si>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</si>
  <si>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</si>
  <si>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</si>
  <si>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</si>
  <si>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</si>
  <si>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</si>
  <si>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</si>
  <si>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</si>
  <si>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</si>
  <si>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</si>
  <si>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</si>
  <si>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</si>
  <si>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</si>
  <si>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</si>
  <si>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</si>
  <si>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</si>
  <si>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</si>
  <si>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</si>
  <si>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</si>
  <si>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</si>
  <si>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</si>
  <si>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</si>
  <si>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</si>
  <si>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</si>
  <si>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</si>
  <si>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</si>
  <si>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</si>
  <si>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</si>
  <si>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</si>
  <si>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</si>
  <si>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</si>
  <si>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</si>
  <si>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</si>
  <si>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</si>
  <si>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</si>
  <si>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</si>
  <si>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</si>
  <si>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</si>
  <si>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</si>
  <si>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</si>
  <si>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</si>
  <si>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</si>
  <si>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</si>
  <si>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</si>
  <si>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</si>
  <si>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</si>
  <si>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</si>
  <si>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</si>
  <si>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</si>
  <si>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</si>
  <si>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</si>
  <si>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</si>
  <si>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</si>
  <si>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</si>
  <si>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</si>
  <si>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</si>
  <si>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</si>
  <si>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</si>
  <si>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</si>
  <si>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</si>
  <si>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</si>
  <si>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</si>
  <si>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</si>
  <si>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</si>
  <si>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</si>
  <si>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</si>
  <si>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</si>
  <si>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</si>
  <si>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</si>
  <si>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</si>
  <si>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</si>
  <si>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</si>
  <si>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</si>
  <si>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</si>
  <si>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</si>
  <si>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</si>
  <si>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</si>
  <si>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</si>
  <si>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</si>
  <si>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</si>
  <si>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</si>
  <si>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</si>
  <si>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</si>
  <si>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</si>
  <si>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</si>
  <si>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</si>
  <si>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</si>
  <si>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</si>
  <si>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</si>
  <si>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</si>
  <si>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</si>
  <si>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</si>
  <si>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</si>
  <si>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</si>
  <si>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</si>
  <si>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</si>
  <si>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</si>
  <si>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</si>
  <si>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</si>
  <si>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</si>
  <si>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</si>
  <si>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</si>
  <si>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</si>
  <si>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</si>
  <si>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</si>
  <si>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</si>
  <si>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</si>
  <si>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</si>
  <si>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</si>
  <si>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</si>
  <si>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</si>
  <si>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</si>
  <si>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</si>
  <si>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</si>
  <si>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</si>
  <si>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</si>
  <si>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</si>
  <si>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</si>
  <si>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</si>
  <si>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</si>
  <si>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</si>
  <si>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</si>
  <si>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</si>
  <si>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</si>
  <si>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</si>
  <si>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</si>
  <si>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</si>
  <si>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</si>
  <si>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</si>
  <si>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</si>
  <si>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</si>
  <si>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</si>
  <si>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</si>
  <si>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</si>
  <si>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</si>
  <si>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</si>
  <si>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</si>
  <si>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</si>
  <si>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</si>
  <si>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</si>
  <si>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</si>
  <si>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</si>
  <si>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</si>
  <si>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</si>
  <si>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</si>
  <si>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</si>
  <si>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</si>
  <si>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</si>
  <si>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</si>
  <si>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</si>
  <si>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</si>
  <si>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</si>
  <si>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</si>
  <si>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</si>
  <si>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</si>
  <si>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</si>
  <si>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</si>
  <si>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</si>
  <si>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</si>
  <si>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</si>
  <si>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</si>
  <si>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</si>
  <si>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</si>
  <si>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</si>
  <si>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</si>
  <si>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</si>
  <si>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</si>
  <si>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</si>
  <si>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</si>
  <si>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</si>
  <si>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</si>
  <si>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</si>
  <si>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</si>
  <si>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</si>
  <si>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</si>
  <si>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</si>
  <si>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</si>
  <si>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</si>
  <si>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</si>
  <si>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</si>
  <si>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</si>
  <si>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</si>
  <si>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</si>
  <si>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</si>
  <si>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</si>
  <si>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</si>
  <si>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</si>
  <si>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</si>
  <si>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</si>
  <si>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</si>
  <si>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</si>
  <si>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</si>
  <si>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</si>
  <si>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</si>
  <si>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</si>
  <si>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</si>
  <si>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</si>
  <si>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</si>
  <si>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</si>
  <si>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</si>
  <si>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</si>
  <si>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</si>
  <si>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</si>
  <si>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</si>
  <si>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</si>
  <si>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</si>
  <si>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</si>
  <si>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</si>
  <si>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</si>
  <si>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</si>
  <si>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</si>
  <si>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</si>
  <si>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</si>
  <si>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</si>
  <si>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</si>
  <si>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</si>
  <si>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</si>
  <si>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</si>
  <si>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</si>
  <si>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</si>
  <si>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</si>
  <si>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</si>
  <si>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</si>
  <si>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</si>
  <si>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</si>
  <si>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</si>
  <si>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</si>
  <si>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</si>
  <si>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</si>
  <si>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</si>
  <si>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</si>
  <si>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</si>
  <si>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</si>
  <si>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</si>
  <si>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</si>
  <si>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</si>
  <si>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</si>
  <si>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</si>
  <si>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</si>
  <si>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</si>
  <si>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</si>
  <si>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</si>
  <si>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</si>
  <si>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</si>
  <si>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</si>
  <si>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</si>
  <si>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</si>
  <si>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</si>
  <si>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</si>
  <si>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</si>
  <si>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</si>
  <si>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</si>
  <si>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</si>
  <si>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</si>
  <si>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</si>
  <si>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</si>
  <si>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</si>
  <si>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</si>
  <si>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</si>
  <si>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</si>
  <si>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</si>
  <si>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</si>
  <si>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</si>
  <si>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</si>
  <si>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</si>
  <si>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</si>
  <si>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</si>
  <si>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</si>
  <si>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</si>
  <si>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</si>
  <si>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</si>
  <si>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</si>
  <si>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</si>
  <si>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</si>
  <si>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</si>
  <si>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</si>
  <si>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</si>
  <si>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</si>
  <si>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</si>
  <si>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</si>
  <si>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</si>
  <si>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</si>
  <si>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</si>
  <si>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</si>
  <si>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</si>
  <si>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</si>
  <si>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</si>
  <si>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</si>
  <si>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</si>
  <si>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</si>
  <si>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</si>
  <si>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</si>
  <si>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</si>
  <si>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</si>
  <si>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</si>
  <si>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</si>
  <si>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</si>
  <si>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</si>
  <si>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</si>
  <si>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</si>
  <si>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</si>
  <si>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</si>
  <si>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</si>
  <si>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</si>
  <si>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</si>
  <si>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</si>
  <si>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</si>
  <si>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</si>
  <si>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</si>
  <si>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</si>
  <si>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</si>
  <si>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</si>
  <si>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</si>
  <si>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</si>
  <si>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</si>
  <si>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</si>
  <si>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</si>
  <si>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</si>
  <si>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</si>
  <si>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</si>
  <si>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</si>
  <si>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</si>
  <si>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</si>
  <si>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</si>
  <si>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</si>
  <si>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</si>
  <si>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</si>
  <si>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</si>
  <si>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</si>
  <si>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</si>
  <si>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</si>
  <si>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</si>
  <si>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</si>
  <si>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</si>
  <si>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</si>
  <si>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</si>
  <si>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</si>
  <si>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</si>
  <si>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</si>
  <si>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</si>
  <si>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</si>
  <si>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</si>
  <si>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</si>
  <si>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</si>
  <si>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</si>
  <si>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</si>
  <si>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</si>
  <si>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</si>
  <si>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</si>
  <si>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</si>
  <si>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</si>
  <si>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</si>
  <si>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</si>
  <si>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</si>
  <si>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</si>
  <si>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</si>
  <si>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</si>
  <si>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</si>
  <si>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</si>
  <si>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</si>
  <si>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</si>
  <si>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</si>
  <si>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</si>
  <si>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</si>
  <si>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</si>
  <si>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</si>
  <si>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</si>
  <si>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</si>
  <si>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</si>
  <si>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</si>
  <si>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</si>
  <si>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</si>
  <si>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</si>
  <si>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</si>
  <si>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</si>
  <si>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</si>
  <si>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</si>
  <si>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</si>
  <si>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</si>
  <si>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</si>
  <si>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</si>
  <si>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</si>
  <si>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</si>
  <si>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</si>
  <si>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</si>
  <si>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</si>
  <si>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</si>
  <si>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</si>
  <si>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</si>
  <si>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</si>
  <si>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</si>
  <si>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</si>
  <si>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</si>
  <si>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</si>
  <si>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</si>
  <si>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</si>
  <si>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</si>
  <si>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</si>
  <si>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</si>
  <si>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</si>
  <si>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</si>
  <si>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</si>
  <si>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</si>
  <si>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</si>
  <si>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</si>
  <si>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</si>
  <si>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</si>
  <si>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</si>
  <si>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</si>
  <si>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</si>
  <si>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</si>
  <si>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</si>
  <si>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</si>
  <si>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</si>
  <si>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</si>
  <si>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</si>
  <si>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</si>
  <si>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</si>
  <si>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</si>
  <si>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</si>
  <si>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</si>
  <si>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</si>
  <si>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</si>
  <si>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</si>
  <si>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</si>
  <si>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</si>
  <si>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</si>
  <si>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</si>
  <si>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</si>
  <si>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</si>
  <si>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</si>
  <si>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</si>
  <si>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</si>
  <si>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</si>
  <si>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</si>
  <si>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</si>
  <si>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</si>
  <si>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</si>
  <si>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</si>
  <si>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</si>
  <si>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</si>
  <si>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</si>
  <si>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</si>
  <si>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</si>
  <si>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</si>
  <si>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</si>
  <si>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</si>
  <si>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</si>
  <si>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</si>
  <si>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</si>
  <si>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</si>
  <si>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</si>
  <si>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</si>
  <si>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</si>
  <si>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</si>
  <si>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</si>
  <si>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</si>
  <si>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</si>
  <si>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</si>
  <si>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</si>
  <si>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</si>
  <si>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</si>
  <si>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</si>
  <si>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</si>
  <si>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</si>
  <si>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</si>
  <si>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</si>
  <si>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</si>
  <si>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</si>
  <si>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</si>
  <si>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</si>
  <si>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</si>
  <si>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</si>
  <si>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</si>
  <si>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</si>
  <si>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</si>
  <si>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</si>
  <si>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</si>
  <si>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</si>
  <si>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</si>
  <si>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</si>
  <si>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</si>
  <si>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</si>
  <si>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</si>
  <si>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</si>
  <si>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</si>
  <si>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</si>
  <si>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</si>
  <si>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</si>
  <si>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</si>
  <si>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</si>
  <si>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</si>
  <si>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</si>
  <si>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</si>
  <si>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</si>
  <si>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</si>
  <si>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</si>
  <si>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</si>
  <si>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</si>
  <si>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</si>
  <si>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</si>
  <si>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</si>
  <si>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</si>
  <si>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</si>
  <si>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</si>
  <si>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</si>
  <si>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</si>
  <si>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</si>
  <si>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</si>
  <si>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</si>
  <si>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</si>
  <si>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</si>
  <si>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</si>
  <si>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</si>
  <si>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</si>
  <si>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</si>
  <si>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</si>
  <si>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</si>
  <si>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</si>
  <si>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</si>
  <si>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</si>
  <si>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</si>
  <si>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</si>
  <si>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</si>
  <si>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</si>
  <si>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</si>
  <si>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</si>
  <si>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</si>
  <si>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</si>
  <si>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</si>
  <si>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</si>
  <si>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</si>
  <si>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</si>
  <si>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</si>
  <si>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</si>
  <si>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</si>
  <si>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</si>
  <si>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</si>
  <si>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</si>
  <si>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</si>
  <si>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</si>
  <si>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</si>
  <si>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</si>
  <si>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</si>
  <si>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</si>
  <si>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</si>
  <si>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</si>
  <si>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</si>
  <si>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</si>
  <si>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</si>
  <si>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</si>
  <si>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</si>
  <si>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</si>
  <si>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</si>
  <si>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</si>
  <si>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</si>
  <si>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</si>
  <si>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</si>
  <si>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</si>
  <si>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</si>
  <si>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</si>
  <si>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</si>
  <si>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</si>
  <si>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</si>
  <si>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</si>
  <si>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</si>
  <si>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</si>
  <si>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</si>
  <si>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</si>
  <si>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</si>
  <si>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</si>
  <si>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</si>
  <si>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</si>
  <si>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</si>
  <si>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</si>
  <si>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</si>
  <si>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</si>
  <si>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</si>
  <si>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</si>
  <si>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</si>
  <si>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</si>
  <si>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</si>
  <si>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</si>
  <si>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</si>
  <si>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</si>
  <si>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</si>
  <si>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</si>
  <si>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</si>
  <si>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</si>
  <si>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</si>
  <si>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</si>
  <si>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</si>
  <si>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</si>
  <si>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</si>
  <si>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</si>
  <si>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</si>
  <si>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</si>
  <si>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</si>
  <si>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</si>
  <si>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</si>
  <si>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</si>
  <si>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</si>
  <si>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</si>
  <si>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</si>
  <si>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</si>
  <si>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</si>
  <si>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</si>
  <si>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</si>
  <si>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</si>
  <si>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</si>
  <si>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</si>
  <si>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</si>
  <si>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</si>
  <si>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</si>
  <si>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</si>
  <si>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</si>
  <si>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</si>
  <si>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</si>
  <si>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</si>
  <si>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</si>
  <si>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</si>
  <si>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</si>
  <si>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</si>
  <si>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</si>
  <si>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</si>
  <si>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</si>
  <si>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</si>
  <si>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</si>
  <si>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</si>
  <si>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</si>
  <si>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</si>
  <si>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</si>
  <si>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</si>
  <si>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</si>
  <si>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</si>
  <si>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</si>
  <si>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</si>
  <si>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</si>
  <si>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</si>
  <si>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</si>
  <si>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</si>
  <si>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</si>
  <si>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</si>
  <si>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</si>
  <si>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</si>
  <si>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</si>
  <si>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</si>
  <si>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</si>
  <si>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</si>
  <si>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</si>
  <si>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</si>
  <si>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</si>
  <si>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</si>
  <si>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</si>
  <si>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</si>
  <si>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</si>
  <si>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</si>
  <si>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</si>
  <si>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</si>
  <si>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</si>
  <si>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</si>
  <si>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</si>
  <si>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</si>
  <si>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</si>
  <si>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</si>
  <si>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</si>
  <si>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</si>
  <si>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</si>
  <si>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</si>
  <si>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</si>
  <si>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</si>
  <si>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</si>
  <si>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</si>
  <si>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</si>
  <si>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</si>
  <si>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</si>
  <si>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</si>
  <si>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</si>
  <si>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</si>
  <si>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</si>
  <si>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</si>
  <si>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</si>
  <si>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</si>
  <si>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</si>
  <si>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</si>
  <si>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</si>
  <si>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</si>
  <si>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</si>
  <si>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</si>
  <si>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</si>
  <si>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</si>
  <si>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</si>
  <si>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</si>
  <si>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</si>
  <si>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</si>
  <si>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</si>
  <si>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</si>
  <si>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</si>
  <si>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</si>
  <si>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</si>
  <si>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</si>
  <si>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</si>
  <si>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</si>
  <si>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</si>
  <si>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</si>
  <si>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</si>
  <si>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</si>
  <si>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</si>
  <si>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</si>
  <si>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</si>
  <si>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</si>
  <si>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</si>
  <si>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</si>
  <si>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</si>
  <si>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</si>
  <si>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</si>
  <si>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</si>
  <si>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</si>
  <si>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</si>
  <si>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</si>
  <si>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</si>
  <si>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</si>
  <si>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</si>
  <si>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</si>
  <si>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</si>
  <si>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</si>
  <si>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</si>
  <si>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</si>
  <si>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</si>
  <si>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</si>
  <si>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</si>
  <si>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</si>
  <si>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</si>
  <si>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</si>
  <si>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</si>
  <si>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</si>
  <si>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</si>
  <si>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</si>
  <si>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</si>
  <si>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</si>
  <si>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</si>
  <si>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</si>
  <si>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</si>
  <si>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</si>
  <si>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</si>
  <si>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</si>
  <si>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</si>
  <si>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</si>
  <si>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</si>
  <si>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</si>
  <si>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</si>
  <si>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</si>
  <si>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</si>
  <si>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</si>
  <si>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</si>
  <si>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</si>
  <si>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</si>
  <si>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</si>
  <si>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</si>
  <si>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</si>
  <si>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</si>
  <si>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</si>
  <si>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</si>
  <si>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</si>
  <si>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</si>
  <si>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</si>
  <si>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</si>
  <si>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</si>
  <si>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</si>
  <si>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</si>
  <si>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</si>
  <si>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</si>
  <si>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</si>
  <si>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</si>
  <si>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</si>
  <si>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</si>
  <si>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</si>
  <si>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</si>
  <si>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</si>
  <si>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</si>
  <si>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</si>
  <si>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</si>
  <si>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</si>
  <si>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</si>
  <si>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</si>
  <si>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</si>
  <si>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</si>
  <si>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</si>
  <si>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</si>
  <si>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</si>
  <si>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</si>
  <si>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</si>
  <si>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</si>
  <si>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</si>
  <si>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</si>
  <si>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</si>
  <si>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</si>
  <si>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</si>
  <si>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</si>
  <si>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</si>
  <si>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</si>
  <si>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</si>
  <si>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</si>
  <si>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</si>
  <si>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</si>
  <si>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</si>
  <si>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</si>
  <si>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</si>
  <si>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</si>
  <si>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</si>
  <si>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</si>
  <si>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</si>
  <si>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</si>
  <si>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</si>
  <si>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</si>
  <si>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</si>
  <si>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</si>
  <si>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</si>
  <si>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</si>
  <si>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</si>
  <si>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</si>
  <si>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</si>
  <si>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</si>
  <si>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</si>
  <si>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</si>
  <si>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</si>
  <si>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</si>
  <si>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</si>
  <si>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</si>
  <si>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</si>
  <si>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</si>
  <si>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</si>
  <si>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</si>
  <si>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</si>
  <si>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</si>
  <si>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</si>
  <si>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</si>
  <si>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</si>
  <si>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</si>
  <si>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</si>
  <si>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</si>
  <si>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</si>
  <si>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</si>
  <si>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</si>
  <si>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</si>
  <si>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</si>
  <si>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</si>
  <si>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</si>
  <si>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</si>
  <si>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</si>
  <si>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</si>
  <si>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</si>
  <si>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</si>
  <si>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</si>
  <si>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</si>
  <si>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</si>
  <si>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</si>
  <si>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</si>
  <si>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</si>
  <si>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</si>
  <si>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</si>
  <si>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</si>
  <si>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</si>
  <si>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</si>
  <si>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</si>
  <si>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</si>
  <si>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</si>
  <si>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</si>
  <si>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</si>
  <si>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</si>
  <si>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</si>
  <si>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</si>
  <si>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</si>
  <si>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</si>
  <si>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</si>
  <si>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</si>
  <si>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</si>
  <si>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</si>
  <si>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</si>
  <si>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</si>
  <si>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</si>
  <si>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</si>
  <si>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</si>
  <si>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</si>
  <si>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</si>
  <si>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</si>
  <si>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</si>
  <si>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</si>
  <si>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</si>
  <si>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</si>
  <si>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</si>
  <si>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</si>
  <si>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</si>
  <si>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</si>
  <si>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</si>
  <si>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</si>
  <si>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</si>
  <si>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</si>
  <si>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</si>
  <si>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</si>
  <si>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</si>
  <si>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</si>
  <si>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</si>
  <si>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</si>
  <si>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</si>
  <si>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</si>
  <si>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</si>
  <si>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</si>
  <si>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</si>
  <si>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</si>
  <si>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</si>
  <si>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</si>
  <si>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</si>
  <si>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</si>
  <si>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</si>
  <si>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</si>
  <si>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</si>
  <si>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</si>
  <si>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</si>
  <si>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</si>
  <si>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</si>
  <si>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</si>
  <si>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</si>
  <si>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</si>
  <si>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</si>
  <si>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</si>
  <si>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</si>
  <si>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</si>
  <si>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</si>
  <si>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</si>
  <si>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</si>
  <si>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</si>
  <si>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</si>
  <si>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</si>
  <si>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</si>
  <si>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</si>
  <si>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</si>
  <si>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</si>
  <si>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</si>
  <si>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</si>
  <si>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</si>
  <si>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</si>
  <si>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</si>
  <si>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</si>
  <si>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</si>
  <si>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</si>
  <si>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</si>
  <si>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</si>
  <si>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</si>
  <si>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</si>
  <si>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</si>
  <si>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</si>
  <si>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</si>
  <si>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</si>
  <si>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</si>
  <si>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</si>
  <si>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</si>
  <si>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</si>
  <si>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</si>
  <si>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</si>
  <si>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</si>
  <si>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</si>
  <si>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</si>
  <si>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</si>
  <si>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</si>
  <si>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</si>
  <si>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</si>
  <si>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</si>
  <si>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</si>
  <si>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</si>
  <si>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</si>
  <si>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</si>
  <si>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</si>
  <si>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</si>
  <si>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</si>
  <si>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</si>
  <si>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</si>
  <si>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</si>
  <si>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</si>
  <si>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</si>
  <si>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</si>
  <si>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</si>
  <si>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</si>
  <si>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</si>
  <si>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</si>
  <si>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</si>
  <si>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</si>
  <si>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</si>
  <si>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</si>
  <si>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</si>
  <si>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</si>
  <si>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</si>
  <si>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</si>
  <si>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</si>
  <si>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</si>
  <si>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</si>
  <si>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</si>
  <si>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</si>
  <si>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</si>
  <si>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</si>
  <si>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</si>
  <si>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</si>
  <si>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</si>
  <si>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</si>
  <si>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</si>
  <si>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</si>
  <si>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</si>
  <si>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</si>
  <si>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</si>
  <si>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</si>
  <si>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</si>
  <si>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</si>
  <si>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</si>
  <si>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</si>
  <si>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</si>
  <si>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</si>
  <si>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</si>
  <si>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</si>
  <si>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</si>
  <si>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</si>
  <si>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</si>
  <si>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</si>
  <si>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</si>
  <si>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</si>
  <si>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</si>
  <si>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</si>
  <si>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</si>
  <si>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</si>
  <si>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</si>
  <si>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</si>
  <si>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</si>
  <si>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</si>
  <si>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</si>
  <si>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</si>
  <si>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</si>
  <si>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</si>
  <si>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</si>
  <si>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</si>
  <si>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</si>
  <si>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</si>
  <si>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</si>
  <si>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</si>
  <si>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</si>
  <si>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</si>
  <si>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</si>
  <si>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</si>
  <si>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</si>
  <si>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</si>
  <si>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</si>
  <si>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</si>
  <si>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</si>
  <si>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</si>
  <si>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</si>
  <si>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</si>
  <si>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</si>
  <si>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</si>
  <si>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</si>
  <si>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</si>
  <si>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</si>
  <si>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</si>
  <si>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</si>
  <si>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</si>
  <si>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</si>
  <si>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</si>
  <si>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</si>
  <si>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</si>
  <si>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</si>
  <si>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</si>
  <si>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</si>
  <si>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</si>
  <si>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</si>
  <si>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</si>
  <si>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</si>
  <si>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</si>
  <si>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</si>
  <si>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</si>
  <si>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</si>
  <si>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</si>
  <si>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</si>
  <si>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</si>
  <si>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</si>
  <si>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</si>
  <si>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</si>
  <si>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</si>
  <si>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</si>
  <si>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</si>
  <si>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</si>
  <si>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</si>
  <si>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</si>
  <si>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</si>
  <si>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</si>
  <si>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</si>
  <si>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</si>
  <si>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</si>
  <si>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</si>
  <si>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</si>
  <si>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</si>
  <si>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</si>
  <si>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</si>
  <si>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</si>
  <si>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</si>
  <si>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</si>
  <si>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</si>
  <si>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</si>
  <si>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</si>
  <si>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</si>
  <si>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</si>
  <si>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</si>
  <si>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</si>
  <si>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</si>
  <si>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</si>
  <si>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</si>
  <si>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</si>
  <si>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</si>
  <si>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</si>
  <si>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</si>
  <si>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</si>
  <si>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</si>
  <si>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</si>
  <si>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</si>
  <si>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</si>
  <si>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</si>
  <si>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</si>
  <si>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</si>
  <si>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</si>
  <si>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</si>
  <si>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</si>
  <si>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</si>
  <si>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</si>
  <si>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</si>
  <si>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</si>
  <si>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</si>
  <si>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</si>
  <si>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</si>
  <si>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</si>
  <si>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</si>
  <si>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</si>
  <si>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</si>
  <si>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</si>
  <si>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</si>
  <si>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</si>
  <si>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</si>
  <si>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</si>
  <si>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</si>
  <si>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</si>
  <si>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</si>
  <si>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</si>
  <si>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</si>
  <si>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</si>
  <si>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</si>
  <si>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</si>
  <si>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</si>
  <si>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</si>
  <si>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</si>
  <si>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</si>
  <si>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</si>
  <si>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</si>
  <si>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</si>
  <si>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</si>
  <si>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</si>
  <si>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</si>
  <si>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</si>
  <si>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</si>
  <si>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</si>
  <si>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</si>
  <si>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</si>
  <si>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</si>
  <si>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</si>
  <si>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</si>
  <si>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</si>
  <si>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</si>
  <si>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</si>
  <si>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</si>
  <si>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</si>
  <si>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</si>
  <si>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</si>
  <si>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</si>
  <si>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</si>
  <si>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</si>
  <si>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</si>
  <si>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</si>
  <si>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</si>
  <si>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</si>
  <si>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</si>
  <si>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</si>
  <si>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</si>
  <si>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</si>
  <si>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</si>
  <si>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</si>
  <si>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</si>
  <si>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</si>
  <si>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</si>
  <si>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</si>
  <si>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</si>
  <si>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</si>
  <si>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</si>
  <si>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</si>
  <si>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</si>
  <si>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</si>
  <si>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</si>
  <si>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</si>
  <si>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</si>
  <si>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</si>
  <si>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</si>
  <si>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</si>
  <si>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</si>
  <si>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</si>
  <si>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</si>
  <si>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</si>
  <si>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</si>
  <si>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</si>
  <si>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</si>
  <si>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</si>
  <si>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</si>
  <si>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</si>
  <si>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</si>
  <si>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</si>
  <si>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</si>
  <si>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</si>
  <si>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</si>
  <si>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</si>
  <si>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</si>
  <si>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</si>
  <si>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</si>
  <si>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</si>
  <si>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</si>
  <si>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</si>
  <si>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</si>
  <si>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</si>
  <si>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</si>
  <si>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</si>
  <si>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</si>
  <si>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</si>
  <si>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</si>
  <si>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</si>
  <si>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</si>
  <si>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</si>
  <si>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</si>
  <si>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</si>
  <si>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</si>
  <si>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</si>
  <si>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</si>
  <si>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</si>
  <si>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</si>
  <si>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</si>
  <si>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</si>
  <si>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</si>
  <si>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</si>
  <si>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</si>
  <si>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</si>
  <si>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</si>
  <si>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</si>
  <si>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</si>
  <si>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</si>
  <si>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</si>
  <si>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</si>
  <si>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</si>
  <si>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</si>
  <si>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</si>
  <si>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</si>
  <si>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</si>
  <si>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</si>
  <si>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</si>
  <si>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</si>
  <si>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</si>
  <si>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</si>
  <si>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</si>
  <si>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</si>
  <si>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</si>
  <si>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</si>
  <si>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</si>
  <si>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</si>
  <si>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</si>
  <si>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</si>
  <si>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</si>
  <si>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</si>
  <si>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</si>
  <si>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</si>
  <si>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</si>
  <si>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</si>
  <si>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</si>
  <si>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</si>
  <si>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</si>
  <si>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</si>
  <si>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</si>
  <si>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</si>
  <si>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</si>
  <si>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</si>
  <si>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</si>
  <si>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</si>
  <si>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</si>
  <si>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</si>
  <si>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</si>
  <si>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</si>
  <si>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</si>
  <si>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</si>
  <si>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</si>
  <si>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</si>
  <si>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</si>
  <si>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</si>
  <si>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</si>
  <si>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</si>
  <si>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</si>
  <si>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</si>
  <si>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</si>
  <si>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</si>
  <si>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</si>
  <si>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</si>
  <si>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</si>
  <si>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</si>
  <si>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</si>
  <si>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</si>
  <si>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</si>
  <si>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</si>
  <si>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</si>
  <si>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</si>
  <si>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</si>
  <si>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</si>
  <si>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</si>
  <si>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</si>
  <si>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</si>
  <si>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</si>
  <si>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</si>
  <si>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</si>
  <si>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</si>
  <si>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</si>
  <si>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</si>
  <si>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</si>
  <si>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</si>
  <si>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</si>
  <si>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</si>
  <si>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</si>
  <si>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</si>
  <si>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</si>
  <si>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</si>
  <si>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</si>
  <si>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</si>
  <si>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</si>
  <si>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</si>
  <si>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</si>
  <si>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</si>
  <si>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</si>
  <si>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</si>
  <si>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</si>
  <si>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</si>
  <si>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</si>
  <si>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</si>
  <si>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</si>
  <si>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</si>
  <si>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</si>
  <si>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</si>
  <si>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</si>
  <si>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</si>
  <si>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</si>
  <si>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</si>
  <si>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</si>
  <si>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</si>
  <si>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</si>
  <si>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</si>
  <si>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</si>
  <si>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</si>
  <si>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</si>
  <si>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</si>
  <si>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</si>
  <si>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</si>
  <si>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</si>
  <si>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</si>
  <si>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</si>
  <si>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</si>
  <si>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</si>
  <si>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</si>
  <si>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</si>
  <si>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</si>
  <si>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</si>
  <si>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</si>
  <si>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</si>
  <si>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</si>
  <si>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</si>
  <si>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</si>
  <si>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</si>
  <si>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</si>
  <si>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</si>
  <si>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</si>
  <si>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</si>
  <si>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</si>
  <si>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</si>
  <si>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</si>
  <si>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</si>
  <si>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</si>
  <si>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</si>
  <si>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</si>
  <si>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</si>
  <si>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</si>
  <si>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</si>
  <si>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</si>
  <si>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</si>
  <si>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</si>
  <si>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</si>
  <si>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</si>
  <si>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</si>
  <si>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</si>
  <si>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</si>
  <si>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</si>
  <si>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</si>
  <si>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</si>
  <si>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</si>
  <si>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</si>
  <si>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</si>
  <si>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</si>
  <si>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</si>
  <si>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</si>
  <si>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</si>
  <si>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</si>
  <si>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</si>
  <si>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</si>
  <si>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</si>
  <si>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</si>
  <si>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</si>
  <si>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</si>
  <si>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</si>
  <si>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</si>
  <si>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</si>
  <si>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</si>
  <si>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</si>
  <si>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</si>
  <si>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</si>
  <si>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</si>
  <si>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</si>
  <si>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</si>
  <si>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</si>
  <si>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</si>
  <si>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</si>
  <si>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</si>
  <si>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</si>
  <si>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</si>
  <si>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</si>
  <si>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</si>
  <si>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</si>
  <si>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</si>
  <si>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</si>
  <si>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</si>
  <si>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</si>
  <si>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</si>
  <si>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</si>
  <si>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</si>
  <si>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</si>
  <si>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</si>
  <si>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</si>
  <si>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</si>
  <si>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</si>
  <si>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</si>
  <si>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</si>
  <si>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</si>
  <si>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</si>
  <si>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</si>
  <si>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</si>
  <si>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</si>
  <si>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</si>
  <si>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</si>
  <si>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</si>
  <si>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</si>
  <si>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</si>
  <si>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</si>
  <si>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</si>
  <si>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</si>
  <si>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</si>
  <si>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</si>
  <si>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</si>
  <si>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</si>
  <si>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</si>
  <si>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</si>
  <si>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</si>
  <si>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</si>
  <si>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</si>
  <si>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</si>
  <si>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</si>
  <si>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</si>
  <si>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</si>
  <si>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</si>
  <si>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</si>
  <si>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</si>
  <si>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</si>
  <si>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</si>
  <si>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</si>
  <si>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</si>
  <si>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</si>
  <si>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</si>
  <si>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</si>
  <si>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</si>
  <si>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</si>
  <si>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</si>
  <si>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</si>
  <si>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</si>
  <si>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</si>
  <si>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</si>
  <si>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</si>
  <si>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</si>
  <si>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</si>
  <si>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</si>
  <si>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</si>
  <si>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</si>
  <si>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</si>
  <si>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</si>
  <si>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</si>
  <si>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</si>
  <si>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</si>
  <si>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</si>
  <si>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</si>
  <si>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</si>
  <si>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</si>
  <si>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</si>
  <si>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</si>
  <si>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</si>
  <si>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</si>
  <si>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</si>
  <si>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</si>
  <si>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</si>
  <si>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</si>
  <si>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</si>
  <si>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</si>
  <si>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</si>
  <si>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</si>
  <si>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</si>
  <si>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</si>
  <si>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</si>
  <si>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</si>
  <si>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</si>
  <si>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</si>
  <si>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</si>
  <si>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</si>
  <si>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</si>
  <si>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</si>
  <si>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</si>
  <si>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</si>
  <si>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</si>
  <si>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</si>
  <si>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</si>
  <si>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</si>
  <si>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</si>
  <si>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</si>
  <si>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</si>
  <si>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</si>
  <si>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</si>
  <si>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</si>
  <si>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</si>
  <si>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</si>
  <si>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</si>
  <si>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</si>
  <si>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</si>
  <si>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</si>
  <si>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</si>
  <si>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</si>
  <si>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</si>
  <si>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</si>
  <si>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</si>
  <si>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</si>
  <si>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</si>
  <si>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</si>
  <si>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</si>
  <si>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</si>
  <si>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</si>
  <si>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</si>
  <si>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</si>
  <si>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</si>
  <si>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</si>
  <si>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</si>
  <si>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</si>
  <si>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</si>
  <si>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</si>
  <si>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</si>
  <si>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</si>
  <si>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</si>
  <si>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</si>
  <si>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</si>
  <si>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</si>
  <si>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</si>
  <si>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</si>
  <si>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</si>
  <si>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</si>
  <si>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</si>
  <si>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</si>
  <si>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</si>
  <si>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</si>
  <si>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</si>
  <si>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</si>
  <si>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</si>
  <si>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</si>
  <si>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</si>
  <si>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</si>
  <si>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</si>
  <si>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</si>
  <si>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</si>
  <si>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</si>
  <si>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</si>
  <si>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</si>
  <si>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</si>
  <si>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</si>
  <si>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</si>
  <si>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</si>
  <si>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</si>
  <si>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</si>
  <si>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</si>
  <si>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</si>
  <si>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</si>
  <si>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</si>
  <si>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</si>
  <si>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</si>
  <si>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</si>
  <si>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</si>
  <si>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</si>
  <si>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</si>
  <si>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</si>
  <si>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</si>
  <si>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</si>
  <si>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</si>
  <si>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</si>
  <si>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</si>
  <si>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</si>
  <si>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</si>
  <si>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</si>
  <si>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</si>
  <si>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</si>
  <si>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</si>
  <si>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</si>
  <si>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</si>
  <si>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</si>
  <si>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</si>
  <si>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</si>
  <si>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</si>
  <si>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</si>
  <si>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</si>
  <si>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</si>
  <si>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</si>
  <si>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</si>
  <si>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</si>
  <si>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</si>
  <si>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</si>
  <si>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</si>
  <si>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</si>
  <si>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</si>
  <si>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</si>
  <si>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</si>
  <si>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</si>
  <si>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</si>
  <si>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</si>
  <si>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</si>
  <si>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</si>
  <si>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</si>
  <si>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</si>
  <si>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</si>
  <si>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</si>
  <si>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</si>
  <si>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</si>
  <si>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</si>
  <si>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</si>
  <si>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</si>
  <si>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</si>
  <si>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</si>
  <si>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</si>
  <si>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</si>
  <si>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</si>
  <si>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</si>
  <si>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</si>
  <si>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</si>
  <si>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</si>
  <si>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</si>
  <si>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</si>
  <si>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</si>
  <si>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</si>
  <si>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</si>
  <si>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</si>
  <si>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</si>
  <si>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</si>
  <si>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</si>
  <si>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</si>
  <si>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</si>
  <si>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</si>
  <si>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</si>
  <si>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</si>
  <si>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</si>
  <si>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</si>
  <si>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</si>
  <si>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</si>
  <si>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</si>
  <si>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</si>
  <si>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</si>
  <si>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</si>
  <si>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</si>
  <si>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</si>
  <si>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</si>
  <si>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</si>
  <si>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</si>
  <si>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</si>
  <si>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</si>
  <si>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</si>
  <si>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</si>
  <si>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</si>
  <si>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</si>
  <si>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</si>
  <si>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</si>
  <si>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</si>
  <si>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</si>
  <si>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</si>
  <si>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</si>
  <si>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</si>
  <si>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</si>
  <si>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</si>
  <si>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</si>
  <si>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</si>
  <si>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</si>
  <si>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</si>
  <si>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</si>
  <si>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</si>
  <si>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</si>
  <si>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</si>
  <si>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</si>
  <si>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</si>
  <si>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</si>
  <si>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</si>
  <si>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</si>
  <si>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</si>
  <si>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</si>
  <si>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</si>
  <si>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</si>
  <si>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</si>
  <si>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</si>
  <si>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</si>
  <si>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</si>
  <si>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</si>
  <si>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</si>
  <si>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</si>
  <si>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</si>
  <si>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</si>
  <si>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</si>
  <si>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</si>
  <si>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</si>
  <si>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</si>
  <si>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</si>
  <si>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</si>
  <si>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</si>
  <si>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</si>
  <si>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</si>
  <si>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</si>
  <si>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</si>
  <si>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</si>
  <si>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</si>
  <si>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</si>
  <si>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</si>
  <si>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</si>
  <si>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</si>
  <si>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</si>
  <si>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</si>
  <si>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</si>
  <si>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</si>
  <si>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</si>
  <si>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</si>
  <si>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</si>
  <si>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</si>
  <si>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</si>
  <si>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</si>
  <si>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</si>
  <si>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</si>
  <si>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</si>
  <si>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</si>
  <si>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</si>
  <si>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</si>
  <si>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</si>
  <si>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</si>
  <si>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</si>
  <si>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</si>
  <si>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</si>
  <si>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</si>
  <si>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</si>
  <si>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</si>
  <si>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</si>
  <si>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</si>
  <si>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</si>
  <si>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</si>
  <si>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</si>
  <si>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</si>
  <si>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</si>
  <si>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</si>
  <si>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</si>
  <si>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</si>
  <si>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</si>
  <si>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</si>
  <si>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</si>
  <si>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</si>
  <si>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</si>
  <si>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</si>
  <si>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</si>
  <si>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</si>
  <si>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</si>
  <si>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</si>
  <si>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</si>
  <si>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</si>
  <si>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</si>
  <si>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</si>
  <si>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</si>
  <si>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</si>
  <si>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</si>
  <si>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</si>
  <si>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</si>
  <si>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</si>
  <si>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</si>
  <si>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</si>
  <si>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</si>
  <si>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</si>
  <si>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</si>
  <si>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</si>
  <si>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</si>
  <si>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</si>
  <si>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</si>
  <si>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</si>
  <si>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</si>
  <si>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</si>
  <si>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</si>
  <si>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</si>
  <si>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</si>
  <si>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</si>
  <si>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</si>
  <si>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</si>
  <si>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</si>
  <si>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</si>
  <si>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</si>
  <si>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</si>
  <si>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</si>
  <si>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</si>
  <si>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</si>
  <si>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</si>
  <si>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</si>
  <si>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</si>
  <si>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</si>
  <si>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</si>
  <si>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</si>
  <si>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</si>
  <si>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</si>
  <si>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</si>
  <si>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</si>
  <si>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</si>
  <si>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</si>
  <si>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</si>
  <si>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</si>
  <si>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</si>
  <si>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</si>
  <si>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</si>
  <si>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</si>
  <si>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</si>
  <si>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</si>
  <si>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</si>
  <si>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</si>
  <si>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</si>
  <si>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</si>
  <si>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</si>
  <si>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</si>
  <si>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</si>
  <si>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</si>
  <si>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</si>
  <si>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</si>
  <si>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</si>
  <si>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</si>
  <si>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</si>
  <si>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</si>
  <si>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</si>
  <si>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</si>
  <si>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</si>
  <si>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</si>
  <si>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</si>
  <si>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</si>
  <si>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</si>
  <si>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</si>
  <si>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</si>
  <si>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</si>
  <si>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</si>
  <si>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</si>
  <si>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</si>
  <si>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</si>
  <si>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</si>
  <si>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</si>
  <si>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</si>
  <si>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</si>
  <si>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</si>
  <si>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</si>
  <si>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</si>
  <si>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</si>
  <si>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</si>
  <si>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</si>
  <si>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</si>
  <si>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</si>
  <si>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</si>
  <si>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</si>
  <si>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</si>
  <si>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</si>
  <si>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</si>
  <si>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</si>
  <si>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</si>
  <si>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</si>
  <si>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</si>
  <si>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</si>
  <si>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</si>
  <si>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</si>
  <si>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</si>
  <si>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</si>
  <si>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</si>
  <si>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</si>
  <si>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</si>
  <si>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</si>
  <si>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</si>
  <si>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</si>
  <si>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</si>
  <si>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</si>
  <si>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</si>
  <si>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</si>
  <si>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</si>
  <si>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</si>
  <si>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</si>
  <si>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</si>
  <si>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</si>
  <si>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</si>
  <si>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</si>
  <si>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</si>
  <si>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</si>
  <si>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</si>
  <si>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</si>
  <si>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</si>
  <si>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</si>
  <si>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</si>
  <si>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</si>
  <si>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</si>
  <si>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</si>
  <si>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</si>
  <si>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</si>
  <si>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</si>
  <si>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</si>
  <si>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</si>
  <si>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</si>
  <si>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</si>
  <si>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</si>
  <si>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</si>
  <si>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</si>
  <si>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</si>
  <si>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</si>
  <si>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</si>
  <si>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</si>
  <si>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</si>
  <si>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</si>
  <si>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</si>
  <si>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</si>
  <si>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</si>
  <si>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</si>
  <si>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</si>
  <si>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</si>
  <si>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</si>
  <si>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</si>
  <si>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</si>
  <si>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</si>
  <si>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</si>
  <si>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</si>
  <si>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</si>
  <si>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</si>
  <si>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</si>
  <si>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</si>
  <si>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</si>
  <si>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</si>
  <si>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</si>
  <si>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</si>
  <si>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</si>
  <si>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</si>
  <si>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</si>
  <si>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</si>
  <si>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</si>
  <si>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</si>
  <si>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</si>
  <si>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</si>
  <si>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</si>
  <si>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</si>
  <si>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</si>
  <si>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</si>
  <si>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</si>
  <si>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</si>
  <si>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</si>
  <si>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</si>
  <si>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</si>
  <si>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</si>
  <si>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</si>
  <si>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</si>
  <si>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</si>
  <si>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</si>
  <si>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</si>
  <si>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</si>
  <si>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</si>
  <si>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</si>
  <si>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</si>
  <si>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</si>
  <si>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</si>
  <si>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</si>
  <si>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</si>
  <si>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</si>
  <si>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</si>
  <si>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</si>
  <si>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</si>
  <si>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</si>
  <si>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</si>
  <si>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</si>
  <si>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</si>
  <si>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</si>
  <si>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</si>
  <si>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</si>
  <si>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</si>
  <si>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</si>
  <si>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</si>
  <si>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</si>
  <si>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</si>
  <si>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</si>
  <si>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</si>
  <si>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</si>
  <si>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</si>
  <si>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</si>
  <si>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</si>
  <si>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</si>
  <si>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</si>
  <si>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</si>
  <si>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</si>
  <si>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</si>
  <si>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</si>
  <si>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</si>
  <si>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</si>
  <si>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</si>
  <si>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</si>
  <si>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</si>
  <si>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</si>
  <si>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</si>
  <si>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</si>
  <si>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</si>
  <si>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</si>
  <si>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</si>
  <si>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</si>
  <si>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</si>
  <si>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</si>
  <si>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</si>
  <si>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</si>
  <si>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</si>
  <si>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</si>
  <si>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</si>
  <si>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</si>
  <si>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</si>
  <si>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</si>
  <si>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</si>
  <si>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</si>
  <si>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</si>
  <si>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</si>
  <si>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</si>
  <si>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</si>
  <si>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</si>
  <si>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</si>
  <si>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</si>
  <si>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</si>
  <si>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</si>
  <si>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</si>
  <si>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</si>
  <si>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</si>
  <si>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</si>
  <si>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</si>
  <si>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</si>
  <si>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</si>
  <si>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</si>
  <si>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</si>
  <si>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</si>
  <si>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</si>
  <si>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</si>
  <si>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</si>
  <si>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</si>
  <si>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</si>
  <si>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</si>
  <si>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</si>
  <si>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</si>
  <si>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</si>
  <si>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</si>
  <si>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</si>
  <si>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</si>
  <si>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</si>
  <si>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</si>
  <si>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</si>
  <si>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</si>
  <si>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</si>
  <si>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</si>
  <si>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</si>
  <si>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</si>
  <si>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</si>
  <si>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</si>
  <si>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</si>
  <si>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</si>
  <si>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</si>
  <si>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</si>
  <si>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</si>
  <si>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</si>
  <si>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</si>
  <si>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</si>
  <si>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</si>
  <si>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</si>
  <si>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</si>
  <si>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</si>
  <si>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</si>
  <si>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</si>
  <si>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</si>
  <si>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</si>
  <si>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</si>
  <si>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</si>
  <si>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</si>
  <si>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</si>
  <si>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</si>
  <si>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</si>
  <si>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</si>
  <si>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</si>
  <si>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</si>
  <si>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</si>
  <si>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</si>
  <si>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</si>
  <si>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</si>
  <si>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</si>
  <si>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</si>
  <si>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</si>
  <si>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</si>
  <si>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</si>
  <si>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</si>
  <si>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</si>
  <si>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</si>
  <si>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</si>
  <si>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</si>
  <si>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</si>
  <si>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</si>
  <si>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</si>
  <si>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</si>
  <si>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</si>
  <si>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</si>
  <si>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</si>
  <si>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</si>
  <si>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</si>
  <si>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</si>
  <si>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</si>
  <si>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</si>
  <si>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</si>
  <si>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</si>
  <si>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</si>
  <si>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</si>
  <si>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</si>
  <si>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</si>
  <si>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</si>
  <si>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</si>
  <si>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</si>
  <si>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</si>
  <si>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</si>
  <si>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</si>
  <si>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</si>
  <si>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</si>
  <si>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</si>
  <si>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</si>
  <si>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</si>
  <si>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</si>
  <si>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</si>
  <si>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</si>
  <si>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</si>
  <si>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</si>
  <si>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</si>
  <si>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</si>
  <si>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</si>
  <si>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</si>
  <si>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</si>
  <si>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</si>
  <si>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</si>
  <si>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</si>
  <si>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</si>
  <si>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</si>
  <si>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</si>
  <si>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</si>
  <si>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</si>
  <si>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</si>
  <si>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</si>
  <si>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</si>
  <si>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</si>
  <si>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</si>
  <si>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</si>
  <si>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</si>
  <si>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</si>
  <si>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</si>
  <si>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</si>
  <si>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</si>
  <si>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</si>
  <si>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</si>
  <si>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</si>
  <si>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</si>
  <si>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</si>
  <si>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</si>
  <si>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</si>
  <si>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</si>
  <si>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</si>
  <si>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</si>
  <si>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</si>
  <si>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</si>
  <si>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</si>
  <si>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</si>
  <si>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</si>
  <si>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</si>
  <si>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</si>
  <si>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</si>
  <si>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</si>
  <si>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</si>
  <si>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</si>
  <si>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</si>
  <si>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</si>
  <si>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</si>
  <si>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</si>
  <si>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</si>
  <si>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</si>
  <si>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</si>
  <si>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</si>
  <si>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</si>
  <si>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</si>
  <si>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</si>
  <si>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</si>
  <si>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</si>
  <si>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</si>
  <si>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</si>
  <si>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</si>
  <si>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</si>
  <si>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</si>
  <si>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</si>
  <si>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</si>
  <si>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</si>
  <si>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</si>
  <si>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</si>
  <si>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</si>
  <si>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</si>
  <si>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</si>
  <si>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</si>
  <si>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</si>
  <si>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</si>
  <si>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</si>
  <si>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</si>
  <si>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</si>
  <si>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</si>
  <si>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</si>
  <si>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</si>
  <si>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</si>
  <si>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</si>
  <si>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</si>
  <si>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</si>
  <si>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</si>
  <si>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</si>
  <si>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</si>
  <si>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</si>
  <si>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</si>
  <si>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</si>
  <si>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</si>
  <si>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</si>
  <si>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</si>
  <si>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</si>
  <si>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</si>
  <si>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</si>
  <si>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</si>
  <si>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</si>
  <si>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</si>
  <si>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</si>
  <si>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</si>
  <si>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</si>
  <si>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</si>
  <si>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</si>
  <si>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</si>
  <si>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</si>
  <si>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</si>
  <si>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</si>
  <si>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</si>
  <si>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</si>
  <si>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</si>
  <si>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</si>
  <si>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</si>
  <si>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</si>
  <si>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</si>
  <si>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</si>
  <si>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</si>
  <si>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</si>
  <si>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</si>
  <si>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</si>
  <si>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</si>
  <si>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</si>
  <si>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</si>
  <si>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</si>
  <si>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</si>
  <si>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</si>
  <si>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</si>
  <si>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</si>
  <si>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</si>
  <si>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</si>
  <si>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</si>
  <si>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</si>
  <si>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</si>
  <si>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</si>
  <si>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</si>
  <si>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</si>
  <si>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</si>
  <si>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</si>
  <si>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</si>
  <si>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</si>
  <si>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</si>
  <si>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</si>
  <si>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</si>
  <si>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</si>
  <si>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</si>
  <si>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</si>
  <si>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</si>
  <si>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</si>
  <si>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</si>
  <si>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</si>
  <si>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</si>
  <si>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</si>
  <si>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</si>
  <si>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</si>
  <si>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</si>
  <si>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</si>
  <si>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</si>
  <si>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</si>
  <si>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</si>
  <si>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</si>
  <si>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</si>
  <si>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</si>
  <si>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</si>
  <si>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</si>
  <si>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</si>
  <si>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</si>
  <si>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</si>
  <si>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</si>
  <si>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</si>
  <si>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</si>
  <si>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</si>
  <si>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</si>
  <si>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</si>
  <si>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</si>
  <si>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</si>
  <si>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</si>
  <si>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</si>
  <si>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</si>
  <si>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</si>
  <si>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</si>
  <si>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</si>
  <si>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</si>
  <si>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</si>
  <si>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</si>
  <si>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</si>
  <si>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</si>
  <si>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</si>
  <si>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</si>
  <si>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</si>
  <si>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</si>
  <si>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</si>
  <si>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</si>
  <si>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</si>
  <si>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</si>
  <si>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</si>
  <si>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</si>
  <si>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</si>
  <si>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</si>
  <si>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</si>
  <si>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</si>
  <si>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</si>
  <si>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</si>
  <si>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</si>
  <si>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</si>
  <si>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</si>
  <si>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</si>
  <si>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</si>
  <si>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</si>
  <si>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</si>
  <si>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</si>
  <si>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</si>
  <si>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</si>
  <si>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</si>
  <si>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</si>
  <si>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</si>
  <si>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</si>
  <si>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</si>
  <si>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</si>
  <si>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</si>
  <si>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</si>
  <si>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</si>
  <si>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</si>
  <si>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</si>
  <si>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</si>
  <si>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</si>
  <si>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</si>
  <si>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</si>
  <si>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</si>
  <si>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</si>
  <si>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</si>
  <si>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</si>
  <si>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</si>
  <si>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</si>
  <si>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</si>
  <si>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</si>
  <si>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</si>
  <si>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</si>
  <si>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</si>
  <si>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</si>
  <si>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</si>
  <si>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</si>
  <si>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</si>
  <si>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</si>
  <si>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</si>
  <si>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</si>
  <si>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</si>
  <si>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</si>
  <si>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</si>
  <si>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</si>
  <si>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</si>
  <si>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</si>
  <si>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</si>
  <si>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</si>
  <si>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</si>
  <si>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</si>
  <si>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</si>
  <si>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</si>
  <si>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</si>
  <si>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</si>
  <si>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</si>
  <si>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</si>
  <si>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</si>
  <si>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</si>
  <si>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</si>
  <si>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</si>
  <si>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</si>
  <si>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</si>
  <si>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</si>
  <si>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</si>
  <si>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</si>
  <si>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</si>
  <si>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</si>
  <si>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</si>
  <si>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</si>
  <si>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</si>
  <si>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</si>
  <si>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</si>
  <si>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</si>
  <si>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</si>
  <si>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</si>
  <si>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</si>
  <si>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</si>
  <si>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</si>
  <si>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</si>
  <si>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</si>
  <si>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</si>
  <si>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</si>
  <si>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</si>
  <si>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</si>
  <si>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</si>
  <si>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</si>
  <si>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</si>
  <si>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</si>
  <si>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</si>
  <si>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</si>
  <si>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</si>
  <si>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</si>
  <si>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</si>
  <si>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</si>
  <si>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</si>
  <si>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</si>
  <si>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</si>
  <si>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</si>
  <si>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</si>
  <si>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</si>
  <si>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</si>
  <si>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</si>
  <si>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</si>
  <si>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</si>
  <si>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</si>
  <si>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</si>
  <si>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</si>
  <si>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</si>
  <si>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</si>
  <si>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</si>
  <si>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</si>
  <si>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</si>
  <si>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</si>
  <si>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</si>
  <si>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</si>
  <si>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</si>
  <si>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</si>
  <si>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</si>
  <si>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</si>
  <si>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</si>
  <si>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</si>
  <si>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</si>
  <si>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</si>
  <si>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</si>
  <si>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</si>
  <si>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</si>
  <si>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</si>
  <si>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</si>
  <si>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</si>
  <si>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</si>
  <si>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</si>
  <si>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</si>
  <si>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</si>
  <si>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</si>
  <si>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</si>
  <si>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</si>
  <si>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</si>
  <si>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</si>
  <si>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</si>
  <si>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</si>
  <si>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</si>
  <si>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</si>
  <si>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</si>
  <si>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</si>
  <si>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</si>
  <si>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</si>
  <si>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</si>
  <si>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</si>
  <si>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</si>
  <si>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</si>
  <si>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</si>
  <si>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</si>
  <si>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</si>
  <si>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</si>
  <si>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</si>
  <si>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</si>
  <si>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</si>
  <si>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</si>
  <si>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</si>
  <si>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</si>
  <si>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</si>
  <si>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</si>
  <si>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</si>
  <si>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</si>
  <si>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</si>
  <si>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</si>
  <si>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</si>
  <si>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</si>
  <si>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</si>
  <si>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</si>
  <si>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</si>
  <si>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</si>
  <si>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</si>
  <si>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</si>
  <si>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</si>
  <si>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</si>
  <si>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</si>
  <si>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</si>
  <si>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</si>
  <si>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</si>
  <si>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</si>
  <si>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</si>
  <si>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</si>
  <si>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</si>
  <si>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</si>
  <si>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</si>
  <si>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</si>
  <si>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</si>
  <si>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</si>
  <si>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</si>
  <si>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</si>
  <si>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</si>
  <si>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</si>
  <si>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</si>
  <si>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</si>
  <si>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</si>
  <si>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</si>
  <si>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</si>
  <si>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</si>
  <si>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</si>
  <si>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</si>
  <si>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</si>
  <si>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</si>
  <si>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</si>
  <si>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</si>
  <si>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</si>
  <si>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</si>
  <si>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</si>
  <si>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</si>
  <si>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</si>
  <si>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</si>
  <si>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</si>
  <si>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</si>
  <si>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</si>
  <si>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</si>
  <si>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</si>
  <si>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</si>
  <si>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</si>
  <si>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</si>
  <si>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</si>
  <si>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</si>
  <si>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</si>
  <si>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</si>
  <si>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</si>
  <si>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</si>
  <si>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</si>
  <si>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</si>
  <si>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</si>
  <si>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</si>
  <si>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</si>
  <si>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</si>
  <si>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</si>
  <si>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</si>
  <si>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</si>
  <si>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</si>
  <si>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</si>
  <si>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</si>
  <si>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</si>
  <si>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</si>
  <si>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</si>
  <si>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</si>
  <si>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</si>
  <si>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</si>
  <si>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</si>
  <si>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</si>
  <si>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</si>
  <si>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</si>
  <si>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</si>
  <si>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</si>
  <si>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</si>
  <si>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</si>
  <si>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</si>
  <si>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</si>
  <si>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</si>
  <si>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</si>
  <si>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</si>
  <si>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</si>
  <si>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</si>
  <si>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</si>
  <si>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</si>
  <si>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</si>
  <si>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</si>
  <si>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</si>
  <si>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</si>
  <si>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</si>
  <si>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</si>
  <si>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</si>
  <si>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</si>
  <si>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</si>
  <si>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</si>
  <si>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</si>
  <si>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</si>
  <si>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</si>
  <si>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</si>
  <si>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</si>
  <si>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</si>
  <si>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</si>
  <si>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</si>
  <si>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</si>
  <si>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</si>
  <si>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</si>
  <si>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</si>
  <si>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</si>
  <si>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</si>
  <si>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</si>
  <si>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</si>
  <si>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</si>
  <si>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</si>
  <si>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</si>
  <si>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</si>
  <si>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</si>
  <si>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</si>
  <si>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</si>
  <si>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</si>
  <si>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</si>
  <si>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</si>
  <si>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</si>
  <si>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</si>
  <si>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</si>
  <si>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</si>
  <si>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</si>
  <si>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</si>
  <si>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</si>
  <si>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</si>
  <si>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</si>
  <si>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</si>
  <si>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</si>
  <si>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</si>
  <si>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</si>
  <si>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</si>
  <si>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</si>
  <si>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</si>
  <si>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</si>
  <si>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</si>
  <si>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</si>
  <si>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</si>
  <si>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</si>
  <si>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</si>
  <si>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</si>
  <si>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</si>
  <si>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</si>
  <si>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</si>
  <si>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</si>
  <si>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</si>
  <si>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</si>
  <si>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</si>
  <si>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</si>
  <si>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</si>
  <si>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</si>
  <si>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</si>
  <si>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</si>
  <si>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</si>
  <si>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</si>
  <si>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</si>
  <si>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</si>
  <si>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</si>
  <si>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</si>
  <si>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</si>
  <si>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</si>
  <si>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</si>
  <si>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</si>
  <si>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</si>
  <si>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</si>
  <si>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</si>
  <si>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</si>
  <si>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</si>
  <si>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</si>
  <si>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</si>
  <si>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</si>
  <si>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</si>
  <si>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</si>
  <si>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</si>
  <si>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</si>
  <si>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</si>
  <si>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</si>
  <si>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</si>
  <si>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</si>
  <si>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</si>
  <si>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</si>
  <si>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</si>
  <si>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</si>
  <si>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</si>
  <si>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</si>
  <si>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</si>
  <si>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</si>
  <si>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</si>
  <si>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</si>
  <si>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</si>
  <si>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</si>
  <si>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</si>
  <si>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</si>
  <si>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</si>
  <si>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</si>
  <si>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</si>
  <si>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</si>
  <si>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</si>
  <si>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</si>
  <si>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</si>
  <si>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</si>
  <si>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</si>
  <si>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</si>
  <si>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</si>
  <si>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</si>
  <si>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</si>
  <si>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</si>
  <si>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</si>
  <si>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</si>
  <si>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</si>
  <si>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</si>
  <si>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</si>
  <si>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</si>
  <si>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</si>
  <si>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</si>
  <si>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</si>
  <si>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</si>
  <si>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</si>
  <si>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</si>
  <si>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</si>
  <si>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</si>
  <si>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</si>
  <si>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</si>
  <si>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</si>
  <si>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</si>
  <si>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</si>
  <si>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</si>
  <si>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</si>
  <si>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</si>
  <si>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</si>
  <si>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</si>
  <si>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</si>
  <si>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</si>
  <si>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</si>
  <si>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</si>
  <si>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</si>
  <si>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</si>
  <si>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</si>
  <si>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</si>
  <si>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</si>
  <si>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</si>
  <si>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</si>
  <si>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</si>
  <si>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</si>
  <si>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</si>
  <si>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</si>
  <si>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</si>
  <si>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</si>
  <si>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</si>
  <si>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</si>
  <si>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</si>
  <si>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</si>
  <si>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</si>
  <si>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</si>
  <si>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</si>
  <si>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</si>
  <si>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</si>
  <si>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</si>
  <si>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</si>
  <si>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</si>
  <si>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</si>
  <si>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</si>
  <si>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</si>
  <si>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</si>
  <si>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</si>
  <si>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</si>
  <si>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</si>
  <si>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</si>
  <si>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</si>
  <si>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</si>
  <si>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</si>
  <si>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</si>
  <si>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</si>
  <si>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</si>
  <si>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</si>
  <si>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</si>
  <si>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</si>
  <si>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</si>
  <si>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</si>
  <si>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</si>
  <si>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</si>
  <si>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</si>
  <si>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</si>
  <si>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</si>
  <si>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</si>
  <si>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</si>
  <si>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</si>
  <si>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</si>
  <si>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</si>
  <si>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</si>
  <si>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</si>
  <si>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</si>
  <si>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</si>
  <si>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</si>
  <si>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</si>
  <si>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</si>
  <si>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</si>
  <si>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</si>
  <si>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</si>
  <si>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</si>
  <si>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</si>
  <si>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</si>
  <si>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</si>
  <si>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</si>
  <si>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</si>
  <si>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</si>
  <si>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</si>
  <si>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</si>
  <si>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</si>
  <si>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</si>
  <si>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</si>
  <si>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</si>
  <si>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</si>
  <si>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</si>
  <si>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</si>
  <si>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</si>
  <si>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</si>
  <si>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</si>
  <si>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</si>
  <si>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</si>
  <si>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</si>
  <si>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</si>
  <si>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</si>
  <si>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</si>
  <si>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</si>
  <si>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</si>
  <si>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</si>
  <si>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</si>
  <si>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</si>
  <si>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</si>
  <si>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</si>
  <si>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</si>
  <si>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</si>
  <si>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</si>
  <si>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</si>
  <si>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</si>
  <si>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</si>
  <si>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</si>
  <si>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</si>
  <si>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</si>
  <si>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</si>
  <si>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</si>
  <si>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</si>
  <si>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</si>
  <si>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</si>
  <si>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</si>
  <si>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</si>
  <si>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</si>
  <si>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</si>
  <si>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</si>
  <si>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</si>
  <si>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</si>
  <si>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</si>
  <si>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</si>
  <si>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</si>
  <si>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</si>
  <si>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</si>
  <si>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</si>
  <si>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</si>
  <si>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</si>
  <si>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</si>
  <si>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</si>
  <si>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</si>
  <si>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</si>
  <si>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</si>
  <si>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</si>
  <si>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</si>
  <si>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</si>
  <si>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</si>
  <si>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</si>
  <si>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</si>
  <si>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</si>
  <si>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</si>
  <si>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</si>
  <si>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</si>
  <si>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</si>
  <si>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</si>
  <si>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</si>
  <si>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</si>
  <si>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</si>
  <si>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</si>
  <si>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</si>
  <si>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</si>
  <si>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</si>
  <si>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</si>
  <si>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</si>
  <si>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</si>
  <si>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</si>
  <si>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</si>
  <si>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</si>
  <si>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</si>
  <si>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</si>
  <si>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</si>
  <si>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</si>
  <si>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</si>
  <si>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</si>
  <si>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</si>
  <si>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</si>
  <si>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</si>
  <si>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</si>
  <si>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</si>
  <si>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</si>
  <si>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</si>
  <si>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</si>
  <si>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</si>
  <si>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</si>
  <si>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</si>
  <si>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</si>
  <si>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</si>
  <si>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</si>
  <si>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</si>
  <si>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</si>
  <si>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</si>
  <si>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</si>
  <si>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</si>
  <si>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</si>
  <si>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</si>
  <si>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</si>
  <si>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</si>
  <si>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</si>
  <si>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</si>
  <si>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</si>
  <si>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</si>
  <si>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</si>
  <si>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</si>
  <si>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</si>
  <si>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</si>
  <si>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</si>
  <si>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</si>
  <si>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</si>
  <si>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</si>
  <si>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</si>
  <si>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</si>
  <si>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</si>
  <si>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</si>
  <si>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</si>
  <si>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</si>
  <si>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</si>
  <si>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</si>
  <si>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</si>
  <si>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</si>
  <si>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</si>
  <si>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</si>
  <si>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</si>
  <si>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</si>
  <si>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</si>
  <si>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</si>
  <si>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</si>
  <si>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</si>
  <si>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</si>
  <si>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</si>
  <si>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</si>
  <si>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</si>
  <si>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</si>
  <si>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</si>
  <si>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</si>
  <si>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</si>
  <si>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</si>
  <si>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</si>
  <si>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</si>
  <si>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</si>
  <si>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</si>
  <si>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</si>
  <si>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</si>
  <si>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</si>
  <si>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</si>
  <si>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</si>
  <si>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</si>
  <si>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</si>
  <si>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</si>
  <si>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</si>
  <si>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</si>
  <si>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</si>
  <si>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</si>
  <si>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</si>
  <si>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</si>
  <si>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</si>
  <si>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</si>
  <si>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</si>
  <si>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</si>
  <si>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</si>
  <si>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</si>
  <si>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</si>
  <si>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</si>
  <si>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</si>
  <si>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</si>
  <si>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</si>
  <si>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</si>
  <si>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</si>
  <si>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</si>
  <si>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</si>
  <si>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</si>
  <si>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</si>
  <si>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</si>
  <si>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</si>
  <si>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</si>
  <si>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</si>
  <si>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</si>
  <si>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</si>
  <si>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</si>
  <si>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</si>
  <si>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</si>
  <si>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</si>
  <si>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</si>
  <si>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</si>
  <si>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</si>
  <si>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</si>
  <si>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</si>
  <si>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</si>
  <si>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</si>
  <si>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</si>
  <si>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</si>
  <si>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</si>
  <si>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</si>
  <si>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</si>
  <si>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</si>
  <si>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</si>
  <si>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</si>
  <si>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</si>
  <si>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</si>
  <si>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</si>
  <si>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</si>
  <si>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</si>
  <si>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</si>
  <si>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</si>
  <si>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</si>
  <si>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</si>
  <si>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</si>
  <si>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</si>
  <si>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</si>
  <si>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</si>
  <si>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</si>
  <si>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</si>
  <si>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</si>
  <si>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</si>
  <si>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</si>
  <si>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</si>
  <si>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</si>
  <si>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</si>
  <si>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</si>
  <si>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</si>
  <si>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</si>
  <si>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</si>
  <si>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</si>
  <si>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</si>
  <si>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</si>
  <si>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</si>
  <si>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</si>
  <si>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</si>
  <si>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</si>
  <si>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</si>
  <si>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</si>
  <si>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</si>
  <si>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</si>
  <si>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</si>
  <si>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</si>
  <si>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</si>
  <si>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</si>
  <si>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</si>
  <si>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</si>
  <si>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</si>
  <si>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</si>
  <si>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</si>
  <si>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</si>
  <si>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</si>
  <si>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</si>
  <si>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</si>
  <si>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</si>
  <si>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</si>
  <si>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</si>
  <si>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</si>
  <si>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</si>
  <si>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</si>
  <si>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</si>
  <si>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</si>
  <si>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</si>
  <si>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</si>
  <si>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</si>
  <si>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</si>
  <si>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</si>
  <si>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</si>
  <si>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</si>
  <si>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</si>
  <si>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</si>
  <si>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</si>
  <si>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</si>
  <si>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</si>
  <si>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</si>
  <si>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</si>
  <si>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</si>
  <si>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</si>
  <si>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</si>
  <si>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</si>
  <si>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</si>
  <si>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</si>
  <si>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</si>
  <si>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</si>
  <si>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</si>
  <si>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</si>
  <si>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</si>
  <si>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</si>
  <si>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</si>
  <si>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</si>
  <si>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</si>
  <si>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</si>
  <si>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</si>
  <si>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</si>
  <si>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</si>
  <si>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</si>
  <si>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</si>
  <si>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</si>
  <si>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</si>
  <si>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</si>
  <si>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</si>
  <si>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</si>
  <si>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</si>
  <si>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</si>
  <si>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</si>
  <si>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</si>
  <si>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</si>
  <si>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</si>
  <si>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</si>
  <si>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</si>
  <si>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</si>
  <si>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</si>
  <si>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</si>
  <si>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</si>
  <si>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</si>
  <si>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</si>
  <si>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</si>
  <si>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</si>
  <si>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</si>
  <si>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</si>
  <si>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</si>
  <si>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</si>
  <si>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</si>
  <si>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</si>
  <si>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</si>
  <si>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</si>
  <si>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</si>
  <si>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</si>
  <si>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</si>
  <si>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</si>
  <si>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</si>
  <si>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</si>
  <si>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</si>
  <si>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</si>
  <si>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</si>
  <si>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</si>
  <si>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</si>
  <si>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</si>
  <si>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</si>
  <si>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</si>
  <si>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</si>
  <si>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</si>
  <si>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</si>
  <si>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</si>
  <si>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</si>
  <si>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</si>
  <si>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</si>
  <si>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</si>
  <si>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</si>
  <si>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</si>
  <si>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</si>
  <si>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</si>
  <si>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</si>
  <si>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</si>
  <si>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</si>
  <si>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</si>
  <si>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</si>
  <si>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</si>
  <si>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</si>
  <si>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</si>
  <si>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</si>
  <si>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</si>
  <si>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</si>
  <si>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</si>
  <si>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</si>
  <si>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</si>
  <si>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</si>
  <si>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</si>
  <si>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</si>
  <si>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</si>
  <si>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</si>
  <si>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</si>
  <si>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</si>
  <si>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</si>
  <si>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</si>
  <si>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</si>
  <si>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</si>
  <si>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</si>
  <si>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</si>
  <si>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</si>
  <si>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</si>
  <si>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</si>
  <si>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</si>
  <si>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</si>
  <si>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</si>
  <si>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</si>
  <si>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</si>
  <si>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</si>
  <si>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</si>
  <si>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</si>
  <si>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</si>
  <si>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</si>
  <si>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</si>
  <si>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</si>
  <si>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</si>
  <si>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</si>
  <si>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</si>
  <si>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</si>
  <si>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</si>
  <si>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</si>
  <si>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</si>
  <si>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</si>
  <si>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</si>
  <si>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</si>
  <si>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</si>
  <si>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</si>
  <si>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</si>
  <si>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</si>
  <si>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</si>
  <si>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</si>
  <si>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</si>
  <si>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</si>
  <si>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</si>
  <si>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</si>
  <si>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</si>
  <si>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</si>
  <si>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</si>
  <si>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</si>
  <si>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</si>
  <si>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</si>
  <si>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</si>
  <si>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</si>
  <si>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</si>
  <si>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</si>
  <si>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</si>
  <si>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</si>
  <si>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</si>
  <si>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</si>
  <si>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</si>
  <si>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</si>
  <si>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</si>
  <si>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</si>
  <si>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</si>
  <si>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</si>
  <si>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</si>
  <si>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</si>
  <si>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</si>
  <si>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</si>
  <si>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</si>
  <si>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</si>
  <si>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</si>
  <si>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</si>
  <si>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</si>
  <si>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</si>
  <si>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</si>
  <si>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</si>
  <si>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</si>
  <si>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</si>
  <si>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</si>
  <si>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</si>
  <si>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</si>
  <si>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</si>
  <si>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</si>
  <si>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</si>
  <si>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</si>
  <si>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</si>
  <si>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</si>
  <si>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</si>
  <si>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</si>
  <si>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</si>
  <si>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</si>
  <si>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</si>
  <si>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</si>
  <si>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</si>
  <si>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</si>
  <si>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</si>
  <si>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</si>
  <si>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</si>
  <si>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</si>
  <si>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</si>
  <si>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</si>
  <si>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</si>
  <si>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</si>
  <si>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</si>
  <si>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</si>
  <si>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</si>
  <si>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</si>
  <si>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</si>
  <si>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</si>
  <si>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</si>
  <si>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</si>
  <si>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</si>
  <si>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</si>
  <si>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</si>
  <si>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</si>
  <si>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</si>
  <si>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</si>
  <si>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</si>
  <si>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</si>
  <si>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</si>
  <si>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</si>
  <si>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</si>
  <si>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</si>
  <si>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</si>
  <si>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</si>
  <si>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</si>
  <si>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</si>
  <si>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</si>
  <si>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</si>
  <si>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</si>
  <si>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</si>
  <si>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</si>
  <si>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</si>
  <si>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</si>
  <si>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</si>
  <si>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</si>
  <si>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</si>
  <si>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</si>
  <si>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</si>
  <si>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</si>
  <si>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</si>
  <si>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</si>
  <si>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</si>
  <si>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</si>
  <si>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</si>
  <si>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</si>
  <si>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</si>
  <si>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</si>
  <si>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</si>
  <si>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</si>
  <si>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</si>
  <si>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</si>
  <si>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</si>
  <si>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</si>
  <si>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</si>
  <si>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</si>
  <si>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</si>
  <si>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</si>
  <si>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</si>
  <si>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</si>
  <si>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</si>
  <si>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</si>
  <si>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</si>
  <si>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</si>
  <si>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</si>
  <si>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</si>
  <si>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</si>
  <si>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</si>
  <si>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</si>
  <si>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</si>
  <si>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</si>
  <si>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</si>
  <si>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</si>
  <si>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</si>
  <si>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</si>
  <si>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</si>
  <si>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</si>
  <si>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</si>
  <si>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</si>
  <si>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</si>
  <si>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</si>
  <si>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</si>
  <si>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</si>
  <si>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</si>
  <si>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</si>
  <si>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</si>
  <si>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</si>
  <si>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</si>
  <si>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</si>
  <si>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</si>
  <si>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</si>
  <si>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</si>
  <si>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</si>
  <si>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</si>
  <si>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</si>
  <si>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</si>
  <si>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</si>
  <si>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</si>
  <si>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</si>
  <si>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</si>
  <si>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</si>
  <si>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</si>
  <si>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</si>
  <si>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</si>
  <si>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</si>
  <si>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</si>
  <si>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</si>
  <si>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</si>
  <si>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</si>
  <si>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</si>
  <si>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</si>
  <si>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</si>
  <si>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</si>
  <si>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</si>
  <si>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</si>
  <si>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</si>
  <si>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</si>
  <si>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</si>
  <si>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</si>
  <si>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</si>
  <si>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</si>
  <si>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</si>
  <si>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</si>
  <si>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</si>
  <si>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</si>
  <si>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</si>
  <si>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</si>
  <si>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</si>
  <si>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</si>
  <si>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</si>
  <si>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</si>
  <si>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</si>
  <si>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</si>
  <si>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</si>
  <si>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</si>
  <si>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</si>
  <si>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</si>
  <si>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</si>
  <si>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</si>
  <si>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</si>
  <si>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</si>
  <si>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</si>
  <si>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</si>
  <si>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</si>
  <si>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</si>
  <si>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</si>
  <si>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</si>
  <si>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</si>
  <si>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</si>
  <si>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</si>
  <si>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</si>
  <si>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</si>
  <si>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</si>
  <si>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</si>
  <si>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</si>
  <si>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</si>
  <si>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</si>
  <si>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</si>
  <si>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</si>
  <si>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</si>
  <si>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</si>
  <si>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</si>
  <si>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</si>
  <si>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</si>
  <si>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</si>
  <si>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</si>
  <si>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</si>
  <si>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</si>
  <si>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</si>
  <si>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</si>
  <si>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</si>
  <si>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</si>
  <si>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</si>
  <si>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</si>
  <si>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</si>
  <si>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</si>
  <si>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</si>
  <si>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</si>
  <si>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</si>
  <si>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</si>
  <si>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</si>
  <si>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</si>
  <si>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</si>
  <si>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</si>
  <si>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</si>
  <si>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</si>
  <si>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</si>
  <si>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</si>
  <si>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</si>
  <si>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</si>
  <si>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</si>
  <si>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</si>
  <si>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</si>
  <si>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</si>
  <si>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</si>
  <si>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</si>
  <si>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</si>
  <si>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</si>
  <si>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</si>
  <si>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</si>
  <si>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</si>
  <si>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</si>
  <si>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</si>
  <si>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</si>
  <si>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</si>
  <si>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</si>
  <si>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</si>
  <si>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</si>
  <si>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</si>
  <si>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</si>
  <si>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</si>
  <si>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</si>
  <si>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</si>
  <si>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</si>
  <si>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</si>
  <si>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</si>
  <si>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</si>
  <si>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</si>
  <si>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</si>
  <si>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</si>
  <si>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</si>
  <si>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</si>
  <si>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</si>
  <si>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</si>
  <si>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</si>
  <si>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</si>
  <si>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</si>
  <si>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</si>
  <si>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</si>
  <si>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</si>
  <si>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</si>
  <si>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</si>
  <si>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</si>
  <si>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</si>
  <si>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</si>
  <si>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</si>
  <si>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</si>
  <si>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</si>
  <si>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</si>
  <si>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</si>
  <si>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</si>
  <si>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</si>
  <si>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</si>
  <si>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</si>
  <si>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</si>
  <si>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</si>
  <si>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</si>
  <si>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</si>
  <si>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</si>
  <si>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</si>
  <si>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</si>
  <si>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</si>
  <si>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</si>
  <si>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</si>
  <si>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</si>
  <si>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</si>
  <si>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</si>
  <si>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</si>
  <si>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</si>
  <si>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</si>
  <si>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</si>
  <si>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</si>
  <si>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</si>
  <si>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</si>
  <si>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</si>
  <si>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</si>
  <si>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</si>
  <si>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</si>
  <si>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</si>
  <si>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</si>
  <si>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</si>
  <si>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</si>
  <si>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</si>
  <si>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</si>
  <si>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</si>
  <si>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</si>
  <si>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</si>
  <si>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</si>
  <si>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</si>
  <si>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</si>
  <si>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</si>
  <si>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</si>
  <si>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</si>
  <si>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</si>
  <si>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</si>
  <si>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</si>
  <si>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</si>
  <si>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</si>
  <si>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</si>
  <si>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</si>
  <si>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</si>
  <si>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</si>
  <si>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</si>
  <si>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</si>
  <si>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</si>
  <si>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</si>
  <si>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</si>
  <si>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</si>
  <si>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</si>
  <si>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</si>
  <si>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</si>
  <si>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</si>
  <si>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</si>
  <si>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</si>
  <si>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</si>
  <si>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</si>
  <si>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</si>
  <si>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</si>
  <si>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</si>
  <si>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</si>
  <si>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</si>
  <si>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</si>
  <si>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</si>
  <si>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</si>
  <si>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</si>
  <si>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</si>
  <si>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</si>
  <si>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</si>
  <si>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</si>
  <si>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</si>
  <si>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</si>
  <si>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</si>
  <si>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</si>
  <si>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</si>
  <si>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</si>
  <si>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</si>
  <si>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</si>
  <si>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</si>
  <si>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</si>
  <si>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</si>
  <si>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</si>
  <si>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</si>
  <si>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</si>
  <si>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</si>
  <si>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</si>
  <si>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</si>
  <si>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</si>
  <si>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</si>
  <si>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</si>
  <si>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</si>
  <si>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</si>
  <si>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</si>
  <si>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</si>
  <si>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</si>
  <si>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</si>
  <si>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</si>
  <si>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</si>
  <si>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</si>
  <si>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</si>
  <si>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</si>
  <si>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</si>
  <si>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</si>
  <si>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</si>
  <si>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</si>
  <si>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</si>
  <si>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</si>
  <si>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</si>
  <si>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</si>
  <si>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</si>
  <si>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</si>
  <si>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</si>
  <si>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</si>
  <si>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</si>
  <si>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</si>
  <si>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</si>
  <si>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</si>
  <si>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</si>
  <si>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</si>
  <si>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</si>
  <si>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</si>
  <si>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</si>
  <si>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</si>
  <si>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</si>
  <si>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</si>
  <si>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</si>
  <si>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</si>
  <si>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</si>
  <si>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</si>
  <si>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</si>
  <si>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</si>
  <si>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</si>
  <si>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</si>
  <si>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</si>
  <si>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</si>
  <si>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</si>
  <si>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</si>
  <si>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</si>
  <si>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</si>
  <si>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</si>
  <si>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</si>
  <si>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</si>
  <si>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</si>
  <si>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</si>
  <si>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</si>
  <si>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</si>
  <si>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</si>
  <si>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</si>
  <si>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</si>
  <si>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</si>
  <si>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</si>
  <si>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</si>
  <si>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</si>
  <si>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</si>
  <si>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</si>
  <si>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</si>
  <si>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</si>
  <si>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</si>
  <si>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</si>
  <si>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</si>
  <si>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</si>
  <si>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</si>
  <si>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</si>
  <si>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</si>
  <si>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</si>
  <si>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</si>
  <si>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</si>
  <si>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</si>
  <si>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</si>
  <si>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</si>
  <si>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</si>
  <si>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</si>
  <si>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</si>
  <si>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</si>
  <si>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</si>
  <si>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</si>
  <si>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</si>
  <si>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</si>
  <si>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</si>
  <si>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</si>
  <si>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</si>
  <si>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</si>
  <si>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</si>
  <si>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</si>
  <si>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</si>
  <si>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</si>
  <si>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</si>
  <si>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</si>
  <si>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</si>
  <si>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</si>
  <si>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</si>
  <si>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</si>
  <si>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</si>
  <si>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</si>
  <si>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</si>
  <si>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</si>
  <si>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</si>
  <si>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</si>
  <si>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</si>
  <si>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</si>
  <si>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</si>
  <si>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</si>
  <si>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</si>
  <si>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</si>
  <si>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</si>
  <si>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</si>
  <si>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</si>
  <si>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</si>
  <si>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</si>
  <si>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</si>
  <si>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</si>
  <si>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</si>
  <si>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</si>
  <si>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</si>
  <si>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</si>
  <si>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</si>
  <si>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</si>
  <si>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</si>
  <si>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</si>
  <si>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</si>
  <si>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</si>
  <si>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</si>
  <si>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</si>
  <si>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</si>
  <si>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</si>
  <si>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</si>
  <si>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</si>
  <si>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</si>
  <si>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</si>
  <si>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</si>
  <si>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</si>
  <si>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</si>
  <si>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</si>
  <si>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</si>
  <si>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</si>
  <si>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</si>
  <si>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</si>
  <si>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</si>
  <si>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</si>
  <si>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</si>
  <si>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</si>
  <si>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</si>
  <si>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</si>
  <si>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</si>
  <si>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</si>
  <si>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</si>
  <si>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</si>
  <si>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</si>
  <si>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</si>
  <si>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</si>
  <si>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</si>
  <si>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</si>
  <si>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</si>
  <si>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</si>
  <si>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</si>
  <si>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</si>
  <si>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</si>
  <si>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</si>
  <si>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</si>
  <si>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</si>
  <si>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</si>
  <si>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</si>
  <si>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</si>
  <si>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</si>
  <si>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</si>
  <si>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</si>
  <si>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</si>
  <si>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</si>
  <si>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</si>
  <si>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</si>
  <si>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</si>
  <si>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</si>
  <si>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</si>
  <si>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</si>
  <si>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</si>
  <si>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</si>
  <si>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</si>
  <si>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</si>
  <si>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</si>
  <si>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</si>
  <si>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</si>
  <si>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</si>
  <si>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</si>
  <si>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</si>
  <si>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</si>
  <si>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</si>
  <si>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</si>
  <si>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</si>
  <si>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</si>
  <si>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</si>
  <si>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</si>
  <si>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</si>
  <si>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</si>
  <si>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</si>
  <si>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</si>
  <si>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</si>
  <si>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</si>
  <si>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</si>
  <si>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</si>
  <si>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</si>
  <si>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</si>
  <si>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</si>
  <si>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</si>
  <si>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</si>
  <si>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</si>
  <si>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</si>
  <si>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</si>
  <si>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</si>
  <si>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</si>
  <si>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</si>
  <si>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</si>
  <si>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</si>
  <si>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</si>
  <si>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</si>
  <si>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</si>
  <si>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</si>
  <si>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</si>
  <si>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</si>
  <si>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</si>
  <si>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</si>
  <si>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</si>
  <si>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</si>
  <si>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</si>
  <si>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</si>
  <si>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</si>
  <si>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</si>
  <si>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</si>
  <si>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</si>
  <si>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</si>
  <si>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</si>
  <si>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</si>
  <si>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</si>
  <si>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</si>
  <si>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</si>
  <si>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</si>
  <si>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</si>
  <si>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</si>
  <si>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</si>
  <si>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</si>
  <si>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</si>
  <si>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</si>
  <si>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</si>
  <si>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</si>
  <si>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</si>
  <si>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</si>
  <si>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</si>
  <si>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</si>
  <si>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</si>
  <si>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</si>
  <si>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</si>
  <si>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</si>
  <si>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</si>
  <si>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</si>
  <si>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</si>
  <si>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</si>
  <si>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</si>
  <si>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</si>
  <si>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</si>
  <si>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</si>
  <si>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</si>
  <si>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</si>
  <si>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</si>
  <si>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</si>
  <si>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</si>
  <si>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</si>
  <si>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</si>
  <si>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</si>
  <si>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</si>
  <si>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</si>
  <si>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</si>
  <si>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</si>
  <si>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</si>
  <si>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</si>
  <si>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</si>
  <si>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</si>
  <si>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</si>
  <si>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</si>
  <si>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</si>
  <si>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</si>
  <si>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</si>
  <si>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</si>
  <si>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</si>
  <si>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</si>
  <si>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</si>
  <si>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</si>
  <si>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</si>
  <si>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</si>
  <si>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</si>
  <si>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</si>
  <si>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</si>
  <si>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</si>
  <si>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</si>
  <si>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</si>
  <si>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</si>
  <si>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</si>
  <si>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</si>
  <si>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</si>
  <si>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</si>
  <si>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</si>
  <si>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</si>
  <si>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</si>
  <si>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</si>
  <si>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</si>
  <si>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</si>
  <si>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</si>
  <si>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</si>
  <si>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</si>
  <si>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</si>
  <si>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</si>
  <si>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</si>
  <si>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</si>
  <si>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</si>
  <si>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</si>
  <si>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</si>
  <si>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</si>
  <si>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</si>
  <si>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</si>
  <si>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</si>
  <si>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</si>
  <si>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</si>
  <si>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</si>
  <si>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</si>
  <si>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</si>
  <si>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</si>
  <si>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</si>
  <si>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</si>
  <si>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</si>
  <si>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</si>
  <si>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</si>
  <si>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</si>
  <si>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</si>
  <si>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</si>
  <si>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</si>
  <si>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</si>
  <si>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</si>
  <si>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</si>
  <si>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</si>
  <si>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</si>
  <si>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</si>
  <si>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</si>
  <si>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</si>
  <si>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</si>
  <si>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</si>
  <si>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</si>
  <si>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</si>
  <si>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</si>
  <si>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</si>
  <si>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</si>
  <si>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</si>
  <si>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</si>
  <si>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</si>
  <si>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</si>
  <si>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</si>
  <si>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</si>
  <si>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</si>
  <si>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</si>
  <si>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</si>
  <si>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</si>
  <si>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</si>
  <si>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</si>
  <si>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</si>
  <si>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</si>
  <si>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</si>
  <si>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</si>
  <si>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</si>
  <si>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</si>
  <si>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</si>
  <si>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</si>
  <si>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</si>
  <si>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</si>
  <si>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</si>
  <si>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</si>
  <si>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</si>
  <si>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</si>
  <si>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</si>
  <si>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</si>
  <si>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</si>
  <si>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</si>
  <si>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</si>
  <si>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</si>
  <si>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</si>
  <si>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</si>
  <si>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</si>
  <si>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</si>
  <si>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</si>
  <si>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</si>
  <si>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</si>
  <si>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</si>
  <si>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</si>
  <si>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</si>
  <si>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</si>
  <si>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</si>
  <si>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</si>
  <si>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</si>
  <si>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</si>
  <si>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</si>
  <si>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</si>
  <si>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</si>
  <si>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</si>
  <si>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</si>
  <si>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</si>
  <si>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</si>
  <si>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</si>
  <si>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</si>
  <si>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</si>
  <si>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</si>
  <si>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</si>
  <si>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</si>
  <si>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</si>
  <si>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</si>
  <si>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</si>
  <si>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</si>
  <si>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</si>
  <si>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</si>
  <si>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</si>
  <si>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</si>
  <si>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</si>
  <si>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</si>
  <si>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</si>
  <si>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</si>
  <si>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</si>
  <si>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</si>
  <si>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</si>
  <si>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</si>
  <si>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</si>
  <si>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</si>
  <si>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</si>
  <si>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</si>
  <si>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</si>
  <si>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</si>
  <si>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</si>
  <si>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</si>
  <si>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</si>
  <si>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</si>
  <si>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</si>
  <si>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</si>
  <si>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</si>
  <si>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</si>
  <si>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</si>
  <si>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</si>
  <si>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</si>
  <si>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</si>
  <si>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</si>
  <si>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</si>
  <si>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</si>
  <si>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</si>
  <si>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</si>
  <si>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</si>
  <si>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</si>
  <si>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</si>
  <si>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</si>
  <si>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</si>
  <si>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</si>
  <si>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</si>
  <si>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</si>
  <si>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</si>
  <si>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</si>
  <si>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</si>
  <si>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</si>
  <si>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</si>
  <si>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</si>
  <si>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</si>
  <si>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</si>
  <si>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</si>
  <si>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</si>
  <si>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</si>
  <si>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</si>
  <si>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</si>
  <si>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</si>
  <si>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</si>
  <si>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</si>
  <si>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</si>
  <si>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</si>
  <si>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</si>
  <si>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</si>
  <si>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</si>
  <si>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</si>
  <si>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</si>
  <si>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</si>
  <si>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</si>
  <si>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</si>
  <si>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</si>
  <si>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</si>
  <si>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</si>
  <si>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</si>
  <si>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</si>
  <si>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</si>
  <si>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</si>
  <si>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</si>
  <si>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</si>
  <si>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</si>
  <si>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</si>
  <si>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</si>
  <si>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</si>
  <si>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</si>
  <si>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</si>
  <si>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</si>
  <si>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</si>
  <si>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</si>
  <si>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</si>
  <si>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</si>
  <si>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</si>
  <si>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</si>
  <si>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</si>
  <si>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</si>
  <si>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</si>
  <si>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</si>
  <si>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</si>
  <si>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</si>
  <si>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</si>
  <si>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</si>
  <si>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</si>
  <si>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</si>
  <si>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</si>
  <si>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</si>
  <si>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</si>
  <si>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</si>
  <si>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</si>
  <si>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</si>
  <si>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</si>
  <si>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</si>
  <si>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</si>
  <si>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</si>
  <si>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</si>
  <si>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</si>
  <si>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</si>
  <si>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</si>
  <si>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</si>
  <si>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</si>
  <si>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</si>
  <si>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</si>
  <si>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</si>
  <si>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</si>
  <si>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</si>
  <si>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</si>
  <si>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</si>
  <si>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</si>
  <si>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</si>
  <si>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</si>
  <si>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</si>
  <si>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</si>
  <si>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</si>
  <si>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</si>
  <si>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</si>
  <si>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</si>
  <si>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</si>
  <si>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</si>
  <si>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</si>
  <si>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</si>
  <si>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</si>
  <si>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</si>
  <si>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</si>
  <si>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</si>
  <si>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</si>
  <si>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</si>
  <si>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</si>
  <si>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</si>
  <si>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</si>
  <si>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</si>
  <si>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</si>
  <si>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</si>
  <si>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</si>
  <si>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</si>
  <si>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</si>
  <si>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</si>
  <si>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</si>
  <si>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</si>
  <si>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</si>
  <si>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</si>
  <si>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</si>
  <si>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</si>
  <si>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</si>
  <si>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</si>
  <si>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</si>
  <si>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</si>
  <si>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</si>
  <si>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</si>
  <si>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</si>
  <si>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</si>
  <si>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</si>
  <si>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</si>
  <si>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</si>
  <si>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</si>
  <si>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</si>
  <si>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</si>
  <si>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</si>
  <si>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</si>
  <si>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</si>
  <si>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</si>
  <si>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</si>
  <si>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</si>
  <si>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</si>
  <si>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</si>
  <si>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</si>
  <si>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</si>
  <si>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</si>
  <si>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</si>
  <si>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</si>
  <si>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</si>
  <si>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</si>
  <si>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</si>
  <si>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</si>
  <si>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</si>
  <si>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</si>
  <si>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</si>
  <si>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</si>
  <si>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</si>
  <si>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</si>
  <si>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</si>
  <si>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</si>
  <si>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</si>
  <si>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</si>
  <si>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</si>
  <si>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</si>
  <si>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</si>
  <si>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</si>
  <si>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</si>
  <si>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</si>
  <si>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</si>
  <si>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</si>
  <si>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</si>
  <si>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</si>
  <si>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</si>
  <si>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</si>
  <si>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</si>
  <si>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</si>
  <si>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</si>
  <si>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</si>
  <si>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</si>
  <si>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</si>
  <si>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</si>
  <si>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</si>
  <si>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</si>
  <si>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</si>
  <si>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</si>
  <si>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</si>
  <si>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</si>
  <si>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</si>
  <si>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</si>
  <si>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</si>
  <si>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</si>
  <si>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</si>
  <si>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</si>
  <si>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</si>
  <si>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</si>
  <si>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</si>
  <si>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</si>
  <si>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</si>
  <si>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</si>
  <si>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</si>
  <si>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</si>
  <si>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</si>
  <si>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</si>
  <si>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</si>
  <si>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</si>
  <si>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</si>
  <si>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</si>
  <si>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</si>
  <si>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</si>
  <si>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</si>
  <si>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</si>
  <si>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</si>
  <si>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</si>
  <si>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</si>
  <si>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</si>
  <si>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</si>
  <si>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</si>
  <si>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</si>
  <si>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</si>
  <si>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</si>
  <si>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</si>
  <si>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</si>
  <si>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</si>
  <si>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</si>
  <si>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</si>
  <si>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</si>
  <si>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</si>
  <si>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</si>
  <si>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</si>
  <si>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</si>
  <si>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</si>
  <si>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</si>
  <si>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</si>
  <si>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</si>
  <si>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</si>
  <si>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</si>
  <si>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</si>
  <si>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</si>
  <si>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</si>
  <si>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</si>
  <si>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</si>
  <si>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</si>
  <si>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</si>
  <si>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</si>
  <si>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</si>
  <si>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</si>
  <si>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</si>
  <si>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</si>
  <si>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</si>
  <si>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</si>
  <si>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</si>
  <si>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</si>
  <si>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</si>
  <si>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</si>
  <si>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</si>
  <si>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</si>
  <si>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</si>
  <si>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</si>
  <si>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</si>
  <si>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</si>
  <si>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</si>
  <si>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</si>
  <si>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</si>
  <si>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</si>
  <si>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</si>
  <si>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</si>
  <si>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</si>
  <si>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</si>
  <si>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</si>
  <si>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</si>
  <si>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</si>
  <si>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</si>
  <si>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</si>
  <si>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</si>
  <si>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</si>
  <si>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</si>
  <si>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</si>
  <si>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</si>
  <si>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</si>
  <si>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</si>
  <si>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</si>
  <si>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</si>
  <si>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</si>
  <si>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</si>
  <si>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</si>
  <si>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</si>
  <si>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</si>
  <si>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</si>
  <si>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</si>
  <si>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</si>
  <si>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</si>
  <si>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</si>
  <si>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</si>
  <si>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</si>
  <si>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</si>
  <si>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</si>
  <si>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</si>
  <si>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</si>
  <si>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</si>
  <si>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</si>
  <si>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</si>
  <si>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</si>
  <si>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</si>
  <si>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</si>
  <si>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</si>
  <si>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</si>
  <si>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</si>
  <si>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</si>
  <si>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</si>
  <si>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</si>
  <si>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</si>
  <si>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</si>
  <si>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</si>
  <si>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</si>
  <si>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</si>
  <si>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</si>
  <si>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</si>
  <si>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</si>
  <si>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</si>
  <si>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</si>
  <si>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</si>
  <si>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</si>
  <si>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</si>
  <si>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</si>
  <si>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</si>
  <si>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</si>
  <si>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</si>
  <si>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</si>
  <si>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</si>
  <si>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</si>
  <si>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</si>
  <si>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</si>
  <si>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</si>
  <si>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</si>
  <si>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</si>
  <si>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</si>
  <si>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</si>
  <si>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</si>
  <si>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</si>
  <si>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</si>
  <si>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</si>
  <si>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</si>
  <si>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</si>
  <si>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</si>
  <si>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</si>
  <si>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</si>
  <si>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</si>
  <si>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</si>
  <si>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</si>
  <si>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</si>
  <si>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</si>
  <si>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</si>
  <si>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</si>
  <si>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</si>
  <si>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</si>
  <si>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</si>
  <si>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</si>
  <si>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</si>
  <si>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</si>
  <si>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</si>
  <si>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</si>
  <si>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</si>
  <si>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</si>
  <si>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</si>
  <si>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</si>
  <si>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</si>
  <si>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</si>
  <si>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</si>
  <si>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</si>
  <si>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</si>
  <si>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</si>
  <si>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</si>
  <si>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</si>
  <si>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</si>
  <si>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</si>
  <si>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</si>
  <si>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</si>
  <si>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</si>
  <si>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</si>
  <si>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</si>
  <si>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</si>
  <si>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</si>
  <si>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</si>
  <si>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</si>
  <si>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</si>
  <si>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</si>
  <si>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</si>
  <si>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</si>
  <si>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</si>
  <si>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</si>
  <si>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</si>
  <si>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</si>
  <si>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</si>
  <si>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</si>
  <si>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</si>
  <si>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</si>
  <si>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</si>
  <si>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</si>
  <si>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</si>
  <si>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</si>
  <si>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</si>
  <si>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</si>
  <si>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</si>
  <si>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</si>
  <si>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</si>
  <si>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</si>
  <si>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</si>
  <si>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</si>
  <si>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</si>
  <si>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</si>
  <si>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</si>
  <si>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</si>
  <si>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</si>
  <si>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</si>
  <si>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</si>
  <si>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</si>
  <si>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</si>
  <si>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</si>
  <si>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</si>
  <si>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</si>
  <si>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</si>
  <si>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</si>
  <si>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</si>
  <si>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</si>
  <si>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</si>
  <si>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</si>
  <si>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</si>
  <si>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</si>
  <si>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</si>
  <si>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</si>
  <si>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</si>
  <si>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</si>
  <si>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</si>
  <si>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</si>
  <si>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</si>
  <si>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</si>
  <si>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</si>
  <si>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</si>
  <si>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</si>
  <si>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</si>
  <si>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</si>
  <si>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</si>
  <si>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</si>
  <si>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</si>
  <si>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</si>
  <si>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</si>
  <si>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</si>
  <si>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</si>
  <si>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</si>
  <si>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</si>
  <si>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</si>
  <si>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</si>
  <si>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</si>
  <si>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</si>
  <si>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</si>
  <si>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</si>
  <si>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</si>
  <si>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</si>
  <si>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</si>
  <si>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</si>
  <si>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</si>
  <si>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</si>
  <si>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</si>
  <si>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</si>
  <si>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</si>
  <si>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</si>
  <si>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</si>
  <si>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</si>
  <si>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</si>
  <si>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</si>
  <si>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</si>
  <si>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</si>
  <si>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</si>
  <si>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</si>
  <si>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</si>
  <si>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</si>
  <si>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</si>
  <si>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</si>
  <si>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</si>
  <si>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</si>
  <si>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</si>
  <si>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</si>
  <si>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</si>
  <si>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</si>
  <si>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</si>
  <si>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</si>
  <si>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</si>
  <si>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</si>
  <si>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</si>
  <si>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</si>
  <si>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</si>
  <si>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</si>
  <si>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</si>
  <si>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</si>
  <si>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</si>
  <si>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</si>
  <si>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</si>
  <si>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</si>
  <si>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</si>
  <si>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</si>
  <si>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</si>
  <si>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</si>
  <si>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</si>
  <si>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</si>
  <si>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</si>
  <si>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</si>
  <si>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</si>
  <si>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</si>
  <si>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</si>
  <si>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</si>
  <si>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</si>
  <si>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</si>
  <si>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</si>
  <si>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</si>
  <si>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</si>
  <si>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</si>
  <si>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</si>
  <si>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</si>
  <si>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</si>
  <si>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</si>
  <si>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</si>
  <si>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</si>
  <si>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</si>
  <si>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</si>
  <si>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</si>
  <si>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</si>
  <si>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</si>
  <si>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</si>
  <si>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</si>
  <si>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</si>
  <si>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</si>
  <si>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</si>
  <si>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</si>
  <si>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</si>
  <si>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</si>
  <si>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</si>
  <si>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</si>
  <si>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</si>
  <si>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</si>
  <si>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</si>
  <si>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</si>
  <si>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</si>
  <si>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</si>
  <si>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</si>
  <si>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</si>
  <si>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</si>
  <si>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</si>
  <si>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</si>
  <si>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</si>
  <si>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</si>
  <si>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</si>
  <si>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</si>
  <si>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</si>
  <si>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</si>
  <si>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</si>
  <si>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</si>
  <si>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</si>
  <si>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</si>
  <si>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</si>
  <si>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</si>
  <si>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</si>
  <si>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</si>
  <si>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</si>
  <si>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</si>
  <si>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</si>
  <si>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</si>
  <si>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</si>
  <si>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</si>
  <si>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</si>
  <si>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</si>
  <si>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</si>
  <si>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</si>
  <si>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</si>
  <si>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</si>
  <si>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</si>
  <si>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</si>
  <si>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</si>
  <si>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</si>
  <si>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</si>
  <si>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</si>
  <si>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</si>
  <si>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</si>
  <si>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</si>
  <si>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</si>
  <si>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</si>
  <si>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</si>
  <si>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</si>
  <si>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</si>
  <si>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</si>
  <si>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</si>
  <si>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</si>
  <si>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</si>
  <si>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</si>
  <si>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</si>
  <si>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</si>
  <si>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</si>
  <si>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</si>
  <si>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</si>
  <si>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</si>
  <si>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</si>
  <si>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</si>
  <si>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</si>
  <si>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</si>
  <si>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</si>
  <si>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</si>
  <si>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</si>
  <si>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</si>
  <si>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</si>
  <si>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</si>
  <si>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</si>
  <si>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</si>
  <si>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</si>
  <si>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</si>
  <si>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</si>
  <si>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</si>
  <si>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</si>
  <si>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</si>
  <si>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</si>
  <si>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</si>
  <si>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</si>
  <si>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</si>
  <si>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</si>
  <si>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</si>
  <si>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</si>
  <si>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</si>
  <si>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</si>
  <si>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</si>
  <si>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</si>
  <si>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</si>
  <si>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</si>
  <si>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</si>
  <si>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</si>
  <si>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</si>
  <si>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</si>
  <si>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</si>
  <si>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</si>
  <si>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</si>
  <si>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</si>
  <si>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</si>
  <si>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</si>
  <si>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</si>
  <si>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</si>
  <si>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</si>
  <si>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</si>
  <si>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</si>
  <si>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</si>
  <si>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</si>
  <si>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</si>
  <si>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</si>
  <si>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</si>
  <si>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</si>
  <si>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</si>
  <si>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</si>
  <si>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</si>
  <si>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</si>
  <si>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</si>
  <si>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</si>
  <si>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</si>
  <si>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</si>
  <si>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</si>
  <si>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</si>
  <si>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</si>
  <si>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</si>
  <si>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</si>
  <si>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</si>
  <si>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</si>
  <si>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</si>
  <si>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</si>
  <si>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</si>
  <si>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</si>
  <si>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</si>
  <si>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</si>
  <si>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</si>
  <si>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</si>
  <si>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</si>
  <si>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</si>
  <si>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</si>
  <si>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</si>
  <si>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</si>
  <si>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</si>
  <si>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</si>
  <si>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</si>
  <si>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</si>
  <si>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</si>
  <si>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</si>
  <si>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</si>
  <si>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</si>
  <si>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</si>
  <si>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</si>
  <si>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</si>
  <si>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</si>
  <si>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</si>
  <si>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</si>
  <si>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</si>
  <si>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</si>
  <si>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</si>
  <si>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</si>
  <si>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</si>
  <si>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</si>
  <si>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</si>
  <si>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</si>
  <si>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</si>
  <si>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</si>
  <si>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</si>
  <si>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</si>
  <si>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</si>
  <si>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</si>
  <si>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</si>
  <si>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</si>
  <si>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</si>
  <si>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</si>
  <si>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</si>
  <si>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</si>
  <si>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</si>
  <si>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</si>
  <si>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</si>
  <si>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</si>
  <si>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</si>
  <si>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</si>
  <si>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</si>
  <si>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</si>
  <si>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</si>
  <si>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</si>
  <si>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</si>
  <si>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</si>
  <si>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</si>
  <si>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</si>
  <si>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</si>
  <si>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</si>
  <si>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</si>
  <si>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</si>
  <si>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</si>
  <si>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</si>
  <si>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</si>
  <si>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</si>
  <si>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</si>
  <si>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</si>
  <si>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</si>
  <si>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</si>
  <si>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</si>
  <si>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</si>
  <si>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</si>
  <si>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</si>
  <si>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</si>
  <si>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</si>
  <si>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</si>
  <si>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</si>
  <si>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</si>
  <si>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</si>
  <si>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</si>
  <si>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</si>
  <si>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</si>
  <si>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</si>
  <si>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</si>
  <si>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</si>
  <si>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</si>
  <si>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</si>
  <si>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</si>
  <si>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</si>
  <si>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</si>
  <si>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</si>
  <si>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</si>
  <si>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</si>
  <si>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</si>
  <si>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</si>
  <si>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</si>
  <si>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</si>
  <si>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</si>
  <si>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</si>
  <si>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</si>
  <si>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</si>
  <si>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</si>
  <si>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</si>
  <si>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</si>
  <si>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</si>
  <si>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</si>
  <si>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</si>
  <si>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</si>
  <si>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</si>
  <si>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</si>
  <si>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</si>
  <si>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</si>
  <si>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</si>
  <si>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</si>
  <si>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</si>
  <si>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</si>
  <si>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</si>
  <si>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</si>
  <si>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</si>
  <si>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</si>
  <si>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</si>
  <si>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</si>
  <si>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</si>
  <si>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</si>
  <si>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</si>
  <si>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</si>
  <si>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</si>
  <si>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</si>
  <si>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</si>
  <si>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</si>
  <si>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</si>
  <si>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</si>
  <si>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</si>
  <si>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</si>
  <si>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</si>
  <si>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</si>
  <si>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</si>
  <si>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</si>
  <si>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</si>
  <si>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</si>
  <si>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</si>
  <si>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</si>
  <si>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</si>
  <si>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</si>
  <si>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</si>
  <si>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</si>
  <si>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</si>
  <si>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</si>
  <si>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</si>
  <si>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</si>
  <si>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</si>
  <si>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</si>
  <si>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</si>
  <si>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</si>
  <si>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</si>
  <si>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</si>
  <si>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</si>
  <si>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</si>
  <si>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</si>
  <si>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</si>
  <si>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</si>
  <si>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</si>
  <si>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</si>
  <si>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</si>
  <si>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</si>
  <si>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</si>
  <si>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</si>
  <si>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</si>
  <si>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</si>
  <si>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</si>
  <si>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</si>
  <si>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</si>
  <si>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</si>
  <si>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</si>
  <si>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</si>
  <si>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</si>
  <si>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</si>
  <si>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</si>
  <si>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</si>
  <si>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</si>
  <si>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</si>
  <si>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</si>
  <si>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</si>
  <si>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</si>
  <si>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</si>
  <si>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</si>
  <si>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</si>
  <si>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</si>
  <si>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</si>
  <si>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</si>
  <si>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</si>
  <si>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</si>
  <si>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</si>
  <si>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</si>
  <si>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</si>
  <si>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</si>
  <si>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</si>
  <si>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</si>
  <si>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</si>
  <si>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</si>
  <si>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</si>
  <si>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</si>
  <si>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</si>
  <si>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</si>
  <si>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</si>
  <si>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</si>
  <si>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</si>
  <si>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</si>
  <si>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</si>
  <si>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</si>
  <si>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</si>
  <si>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</si>
  <si>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</si>
  <si>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</si>
  <si>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</si>
  <si>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</si>
  <si>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</si>
  <si>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</si>
  <si>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</si>
  <si>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</si>
  <si>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</si>
  <si>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</si>
  <si>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</si>
  <si>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</si>
  <si>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</si>
  <si>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</si>
  <si>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</si>
  <si>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</si>
  <si>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</si>
  <si>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</si>
  <si>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</si>
  <si>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</si>
  <si>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</si>
  <si>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</si>
  <si>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</si>
  <si>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</si>
  <si>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</si>
  <si>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</si>
  <si>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</si>
  <si>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</si>
  <si>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</si>
  <si>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</si>
  <si>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</si>
  <si>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</si>
  <si>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</si>
  <si>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</si>
  <si>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</si>
  <si>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</si>
  <si>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</si>
  <si>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</si>
  <si>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</si>
  <si>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</si>
  <si>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</si>
  <si>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</si>
  <si>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</si>
  <si>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</si>
  <si>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</si>
  <si>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</si>
  <si>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</si>
  <si>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</si>
  <si>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</si>
  <si>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</si>
  <si>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</si>
  <si>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</si>
  <si>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</si>
  <si>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</si>
  <si>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</si>
  <si>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</si>
  <si>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</si>
  <si>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</si>
  <si>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</si>
  <si>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</si>
  <si>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</si>
  <si>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</si>
  <si>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</si>
  <si>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</si>
  <si>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</si>
  <si>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</si>
  <si>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</si>
  <si>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</si>
  <si>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</si>
  <si>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</si>
  <si>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</si>
  <si>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</si>
  <si>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</si>
  <si>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</si>
  <si>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</si>
  <si>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</si>
  <si>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</si>
  <si>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</si>
  <si>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</si>
  <si>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</si>
  <si>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</si>
  <si>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</si>
  <si>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</si>
  <si>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</si>
  <si>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</si>
  <si>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</si>
  <si>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</si>
  <si>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</si>
  <si>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</si>
  <si>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</si>
  <si>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</si>
  <si>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</si>
  <si>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</si>
  <si>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</si>
  <si>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</si>
  <si>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</si>
  <si>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</si>
  <si>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</si>
  <si>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</si>
  <si>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</si>
  <si>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</si>
  <si>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</si>
  <si>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</si>
  <si>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</si>
  <si>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</si>
  <si>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</si>
  <si>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</si>
  <si>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</si>
  <si>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</si>
  <si>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</si>
  <si>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</si>
  <si>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</si>
  <si>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</si>
  <si>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</si>
  <si>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</si>
  <si>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</si>
  <si>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</si>
  <si>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</si>
  <si>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</si>
  <si>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</si>
  <si>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</si>
  <si>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</si>
  <si>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</si>
  <si>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</si>
  <si>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</si>
  <si>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</si>
  <si>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</si>
  <si>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</si>
  <si>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</si>
  <si>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</si>
  <si>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</si>
  <si>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</si>
  <si>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</si>
  <si>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</si>
  <si>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</si>
  <si>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</si>
  <si>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</si>
  <si>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</si>
  <si>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</si>
  <si>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</si>
  <si>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</si>
  <si>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</si>
  <si>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</si>
  <si>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</si>
  <si>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</si>
  <si>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</si>
  <si>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</si>
  <si>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</si>
  <si>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</si>
  <si>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</si>
  <si>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</si>
  <si>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</si>
  <si>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</si>
  <si>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</si>
  <si>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</si>
  <si>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</si>
  <si>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</si>
  <si>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</si>
  <si>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</si>
  <si>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</si>
  <si>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</si>
  <si>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</si>
  <si>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</si>
  <si>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</si>
  <si>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</si>
  <si>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</si>
  <si>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</si>
  <si>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</si>
  <si>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</si>
  <si>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</si>
  <si>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</si>
  <si>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</si>
  <si>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</si>
  <si>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</si>
  <si>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</si>
  <si>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</si>
  <si>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</si>
  <si>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</si>
  <si>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</si>
  <si>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</si>
  <si>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</si>
  <si>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</si>
  <si>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</si>
  <si>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</si>
  <si>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</si>
  <si>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</si>
  <si>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</si>
  <si>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</si>
  <si>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</si>
  <si>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</si>
  <si>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</si>
  <si>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</si>
  <si>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</si>
  <si>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</si>
  <si>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</si>
  <si>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</si>
  <si>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</si>
  <si>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</si>
  <si>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</si>
  <si>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</si>
  <si>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</si>
  <si>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</si>
  <si>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</si>
  <si>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</si>
  <si>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</si>
  <si>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</si>
  <si>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</si>
  <si>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</si>
  <si>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</si>
  <si>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</si>
  <si>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</si>
  <si>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</si>
  <si>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</si>
  <si>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</si>
  <si>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</si>
  <si>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</si>
  <si>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</si>
  <si>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</si>
  <si>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</si>
  <si>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</si>
  <si>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</si>
  <si>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</si>
  <si>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</si>
  <si>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</si>
  <si>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</si>
  <si>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</si>
  <si>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</si>
  <si>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</si>
  <si>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</si>
  <si>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</si>
  <si>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</si>
  <si>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</si>
  <si>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</si>
  <si>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</si>
  <si>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</si>
  <si>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</si>
  <si>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</si>
  <si>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</si>
  <si>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</si>
  <si>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</si>
  <si>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</si>
  <si>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</si>
  <si>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</si>
  <si>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</si>
  <si>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</si>
  <si>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</si>
  <si>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</si>
  <si>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</si>
  <si>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</si>
  <si>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</si>
  <si>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</si>
  <si>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</si>
  <si>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</si>
  <si>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</si>
  <si>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</si>
  <si>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</si>
  <si>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</si>
  <si>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</si>
  <si>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</si>
  <si>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</si>
  <si>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</si>
  <si>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</si>
  <si>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</si>
  <si>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</si>
  <si>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</si>
  <si>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</si>
  <si>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</si>
  <si>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</si>
  <si>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</si>
  <si>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</si>
  <si>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</si>
  <si>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</si>
  <si>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</si>
  <si>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</si>
  <si>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</si>
  <si>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</si>
  <si>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</si>
  <si>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</si>
  <si>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</si>
  <si>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</si>
  <si>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</si>
  <si>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</si>
  <si>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</si>
  <si>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</si>
  <si>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</si>
  <si>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</si>
  <si>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</si>
  <si>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</si>
  <si>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</si>
  <si>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</si>
  <si>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</si>
  <si>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</si>
  <si>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</si>
  <si>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</si>
  <si>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</si>
  <si>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</si>
  <si>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</si>
  <si>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</si>
  <si>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</si>
  <si>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</si>
  <si>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</si>
  <si>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</si>
  <si>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</si>
  <si>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</si>
  <si>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</si>
  <si>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</si>
  <si>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</si>
  <si>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</si>
  <si>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</si>
  <si>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</si>
  <si>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</si>
  <si>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</si>
  <si>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</si>
  <si>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</si>
  <si>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</si>
  <si>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</si>
  <si>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</si>
  <si>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</si>
  <si>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</si>
  <si>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</si>
  <si>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</si>
  <si>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</si>
  <si>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</si>
  <si>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</si>
  <si>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</si>
  <si>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</si>
  <si>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</si>
  <si>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</si>
  <si>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</si>
  <si>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</si>
  <si>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</si>
  <si>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</si>
  <si>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</si>
  <si>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</si>
  <si>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</si>
  <si>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</si>
  <si>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</si>
  <si>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</si>
  <si>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</si>
  <si>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</si>
  <si>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</si>
  <si>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</si>
  <si>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</si>
  <si>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</si>
  <si>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</si>
  <si>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</si>
  <si>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</si>
  <si>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</si>
  <si>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</si>
  <si>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</si>
  <si>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</si>
  <si>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</si>
  <si>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</si>
  <si>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</si>
  <si>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</si>
  <si>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</si>
  <si>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</si>
  <si>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</si>
  <si>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</si>
  <si>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</si>
  <si>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</si>
  <si>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</si>
  <si>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</si>
  <si>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</si>
  <si>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</si>
  <si>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</si>
  <si>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</si>
  <si>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</si>
  <si>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</si>
  <si>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</si>
  <si>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</si>
  <si>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</si>
  <si>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</si>
  <si>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</si>
  <si>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</si>
  <si>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</si>
  <si>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</si>
  <si>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</si>
  <si>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</si>
  <si>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</si>
  <si>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</si>
  <si>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</si>
  <si>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</si>
  <si>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</si>
  <si>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</si>
  <si>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</si>
  <si>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</si>
  <si>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</si>
  <si>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</si>
  <si>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</si>
  <si>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</si>
  <si>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</si>
  <si>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</si>
  <si>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</si>
  <si>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</si>
  <si>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</si>
  <si>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</si>
  <si>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</si>
  <si>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</si>
  <si>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</si>
  <si>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</si>
  <si>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</si>
  <si>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</si>
  <si>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</si>
  <si>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</si>
  <si>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</si>
  <si>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</si>
  <si>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</si>
  <si>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</si>
  <si>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</si>
  <si>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</si>
  <si>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</si>
  <si>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</si>
  <si>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</si>
  <si>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</si>
  <si>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</si>
  <si>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</si>
  <si>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</si>
  <si>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</si>
  <si>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</si>
  <si>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</si>
  <si>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</si>
  <si>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</si>
  <si>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</si>
  <si>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</si>
  <si>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</si>
  <si>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</si>
  <si>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</si>
  <si>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</si>
  <si>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</si>
  <si>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</si>
  <si>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</si>
  <si>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</si>
  <si>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</si>
  <si>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</si>
  <si>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</si>
  <si>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</si>
  <si>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</si>
  <si>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</si>
  <si>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</si>
  <si>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</si>
  <si>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</si>
  <si>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</si>
  <si>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</si>
  <si>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</si>
  <si>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</si>
  <si>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</si>
  <si>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</si>
  <si>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</si>
  <si>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</si>
  <si>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</si>
  <si>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</si>
  <si>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</si>
  <si>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</si>
  <si>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</si>
  <si>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</si>
  <si>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</si>
  <si>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</si>
  <si>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</si>
  <si>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</si>
  <si>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</si>
  <si>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</si>
  <si>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</si>
  <si>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</si>
  <si>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</si>
  <si>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</si>
  <si>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</si>
  <si>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</si>
  <si>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</si>
  <si>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</si>
  <si>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</si>
  <si>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</si>
  <si>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</si>
  <si>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</si>
  <si>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</si>
  <si>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</si>
  <si>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</si>
  <si>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</si>
  <si>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</si>
  <si>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</si>
  <si>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</si>
  <si>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</si>
  <si>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</si>
  <si>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</si>
  <si>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</si>
  <si>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</si>
  <si>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</si>
  <si>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</si>
  <si>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</si>
  <si>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</si>
  <si>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</si>
  <si>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</si>
  <si>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</si>
  <si>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</si>
  <si>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</si>
  <si>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</si>
  <si>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</si>
  <si>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</si>
  <si>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</si>
  <si>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</si>
  <si>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</si>
  <si>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</si>
  <si>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</si>
  <si>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</si>
  <si>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</si>
  <si>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</si>
  <si>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</si>
  <si>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</si>
  <si>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</si>
  <si>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</si>
  <si>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</si>
  <si>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</si>
  <si>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</si>
  <si>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</si>
  <si>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</si>
  <si>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</si>
  <si>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</si>
  <si>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</si>
  <si>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</si>
  <si>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</si>
  <si>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</si>
  <si>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</si>
  <si>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</si>
  <si>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</si>
  <si>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</si>
  <si>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</si>
  <si>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</si>
  <si>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</si>
  <si>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</si>
  <si>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</si>
  <si>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</si>
  <si>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</si>
  <si>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</si>
  <si>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</si>
  <si>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</si>
  <si>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</si>
  <si>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</si>
  <si>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</si>
  <si>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</si>
  <si>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</si>
  <si>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</si>
  <si>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</si>
  <si>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</si>
  <si>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</si>
  <si>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</si>
  <si>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</si>
  <si>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</si>
  <si>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</si>
  <si>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</si>
  <si>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</si>
  <si>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</si>
  <si>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</si>
  <si>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</si>
  <si>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</si>
  <si>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</si>
  <si>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</si>
  <si>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</si>
  <si>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</si>
  <si>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</si>
  <si>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</si>
  <si>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</si>
  <si>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</si>
  <si>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</si>
  <si>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</si>
  <si>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</si>
  <si>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</si>
  <si>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</si>
  <si>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</si>
  <si>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</si>
  <si>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</si>
  <si>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</si>
  <si>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</si>
  <si>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</si>
  <si>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</si>
  <si>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</si>
  <si>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</si>
  <si>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</si>
  <si>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</si>
  <si>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</si>
  <si>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</si>
  <si>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</si>
  <si>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</si>
  <si>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</si>
  <si>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</si>
  <si>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</si>
  <si>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</si>
  <si>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</si>
  <si>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</si>
  <si>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</si>
  <si>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</si>
  <si>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</si>
  <si>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</si>
  <si>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</si>
  <si>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</si>
  <si>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</si>
  <si>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</si>
  <si>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</si>
  <si>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</si>
  <si>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</si>
  <si>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</si>
  <si>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</si>
  <si>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</si>
  <si>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</si>
  <si>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</si>
  <si>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</si>
  <si>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</si>
  <si>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</si>
  <si>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</si>
  <si>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</si>
  <si>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</si>
  <si>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</si>
  <si>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</si>
  <si>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</si>
  <si>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</si>
  <si>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</si>
  <si>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</si>
  <si>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</si>
  <si>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</si>
  <si>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</si>
  <si>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</si>
  <si>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</si>
  <si>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</si>
  <si>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</si>
  <si>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</si>
  <si>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</si>
  <si>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</si>
  <si>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</si>
  <si>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</si>
  <si>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</si>
  <si>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</si>
  <si>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</si>
  <si>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</si>
  <si>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</si>
  <si>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</si>
  <si>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</si>
  <si>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</si>
  <si>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</si>
  <si>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</si>
  <si>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</si>
  <si>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</si>
  <si>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</si>
  <si>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</si>
  <si>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</si>
  <si>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</si>
  <si>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</si>
  <si>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</si>
  <si>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</si>
  <si>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</si>
  <si>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</si>
  <si>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</si>
  <si>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</si>
  <si>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</si>
  <si>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</si>
  <si>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</si>
  <si>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</si>
  <si>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</si>
  <si>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</si>
  <si>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</si>
  <si>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</si>
  <si>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</si>
  <si>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</si>
  <si>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</si>
  <si>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</si>
  <si>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</si>
  <si>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</si>
  <si>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</si>
  <si>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</si>
  <si>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</si>
  <si>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</si>
  <si>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</si>
  <si>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</si>
  <si>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</si>
  <si>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</si>
  <si>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</si>
  <si>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</si>
  <si>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</si>
  <si>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</si>
  <si>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</si>
  <si>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</si>
  <si>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</si>
  <si>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</si>
  <si>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</si>
  <si>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</si>
  <si>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</si>
  <si>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</si>
  <si>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</si>
  <si>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</si>
  <si>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</si>
  <si>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</si>
  <si>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</si>
  <si>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</si>
  <si>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</si>
  <si>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</si>
  <si>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</si>
  <si>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</si>
  <si>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</si>
  <si>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</si>
  <si>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</si>
  <si>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</si>
  <si>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</si>
  <si>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</si>
  <si>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</si>
  <si>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</si>
  <si>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</si>
  <si>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</si>
  <si>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</si>
  <si>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</si>
  <si>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</si>
  <si>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</si>
  <si>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</si>
  <si>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</si>
  <si>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</si>
  <si>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</si>
  <si>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</si>
  <si>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</si>
  <si>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</si>
  <si>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</si>
  <si>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</si>
  <si>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</si>
  <si>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</si>
  <si>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</si>
  <si>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</si>
  <si>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</si>
  <si>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</si>
  <si>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</si>
  <si>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</si>
  <si>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</si>
  <si>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</si>
  <si>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</si>
  <si>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</si>
  <si>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</si>
  <si>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</si>
  <si>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</si>
  <si>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</si>
  <si>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</si>
  <si>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</si>
  <si>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</si>
  <si>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</si>
  <si>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</si>
  <si>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</si>
  <si>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</si>
  <si>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</si>
  <si>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</si>
  <si>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</si>
  <si>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</si>
  <si>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</si>
  <si>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</si>
  <si>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</si>
  <si>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</si>
  <si>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</si>
  <si>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</si>
  <si>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</si>
  <si>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</si>
  <si>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</si>
  <si>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</si>
  <si>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</si>
  <si>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</si>
  <si>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</si>
  <si>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</si>
  <si>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</si>
  <si>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</si>
  <si>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</si>
  <si>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</si>
  <si>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</si>
  <si>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</si>
  <si>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</si>
  <si>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</si>
  <si>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</si>
  <si>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</si>
  <si>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</si>
  <si>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</si>
  <si>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</si>
  <si>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</si>
  <si>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</si>
  <si>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</si>
  <si>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</si>
  <si>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</si>
  <si>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</si>
  <si>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</si>
  <si>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</si>
  <si>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</si>
  <si>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</si>
  <si>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</si>
  <si>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</si>
  <si>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</si>
  <si>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</si>
  <si>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</si>
  <si>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</si>
  <si>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</si>
  <si>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</si>
  <si>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</si>
  <si>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</si>
  <si>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</si>
  <si>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</si>
  <si>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</si>
  <si>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</si>
  <si>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</si>
  <si>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</si>
  <si>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</si>
  <si>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</si>
  <si>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</si>
  <si>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</si>
  <si>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</si>
  <si>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</si>
  <si>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</si>
  <si>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</si>
  <si>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</si>
  <si>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</si>
  <si>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</si>
  <si>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</si>
  <si>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</si>
  <si>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</si>
  <si>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</si>
  <si>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</si>
  <si>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</si>
  <si>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</si>
  <si>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</si>
  <si>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</si>
  <si>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</si>
  <si>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</si>
  <si>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</si>
  <si>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</si>
  <si>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</si>
  <si>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</si>
  <si>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</si>
  <si>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</si>
  <si>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</si>
  <si>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</si>
  <si>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</si>
  <si>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</si>
  <si>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</si>
  <si>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</si>
  <si>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</si>
  <si>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</si>
  <si>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</si>
  <si>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</si>
  <si>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</si>
  <si>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</si>
  <si>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</si>
  <si>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</si>
  <si>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</si>
  <si>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</si>
  <si>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</si>
  <si>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</si>
  <si>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</si>
  <si>
    <t>¿Tipo Tarifa es T.T.PREFERENTE?</t>
  </si>
  <si>
    <t>Variante_Preferentes</t>
  </si>
  <si>
    <t>%%CIERRE%% - Preferentes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</si>
</sst>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1"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1"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c r="A1" s="737" t="s">
        <v>487</v>
      </c>
    </row>
    <row r="2" spans="1:13">
      <c r="B2" s="739" t="s">
        <v>5589</v>
      </c>
      <c r="C2" s="740"/>
      <c r="D2" s="740"/>
      <c r="E2" s="740"/>
      <c r="F2" s="740"/>
      <c r="G2" s="740"/>
      <c r="H2" s="740"/>
      <c r="I2" s="740"/>
      <c r="J2" s="741" t="s">
        <v>5590</v>
      </c>
      <c r="K2" s="742" t="s">
        <v>5591</v>
      </c>
      <c r="L2" s="743" t="s">
        <v>10998</v>
      </c>
      <c r="M2" s="744"/>
    </row>
    <row r="4" spans="1:13">
      <c r="B4" s="745">
        <v>2</v>
      </c>
      <c r="C4" s="746">
        <v>0</v>
      </c>
      <c r="D4" s="747" t="s">
        <v>5592</v>
      </c>
      <c r="E4" s="748"/>
      <c r="F4" s="748"/>
      <c r="G4" s="748"/>
      <c r="H4" s="748"/>
      <c r="I4" s="748"/>
      <c r="J4" s="748"/>
      <c r="K4" s="749"/>
      <c r="M4" s="737"/>
    </row>
    <row r="5" spans="1:13" ht="17.25" customHeight="1">
      <c r="A5" s="737"/>
      <c r="B5" s="750" t="s">
        <v>3331</v>
      </c>
      <c r="C5" s="846"/>
      <c r="D5" s="924"/>
      <c r="E5" s="925"/>
      <c r="F5" s="925"/>
      <c r="G5" s="925"/>
      <c r="H5" s="925"/>
      <c r="I5" s="925"/>
      <c r="J5" s="925"/>
      <c r="K5" s="926"/>
      <c r="M5" s="737"/>
    </row>
    <row r="6" spans="1:13" ht="17.25" customHeight="1">
      <c r="B6" s="750" t="s">
        <v>3330</v>
      </c>
      <c r="C6" s="846"/>
      <c r="M6" s="737"/>
    </row>
    <row r="7" spans="1:13" ht="17.25" customHeight="1">
      <c r="B7" s="750"/>
      <c r="C7" s="846"/>
      <c r="D7" s="751"/>
      <c r="E7" s="751"/>
      <c r="F7" s="752" t="s">
        <v>5593</v>
      </c>
      <c r="G7" s="753"/>
      <c r="H7" s="753"/>
      <c r="I7" s="753"/>
      <c r="J7" s="753"/>
      <c r="K7" s="753"/>
    </row>
    <row r="8" spans="1:13" ht="17.25" customHeight="1">
      <c r="B8" s="754"/>
      <c r="D8" s="751"/>
      <c r="E8" s="751"/>
      <c r="F8" s="751"/>
      <c r="G8" s="753"/>
      <c r="H8" s="753"/>
      <c r="I8" s="753"/>
      <c r="J8" s="753"/>
      <c r="K8" s="753"/>
    </row>
    <row r="9" spans="1:13" ht="17.25" customHeight="1">
      <c r="B9" s="754"/>
    </row>
    <row r="10" spans="1:13" ht="17.25" customHeight="1">
      <c r="B10" s="754"/>
      <c r="D10" s="755"/>
      <c r="E10" s="755"/>
      <c r="F10" s="756" t="s">
        <v>5594</v>
      </c>
      <c r="G10" s="757"/>
      <c r="H10" s="757"/>
      <c r="I10" s="757"/>
      <c r="J10" s="757"/>
      <c r="K10" s="757"/>
    </row>
    <row r="11" spans="1:13" ht="17.25" customHeight="1">
      <c r="B11" s="758"/>
      <c r="D11" s="755"/>
      <c r="E11" s="755"/>
      <c r="F11" s="755"/>
      <c r="G11" s="757"/>
      <c r="H11" s="757"/>
      <c r="I11" s="757"/>
      <c r="J11" s="759" t="s">
        <v>5595</v>
      </c>
      <c r="K11" s="850" t="s">
        <v>10996</v>
      </c>
      <c r="L11" s="846"/>
    </row>
    <row r="12" spans="1:13" ht="17.25" customHeight="1">
      <c r="B12" s="758"/>
    </row>
    <row r="13" spans="1:13" ht="17.25" customHeight="1">
      <c r="B13" s="758"/>
      <c r="D13" s="760"/>
      <c r="E13" s="760"/>
      <c r="F13" s="761" t="s">
        <v>5596</v>
      </c>
      <c r="G13" s="762"/>
      <c r="H13" s="762"/>
      <c r="I13" s="762"/>
      <c r="J13" s="762"/>
      <c r="K13" s="762"/>
    </row>
    <row r="14" spans="1:13" ht="17.25" customHeight="1">
      <c r="B14" s="758"/>
      <c r="D14" s="760"/>
      <c r="E14" s="760"/>
      <c r="F14" s="760"/>
      <c r="G14" s="762"/>
      <c r="H14" s="762"/>
      <c r="I14" s="762"/>
      <c r="J14" s="762"/>
      <c r="K14" s="762"/>
    </row>
    <row r="15" spans="1:13" ht="17.25" customHeight="1">
      <c r="B15" s="758"/>
      <c r="M15" s="737"/>
    </row>
    <row r="16" spans="1:13" ht="17.25" customHeight="1">
      <c r="B16" s="758"/>
      <c r="D16" s="763" t="s">
        <v>5597</v>
      </c>
      <c r="E16" s="764"/>
      <c r="F16" s="764"/>
      <c r="G16" s="764"/>
      <c r="H16" s="764"/>
      <c r="I16" s="764"/>
      <c r="J16" s="764"/>
      <c r="K16" s="764"/>
    </row>
    <row r="17" spans="2:11" ht="17.25" customHeight="1">
      <c r="B17" s="758"/>
      <c r="D17" s="765" t="b">
        <v>1</v>
      </c>
      <c r="E17" s="765" t="s">
        <v>4931</v>
      </c>
      <c r="F17" s="765"/>
      <c r="G17" s="765"/>
      <c r="H17" s="765"/>
      <c r="I17" s="765"/>
    </row>
    <row r="18" spans="2:11" ht="17.25" customHeight="1">
      <c r="B18" s="758"/>
      <c r="D18" s="765" t="b">
        <v>0</v>
      </c>
      <c r="E18" s="765" t="s">
        <v>4932</v>
      </c>
      <c r="F18" s="765"/>
      <c r="J18" s="766"/>
      <c r="K18" s="766"/>
    </row>
    <row r="19" spans="2:11" ht="17.25" customHeight="1">
      <c r="B19" s="758"/>
      <c r="D19" s="765" t="b">
        <v>1</v>
      </c>
      <c r="E19" s="765" t="s">
        <v>4933</v>
      </c>
      <c r="F19" s="765"/>
      <c r="G19" s="767" t="s">
        <v>487</v>
      </c>
      <c r="H19" s="768"/>
      <c r="I19" s="769" t="s">
        <v>5598</v>
      </c>
      <c r="J19" s="770"/>
      <c r="K19" s="771"/>
    </row>
    <row r="20" spans="2:11" ht="17.25" customHeight="1">
      <c r="B20" s="758"/>
      <c r="D20" s="765" t="b">
        <v>0</v>
      </c>
      <c r="E20" s="765" t="s">
        <v>4934</v>
      </c>
      <c r="F20" s="765"/>
      <c r="G20" s="927" t="s">
        <v>5088</v>
      </c>
      <c r="H20" s="928"/>
      <c r="I20" s="928"/>
      <c r="J20" s="928"/>
      <c r="K20" s="929"/>
    </row>
    <row r="21" spans="2:11" ht="17.25" customHeight="1">
      <c r="B21" s="758"/>
      <c r="D21" s="765" t="b">
        <v>1</v>
      </c>
      <c r="E21" s="765" t="s">
        <v>5599</v>
      </c>
      <c r="F21" s="765"/>
      <c r="G21" s="846"/>
      <c r="H21" s="846"/>
      <c r="I21" s="846"/>
      <c r="J21" s="846"/>
      <c r="K21" s="846"/>
    </row>
    <row r="22" spans="2:11" ht="17.25" customHeight="1">
      <c r="B22" s="758"/>
    </row>
    <row r="24" spans="2:11">
      <c r="B24" s="772"/>
      <c r="C24" s="846"/>
      <c r="D24" s="846"/>
      <c r="E24" s="846"/>
      <c r="F24" s="846"/>
    </row>
    <row r="25" spans="2:11">
      <c r="B25" s="773"/>
      <c r="C25" s="846"/>
      <c r="D25" s="846"/>
      <c r="E25" s="846"/>
      <c r="F25" s="846"/>
      <c r="G25" s="846"/>
      <c r="H25" s="846"/>
      <c r="I25" s="846"/>
      <c r="J25" s="846"/>
      <c r="K25" s="846"/>
    </row>
    <row r="26" spans="2:11">
      <c r="B26" s="774" t="s">
        <v>5600</v>
      </c>
    </row>
    <row r="28" spans="2:11">
      <c r="B28" s="739" t="s">
        <v>5601</v>
      </c>
      <c r="C28" s="740"/>
      <c r="D28" s="740"/>
      <c r="E28" s="740"/>
      <c r="F28" s="740"/>
      <c r="G28" s="740"/>
      <c r="H28" s="740"/>
      <c r="I28" s="740"/>
      <c r="J28" s="740"/>
      <c r="K28" s="740"/>
    </row>
    <row r="30" spans="2:11" ht="19.5" customHeight="1">
      <c r="B30" s="775"/>
      <c r="C30" s="751"/>
      <c r="D30" s="776" t="s">
        <v>5602</v>
      </c>
      <c r="E30" s="751"/>
      <c r="F30" s="751"/>
      <c r="G30" s="751"/>
      <c r="H30" s="751"/>
      <c r="I30" s="751"/>
      <c r="J30" s="751"/>
      <c r="K30" s="751"/>
    </row>
    <row r="32" spans="2:11" ht="19.5" customHeight="1">
      <c r="B32" s="760"/>
      <c r="C32" s="760"/>
      <c r="D32" s="777" t="s">
        <v>5603</v>
      </c>
      <c r="E32" s="760"/>
      <c r="F32" s="760"/>
      <c r="G32" s="760"/>
      <c r="H32" s="760"/>
      <c r="I32" s="760"/>
      <c r="J32" s="760"/>
      <c r="K32" s="760"/>
    </row>
    <row r="33" spans="5:6">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7"/>
  <sheetViews>
    <sheetView workbookViewId="0">
      <selection activeCell="C24" sqref="C24"/>
    </sheetView>
  </sheetViews>
  <sheetFormatPr defaultColWidth="9.140625" defaultRowHeight="1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c r="B2" s="278" t="s">
        <v>5575</v>
      </c>
      <c r="C2" s="265"/>
    </row>
    <row r="4" spans="2:3">
      <c r="B4" s="731" t="s">
        <v>5576</v>
      </c>
      <c r="C4" s="732" t="b">
        <v>1</v>
      </c>
    </row>
    <row r="5" spans="2:3">
      <c r="B5" s="733" t="s">
        <v>2112</v>
      </c>
      <c r="C5" s="732" t="s">
        <v>4936</v>
      </c>
    </row>
    <row r="6" spans="2:3">
      <c r="B6" s="733" t="s">
        <v>5577</v>
      </c>
      <c r="C6" s="734" t="s">
        <v>5578</v>
      </c>
    </row>
    <row r="8" spans="2:3">
      <c r="B8" s="278" t="s">
        <v>5579</v>
      </c>
      <c r="C8" s="265"/>
    </row>
    <row r="10" spans="2:3">
      <c r="B10" s="735" t="s">
        <v>487</v>
      </c>
      <c r="C10" s="736" t="s">
        <v>487</v>
      </c>
    </row>
    <row r="11" spans="2:3" ht="45" customHeight="1">
      <c r="B11" s="930" t="s">
        <v>487</v>
      </c>
      <c r="C11" s="931"/>
    </row>
    <row r="13" spans="2:3">
      <c r="B13" s="278" t="s">
        <v>5580</v>
      </c>
      <c r="C13" s="265"/>
    </row>
    <row r="14" spans="2:3">
      <c r="B14" s="846" t="s">
        <v>487</v>
      </c>
    </row>
    <row r="15" spans="2:3">
      <c r="B15" s="553" t="s">
        <v>5581</v>
      </c>
      <c r="C15" s="553" t="s">
        <v>5582</v>
      </c>
    </row>
    <row r="16" spans="2:3">
      <c r="B16" s="847" t="s">
        <v>5583</v>
      </c>
      <c r="C16" s="846" t="s">
        <v>5584</v>
      </c>
    </row>
    <row r="17" spans="2:4">
      <c r="B17" s="847" t="s">
        <v>5585</v>
      </c>
      <c r="C17" s="846" t="s">
        <v>5586</v>
      </c>
      <c r="D17" s="848"/>
    </row>
    <row r="18" spans="2:4">
      <c r="B18" s="846" t="s">
        <v>487</v>
      </c>
    </row>
    <row r="19" spans="2:4">
      <c r="B19" s="317" t="s">
        <v>5587</v>
      </c>
      <c r="C19" s="317" t="s">
        <v>5588</v>
      </c>
    </row>
    <row r="20" spans="2:4">
      <c r="B20" s="847" t="s">
        <v>5087</v>
      </c>
      <c r="C20" s="847" t="s">
        <v>5091</v>
      </c>
    </row>
    <row r="21" spans="2:4">
      <c r="B21" s="847" t="s">
        <v>5081</v>
      </c>
      <c r="C21" s="847" t="s">
        <v>5092</v>
      </c>
    </row>
    <row r="22" spans="2:4">
      <c r="B22" s="847" t="s">
        <v>5080</v>
      </c>
      <c r="C22" s="847" t="s">
        <v>5093</v>
      </c>
    </row>
    <row r="23" spans="2:4">
      <c r="B23" s="887" t="s">
        <v>11019</v>
      </c>
      <c r="C23" s="887" t="s">
        <v>11018</v>
      </c>
    </row>
    <row r="24" spans="2:4">
      <c r="B24" s="921" t="s">
        <v>11081</v>
      </c>
      <c r="C24" s="921" t="s">
        <v>11080</v>
      </c>
    </row>
    <row r="26" spans="2:4">
      <c r="B26" s="849" t="s">
        <v>10999</v>
      </c>
      <c r="C26" s="849" t="s">
        <v>11000</v>
      </c>
    </row>
    <row r="27" spans="2:4">
      <c r="B27" s="849" t="s">
        <v>11001</v>
      </c>
      <c r="C27"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election activeCell="D6" sqref="D6"/>
    </sheetView>
  </sheetViews>
  <sheetFormatPr defaultColWidth="9.140625" defaultRowHeight="16.5"/>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row r="2" spans="2:12" ht="21.75" customHeight="1">
      <c r="B2" s="444"/>
      <c r="C2" s="445" t="str">
        <f ca="1">"Simulador Autos " &amp; CondiciónAuto.Descripcion &amp; "s"</f>
        <v>Simulador Autos Nuevos</v>
      </c>
      <c r="D2" s="446"/>
    </row>
    <row r="3" spans="2:12" ht="21.75" customHeight="1" thickBot="1">
      <c r="B3" s="447"/>
      <c r="C3" s="448" t="str">
        <f>Nombre_Tarifa</f>
        <v>Tradicional</v>
      </c>
      <c r="D3" s="449"/>
    </row>
    <row r="4" spans="2:12" ht="19.5" customHeight="1" thickBot="1">
      <c r="B4" s="450" t="str">
        <f>Nombre_Producto</f>
        <v>AutoEstrene Banorte</v>
      </c>
      <c r="C4" s="451" t="s">
        <v>3143</v>
      </c>
      <c r="D4" s="452"/>
      <c r="F4" s="321"/>
      <c r="G4" s="321"/>
      <c r="H4" s="321"/>
      <c r="I4" s="321"/>
    </row>
    <row r="5" spans="2:12" s="322" customFormat="1" ht="15" customHeight="1">
      <c r="B5" s="938" t="s">
        <v>3144</v>
      </c>
      <c r="C5" s="939"/>
      <c r="D5" s="865">
        <f ca="1">TODAY()</f>
        <v>42633</v>
      </c>
      <c r="E5" s="393"/>
      <c r="F5" s="323"/>
      <c r="G5" s="856" t="s">
        <v>11003</v>
      </c>
      <c r="H5" s="854"/>
      <c r="J5" s="857" t="s">
        <v>11006</v>
      </c>
      <c r="K5" s="858"/>
      <c r="L5" s="859"/>
    </row>
    <row r="6" spans="2:12" s="322" customFormat="1" ht="15" customHeight="1">
      <c r="B6" s="936" t="s">
        <v>3145</v>
      </c>
      <c r="C6" s="935"/>
      <c r="D6" s="866">
        <v>150000</v>
      </c>
      <c r="E6" s="393"/>
      <c r="G6" s="860" t="s">
        <v>4946</v>
      </c>
      <c r="H6" s="861" t="s">
        <v>4941</v>
      </c>
      <c r="J6"/>
      <c r="K6" s="437" t="s">
        <v>11005</v>
      </c>
      <c r="L6" s="437" t="s">
        <v>11004</v>
      </c>
    </row>
    <row r="7" spans="2:12" s="322" customFormat="1" ht="15" customHeight="1">
      <c r="B7" s="934" t="s">
        <v>1573</v>
      </c>
      <c r="C7" s="935"/>
      <c r="D7" s="867" t="s">
        <v>1575</v>
      </c>
      <c r="E7" s="393"/>
      <c r="G7" s="860" t="s">
        <v>4951</v>
      </c>
      <c r="H7" s="861" t="s">
        <v>3156</v>
      </c>
      <c r="J7" s="415" t="s">
        <v>426</v>
      </c>
      <c r="K7" s="855">
        <v>35000</v>
      </c>
      <c r="L7" s="855" t="s">
        <v>2104</v>
      </c>
    </row>
    <row r="8" spans="2:12" s="322" customFormat="1" ht="15" customHeight="1">
      <c r="B8" s="936" t="s">
        <v>439</v>
      </c>
      <c r="C8" s="935"/>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c r="B9" s="940" t="s">
        <v>3146</v>
      </c>
      <c r="C9" s="935"/>
      <c r="D9" s="351" t="s">
        <v>1626</v>
      </c>
      <c r="E9" s="504"/>
      <c r="G9" s="860" t="s">
        <v>1621</v>
      </c>
      <c r="H9" s="862">
        <v>0</v>
      </c>
      <c r="J9" s="415" t="s">
        <v>5094</v>
      </c>
      <c r="K9" s="855">
        <v>0</v>
      </c>
      <c r="L9" s="855">
        <f ca="1">ValorFactura * 4%</f>
        <v>6000</v>
      </c>
    </row>
    <row r="10" spans="2:12" s="322" customFormat="1" ht="15" customHeight="1">
      <c r="B10" s="936" t="s">
        <v>3147</v>
      </c>
      <c r="C10" s="935"/>
      <c r="D10" s="352">
        <v>2016</v>
      </c>
      <c r="E10" s="393"/>
      <c r="J10"/>
      <c r="K10"/>
    </row>
    <row r="11" spans="2:12" s="322" customFormat="1" ht="15" customHeight="1">
      <c r="B11" s="934" t="s">
        <v>2149</v>
      </c>
      <c r="C11" s="937"/>
      <c r="D11" s="878" t="s">
        <v>2179</v>
      </c>
      <c r="E11" s="393"/>
      <c r="J11"/>
      <c r="K11"/>
    </row>
    <row r="12" spans="2:12" s="322" customFormat="1" ht="15" customHeight="1">
      <c r="B12" s="936" t="s">
        <v>3148</v>
      </c>
      <c r="C12" s="933"/>
      <c r="D12" s="868" t="s">
        <v>2348</v>
      </c>
      <c r="E12" s="393"/>
      <c r="G12"/>
      <c r="H12"/>
      <c r="J12"/>
      <c r="K12"/>
    </row>
    <row r="13" spans="2:12" s="322" customFormat="1" ht="15" hidden="1" customHeight="1">
      <c r="B13" s="932" t="s">
        <v>3155</v>
      </c>
      <c r="C13" s="933"/>
      <c r="D13" s="891">
        <v>9.9000000000000005E-2</v>
      </c>
      <c r="E13" s="393"/>
      <c r="G13" s="874"/>
      <c r="H13" s="874"/>
      <c r="J13" s="874"/>
      <c r="K13" s="874"/>
    </row>
    <row r="14" spans="2:12" ht="15" customHeight="1">
      <c r="B14" s="934" t="s">
        <v>5</v>
      </c>
      <c r="C14" s="935"/>
      <c r="D14" s="889">
        <v>0.1</v>
      </c>
      <c r="J14"/>
      <c r="K14"/>
    </row>
    <row r="15" spans="2:12" ht="15" customHeight="1">
      <c r="B15" s="936" t="s">
        <v>6</v>
      </c>
      <c r="C15" s="935"/>
      <c r="D15" s="888">
        <f>CapturaPorcentajeEnganche * CapturaValorFactura</f>
        <v>15000</v>
      </c>
      <c r="H15" s="325"/>
      <c r="I15" s="320"/>
      <c r="J15"/>
      <c r="K15"/>
    </row>
    <row r="16" spans="2:12" ht="15" customHeight="1">
      <c r="B16" s="934" t="s">
        <v>3150</v>
      </c>
      <c r="C16" s="935"/>
      <c r="D16" s="890">
        <v>2.5000000000000001E-2</v>
      </c>
      <c r="J16"/>
      <c r="K16"/>
    </row>
    <row r="17" spans="1:7" s="322" customFormat="1" ht="15.75" customHeight="1">
      <c r="B17" s="936" t="s">
        <v>3621</v>
      </c>
      <c r="C17" s="935"/>
      <c r="D17" s="352" t="s">
        <v>1583</v>
      </c>
      <c r="E17" s="393"/>
      <c r="G17" s="324"/>
    </row>
    <row r="18" spans="1:7" s="322" customFormat="1" ht="15.75" customHeight="1">
      <c r="B18" s="934" t="s">
        <v>4780</v>
      </c>
      <c r="C18" s="935"/>
      <c r="D18" s="890" t="s">
        <v>4783</v>
      </c>
      <c r="E18" s="393"/>
      <c r="G18" s="324"/>
    </row>
    <row r="19" spans="1:7" s="322" customFormat="1" ht="15.75" customHeight="1">
      <c r="B19" s="936" t="s">
        <v>4779</v>
      </c>
      <c r="C19" s="935"/>
      <c r="D19" s="888">
        <f ca="1">ValorFactura * 4%</f>
        <v>6000</v>
      </c>
      <c r="E19" s="393"/>
      <c r="G19" s="324"/>
    </row>
    <row r="20" spans="1:7" s="322" customFormat="1" ht="15.75" customHeight="1">
      <c r="B20" s="941" t="s">
        <v>3635</v>
      </c>
      <c r="C20" s="942"/>
      <c r="D20" s="943"/>
      <c r="E20" s="393"/>
      <c r="G20" s="324"/>
    </row>
    <row r="21" spans="1:7" s="322" customFormat="1" ht="15.75" hidden="1" customHeight="1">
      <c r="B21" s="952" t="s">
        <v>4068</v>
      </c>
      <c r="C21" s="953"/>
      <c r="D21" s="351" t="s">
        <v>1568</v>
      </c>
      <c r="E21" s="393"/>
    </row>
    <row r="22" spans="1:7" s="322" customFormat="1" ht="15.75" customHeight="1">
      <c r="B22" s="932" t="s">
        <v>4788</v>
      </c>
      <c r="C22" s="944"/>
      <c r="D22" s="352" t="s">
        <v>1567</v>
      </c>
      <c r="E22" s="393"/>
    </row>
    <row r="23" spans="1:7" s="322" customFormat="1" ht="15.75" customHeight="1" thickBot="1">
      <c r="B23" s="945" t="s">
        <v>4790</v>
      </c>
      <c r="C23" s="944"/>
      <c r="D23" s="352" t="s">
        <v>1567</v>
      </c>
      <c r="E23" s="393"/>
      <c r="G23" s="326"/>
    </row>
    <row r="24" spans="1:7" s="322" customFormat="1" ht="15.75" hidden="1" customHeight="1" thickBot="1">
      <c r="A24" s="320"/>
      <c r="B24" s="950" t="s">
        <v>4789</v>
      </c>
      <c r="C24" s="951"/>
      <c r="D24" s="353" t="s">
        <v>1568</v>
      </c>
      <c r="E24" s="393"/>
      <c r="F24" s="320"/>
      <c r="G24" s="320"/>
    </row>
    <row r="25" spans="1:7" ht="15.75" customHeight="1" thickBot="1">
      <c r="B25" s="948" t="s">
        <v>4237</v>
      </c>
      <c r="C25" s="949"/>
      <c r="D25" s="949"/>
    </row>
    <row r="26" spans="1:7" ht="15" customHeight="1">
      <c r="B26" s="946" t="s">
        <v>1619</v>
      </c>
      <c r="C26" s="947"/>
      <c r="D26" s="327">
        <f ca="1">MontoEnganche</f>
        <v>15000</v>
      </c>
    </row>
    <row r="27" spans="1:7" ht="15" customHeight="1">
      <c r="B27" s="936" t="s">
        <v>10923</v>
      </c>
      <c r="C27" s="954"/>
      <c r="D27" s="328">
        <f ca="1">PrimaVida * Seguro.EsContado?</f>
        <v>0</v>
      </c>
    </row>
    <row r="28" spans="1:7" ht="15" customHeight="1">
      <c r="B28" s="936" t="s">
        <v>10924</v>
      </c>
      <c r="C28" s="954"/>
      <c r="D28" s="328">
        <f ca="1">PrimaDaños * Seguro.EsContado?</f>
        <v>0</v>
      </c>
    </row>
    <row r="29" spans="1:7">
      <c r="B29" s="936" t="s">
        <v>3149</v>
      </c>
      <c r="C29" s="954"/>
      <c r="D29" s="328">
        <f ca="1">MontoComisionPorAperturaConIva</f>
        <v>4301.6553255400004</v>
      </c>
    </row>
    <row r="30" spans="1:7">
      <c r="B30" s="955" t="s">
        <v>3151</v>
      </c>
      <c r="C30" s="956"/>
      <c r="D30" s="329">
        <f ca="1">+D29+D27+D26+D28</f>
        <v>19301.655325539999</v>
      </c>
    </row>
    <row r="31" spans="1:7" ht="5.0999999999999996" customHeight="1">
      <c r="B31" s="330"/>
      <c r="C31" s="331"/>
      <c r="D31" s="332"/>
    </row>
    <row r="32" spans="1:7" ht="15" customHeight="1">
      <c r="B32" s="932" t="s">
        <v>3153</v>
      </c>
      <c r="C32" s="944"/>
      <c r="D32" s="328">
        <f ca="1">MontoFinanciarAuto</f>
        <v>135000</v>
      </c>
    </row>
    <row r="33" spans="2:11" ht="15" customHeight="1">
      <c r="B33" s="932" t="s">
        <v>10989</v>
      </c>
      <c r="C33" s="944"/>
      <c r="D33" s="328">
        <f ca="1">PrimaVida * Seguro.EsFinanciado?</f>
        <v>1002.0500000000001</v>
      </c>
    </row>
    <row r="34" spans="2:11" ht="15" customHeight="1">
      <c r="B34" s="932" t="s">
        <v>10988</v>
      </c>
      <c r="C34" s="944"/>
      <c r="D34" s="328">
        <f ca="1">PrimaDaños * Seguro.EsFinanciado?</f>
        <v>6330.8922599999996</v>
      </c>
      <c r="G34" s="333"/>
    </row>
    <row r="35" spans="2:11" ht="15" customHeight="1">
      <c r="B35" s="932" t="s">
        <v>4781</v>
      </c>
      <c r="C35" s="944"/>
      <c r="D35" s="328">
        <f ca="1">MontoGtiaExt</f>
        <v>6000</v>
      </c>
      <c r="G35" s="333"/>
    </row>
    <row r="36" spans="2:11" ht="15" customHeight="1" thickBot="1">
      <c r="B36" s="966" t="s">
        <v>3154</v>
      </c>
      <c r="C36" s="967"/>
      <c r="D36" s="334">
        <f ca="1">MontoFinanciarTotal</f>
        <v>148332.94226000001</v>
      </c>
    </row>
    <row r="37" spans="2:11" ht="19.5" customHeight="1" thickBot="1">
      <c r="B37" s="948" t="str">
        <f>"Pago " &amp; SELECCION_FRECUENCIA &amp; " Estimado con I.V.A. Incluido"</f>
        <v>Pago Mensual Estimado con I.V.A. Incluido</v>
      </c>
      <c r="C37" s="949"/>
      <c r="D37" s="949"/>
    </row>
    <row r="38" spans="2:11" ht="15" customHeight="1">
      <c r="B38" s="335" t="s">
        <v>436</v>
      </c>
      <c r="C38" s="336" t="s">
        <v>1613</v>
      </c>
      <c r="D38" s="337" t="s">
        <v>3152</v>
      </c>
    </row>
    <row r="39" spans="2:11" ht="15" customHeight="1">
      <c r="B39" s="338">
        <f>IF(Calculos!J17="","",Calculos!J17)</f>
        <v>12</v>
      </c>
      <c r="C39" s="339">
        <f>IF(Calculos!K17="","",Calculos!K17)</f>
        <v>0.129</v>
      </c>
      <c r="D39" s="340">
        <f>IF(Calculos!L17="","",Calculos!L17)</f>
        <v>13349.67</v>
      </c>
    </row>
    <row r="40" spans="2:11" ht="15" customHeight="1">
      <c r="B40" s="341">
        <f>IF(Calculos!J18="","",Calculos!J18)</f>
        <v>24</v>
      </c>
      <c r="C40" s="342">
        <f>IF(Calculos!K18="","",Calculos!K18)</f>
        <v>0.129</v>
      </c>
      <c r="D40" s="343">
        <f>IF(Calculos!L18="","",Calculos!L18)</f>
        <v>7459.65</v>
      </c>
    </row>
    <row r="41" spans="2:11" ht="15" customHeight="1">
      <c r="B41" s="338">
        <f>IF(Calculos!J19="","",Calculos!J19)</f>
        <v>36</v>
      </c>
      <c r="C41" s="339">
        <f>IF(Calculos!K19="","",Calculos!K19)</f>
        <v>0.129</v>
      </c>
      <c r="D41" s="340">
        <f>IF(Calculos!L19="","",Calculos!L19)</f>
        <v>5509.73</v>
      </c>
    </row>
    <row r="42" spans="2:11" ht="15" customHeight="1">
      <c r="B42" s="341">
        <f>IF(Calculos!J20="","",Calculos!J20)</f>
        <v>48</v>
      </c>
      <c r="C42" s="342">
        <f>IF(Calculos!K20="","",Calculos!K20)</f>
        <v>0.129</v>
      </c>
      <c r="D42" s="343">
        <f>IF(Calculos!L20="","",Calculos!L20)</f>
        <v>4544.75</v>
      </c>
    </row>
    <row r="43" spans="2:11" ht="15" customHeight="1" thickBot="1">
      <c r="B43" s="344">
        <f>IF(Calculos!J21="","",Calculos!J21)</f>
        <v>60</v>
      </c>
      <c r="C43" s="345">
        <f>IF(Calculos!K21="","",Calculos!K21)</f>
        <v>0.129</v>
      </c>
      <c r="D43" s="346">
        <f>IF(Calculos!L21="","",Calculos!L21)</f>
        <v>3973.61</v>
      </c>
    </row>
    <row r="44" spans="2:11" s="347" customFormat="1" ht="15" customHeight="1" thickBot="1">
      <c r="E44" s="393"/>
      <c r="H44" s="348"/>
      <c r="I44" s="348"/>
      <c r="J44" s="348"/>
      <c r="K44" s="348"/>
    </row>
    <row r="45" spans="2:11" ht="12" customHeight="1">
      <c r="B45" s="968" t="str">
        <f ca="1">LEYENDA_DIAS_INTERESES_PRIMER_PAGO</f>
        <v/>
      </c>
      <c r="C45" s="969"/>
      <c r="D45" s="970"/>
    </row>
    <row r="46" spans="2:11" ht="30" customHeight="1">
      <c r="B46" s="971" t="str">
        <f ca="1">+Leyenda.Seguro.1</f>
        <v>* Costo del Seguro Banorte por el primer año por $7,332.94, incluye Indeminización Valor Factura Primer Año, Reparación en Agencia y Auto Sustituto.</v>
      </c>
      <c r="C46" s="972"/>
      <c r="D46" s="973"/>
    </row>
    <row r="47" spans="2:11" ht="30" customHeight="1">
      <c r="B47" s="963" t="str">
        <f ca="1">+Leyenda_coberturas_adicionales_cotizacion</f>
        <v>Incluye la(s) siguiente(s) cobertura(s) adicional(es):</v>
      </c>
      <c r="C47" s="964"/>
      <c r="D47" s="965"/>
    </row>
    <row r="48" spans="2:11" ht="24.95" hidden="1" customHeight="1">
      <c r="B48" s="97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75"/>
      <c r="D48" s="976"/>
    </row>
    <row r="49" spans="2:5" ht="24.95" hidden="1" customHeight="1">
      <c r="B49" s="974"/>
      <c r="C49" s="975"/>
      <c r="D49" s="976"/>
    </row>
    <row r="50" spans="2:5" ht="24.95" hidden="1" customHeight="1">
      <c r="B50" s="974"/>
      <c r="C50" s="975"/>
      <c r="D50" s="976"/>
    </row>
    <row r="51" spans="2:5" ht="24.95" hidden="1" customHeight="1">
      <c r="B51" s="974"/>
      <c r="C51" s="975"/>
      <c r="D51" s="976"/>
    </row>
    <row r="52" spans="2:5" ht="24.95" hidden="1" customHeight="1">
      <c r="B52" s="974"/>
      <c r="C52" s="975"/>
      <c r="D52" s="976"/>
    </row>
    <row r="53" spans="2:5">
      <c r="B53" s="977" t="s">
        <v>4220</v>
      </c>
      <c r="C53" s="978"/>
      <c r="D53" s="979"/>
    </row>
    <row r="54" spans="2:5">
      <c r="B54" s="373" t="s">
        <v>4221</v>
      </c>
      <c r="C54" s="349"/>
      <c r="D54" s="350"/>
    </row>
    <row r="55" spans="2:5" ht="15" customHeight="1">
      <c r="B55" s="957" t="s">
        <v>3638</v>
      </c>
      <c r="C55" s="958"/>
      <c r="D55" s="959"/>
    </row>
    <row r="56" spans="2:5">
      <c r="B56" s="957"/>
      <c r="C56" s="958"/>
      <c r="D56" s="959"/>
    </row>
    <row r="57" spans="2:5" ht="17.25" thickBot="1">
      <c r="B57" s="960"/>
      <c r="C57" s="961"/>
      <c r="D57" s="962"/>
    </row>
    <row r="58" spans="2:5" ht="5.0999999999999996" customHeight="1"/>
    <row r="59" spans="2:5" ht="24.75" customHeight="1"/>
    <row r="60" spans="2:5" ht="17.25" thickBot="1">
      <c r="E60" s="853"/>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OFFSET(COMBO_CONDICION_AUTO,0,0,CONTEO_CONDICION_AUTO,1)</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14" workbookViewId="0">
      <selection activeCell="A5" sqref="A5"/>
    </sheetView>
  </sheetViews>
  <sheetFormatPr defaultColWidth="9.140625" defaultRowHeight="16.5"/>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row r="2" spans="1:12" hidden="1"/>
    <row r="3" spans="1:12" hidden="1">
      <c r="A3" s="551"/>
      <c r="B3" s="551"/>
      <c r="C3" s="551"/>
      <c r="D3" s="551"/>
      <c r="E3" s="551"/>
      <c r="F3" s="551"/>
      <c r="G3" s="551"/>
      <c r="H3" s="551"/>
      <c r="I3" s="551"/>
    </row>
    <row r="4" spans="1:12" ht="19.5" hidden="1">
      <c r="A4" s="552"/>
      <c r="B4" s="552"/>
      <c r="C4" s="552"/>
      <c r="D4" s="552"/>
      <c r="E4" s="552"/>
      <c r="F4" s="552"/>
      <c r="G4" s="552"/>
      <c r="H4" s="552"/>
      <c r="I4" s="552"/>
    </row>
    <row r="5" spans="1:12" ht="17.25" thickBot="1"/>
    <row r="6" spans="1:12" s="322" customFormat="1" ht="18">
      <c r="A6" s="453"/>
      <c r="B6" s="454"/>
      <c r="C6" s="454"/>
      <c r="D6" s="981" t="s">
        <v>3158</v>
      </c>
      <c r="E6" s="981"/>
      <c r="F6" s="981"/>
      <c r="G6" s="981"/>
      <c r="H6" s="454"/>
      <c r="I6" s="455"/>
    </row>
    <row r="7" spans="1:12" s="322" customFormat="1" ht="17.25" thickBot="1">
      <c r="A7" s="456"/>
      <c r="B7" s="457"/>
      <c r="C7" s="457"/>
      <c r="D7" s="982" t="str">
        <f ca="1">IF(ID_CONDICION_AUTO=1,"Autos Nuevos",IF(ID_CONDICION_AUTO=2,"Autos Seminuevos",""))</f>
        <v>Autos Nuevos</v>
      </c>
      <c r="E7" s="982"/>
      <c r="F7" s="982"/>
      <c r="G7" s="982"/>
      <c r="H7" s="457"/>
      <c r="I7" s="458"/>
    </row>
    <row r="8" spans="1:12" s="322" customFormat="1" ht="17.25" thickBot="1"/>
    <row r="9" spans="1:12" s="322" customFormat="1" ht="15" customHeight="1">
      <c r="A9" s="524" t="s">
        <v>3159</v>
      </c>
      <c r="B9" s="525"/>
      <c r="C9" s="526">
        <f ca="1">ValorFactura</f>
        <v>150000</v>
      </c>
      <c r="D9" s="527"/>
      <c r="E9" s="525"/>
      <c r="F9" s="525"/>
      <c r="G9" s="528" t="s">
        <v>1685</v>
      </c>
      <c r="H9" s="529">
        <f ca="1">CapturaFechaCotizacion</f>
        <v>42633</v>
      </c>
      <c r="I9" s="530"/>
    </row>
    <row r="10" spans="1:12" s="322" customFormat="1" ht="15" customHeight="1">
      <c r="A10" s="531" t="s">
        <v>1619</v>
      </c>
      <c r="B10" s="532"/>
      <c r="C10" s="533">
        <f ca="1">MontoEnganche</f>
        <v>15000</v>
      </c>
      <c r="D10" s="532"/>
      <c r="E10" s="532" t="str">
        <f ca="1">LeyendaAportacionAdicional</f>
        <v/>
      </c>
      <c r="F10" s="532"/>
      <c r="G10" s="532"/>
      <c r="H10" s="532"/>
      <c r="I10" s="534"/>
    </row>
    <row r="11" spans="1:12" s="322" customFormat="1" ht="15" customHeight="1">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c r="A12" s="531" t="s">
        <v>4787</v>
      </c>
      <c r="B12" s="532"/>
      <c r="C12" s="533">
        <f ca="1">MontoGtiaExt</f>
        <v>6000</v>
      </c>
      <c r="D12" s="536">
        <v>11243.62</v>
      </c>
      <c r="E12" s="532"/>
      <c r="F12" s="532"/>
      <c r="G12" s="532"/>
      <c r="H12" s="532"/>
      <c r="I12" s="534"/>
    </row>
    <row r="13" spans="1:12" ht="15" customHeight="1">
      <c r="A13" s="531" t="s">
        <v>4996</v>
      </c>
      <c r="B13" s="532"/>
      <c r="C13" s="613" t="s">
        <v>1600</v>
      </c>
      <c r="D13" s="613" t="s">
        <v>1551</v>
      </c>
      <c r="E13" s="532"/>
      <c r="F13" s="532"/>
      <c r="G13" s="537" t="s">
        <v>3155</v>
      </c>
      <c r="H13" s="538">
        <f ca="1">TasaInteres</f>
        <v>0.129</v>
      </c>
      <c r="I13" s="534"/>
    </row>
    <row r="14" spans="1:12" ht="27.95" customHeight="1">
      <c r="A14" s="983" t="s">
        <v>3163</v>
      </c>
      <c r="B14" s="984"/>
      <c r="C14" s="988" t="s">
        <v>1638</v>
      </c>
      <c r="D14" s="988"/>
      <c r="E14" s="539"/>
      <c r="F14" s="532"/>
      <c r="G14" s="540" t="s">
        <v>1686</v>
      </c>
      <c r="H14" s="541">
        <f ca="1">CAT!CAT</f>
        <v>0.31695518457322081</v>
      </c>
      <c r="I14" s="542" t="s">
        <v>1687</v>
      </c>
    </row>
    <row r="15" spans="1:12" ht="15" customHeight="1">
      <c r="A15" s="568" t="s">
        <v>3161</v>
      </c>
      <c r="B15" s="569"/>
      <c r="C15" s="532" t="str">
        <f>SELECCION_TIPO_PERSONA</f>
        <v>Física</v>
      </c>
      <c r="D15" s="539"/>
      <c r="E15" s="539"/>
      <c r="F15" s="532"/>
      <c r="G15" s="537" t="s">
        <v>1689</v>
      </c>
      <c r="H15" s="543">
        <f ca="1">NumeroDePagos-H16</f>
        <v>0</v>
      </c>
      <c r="I15" s="534"/>
    </row>
    <row r="16" spans="1:12" ht="15" customHeight="1" thickBot="1">
      <c r="A16" s="677" t="s">
        <v>3162</v>
      </c>
      <c r="B16" s="544"/>
      <c r="C16" s="372" t="s">
        <v>3156</v>
      </c>
      <c r="D16" s="545" t="str">
        <f ca="1">Leyenda.Seguro.2</f>
        <v>Con Seguro Anual Financiado.</v>
      </c>
      <c r="E16" s="546"/>
      <c r="F16" s="544"/>
      <c r="G16" s="547" t="s">
        <v>1690</v>
      </c>
      <c r="H16" s="548">
        <f ca="1">MIN(COUNTIF(C20:C279,"&lt;&gt;0"),NumeroDePagos)</f>
        <v>12</v>
      </c>
      <c r="I16" s="549"/>
    </row>
    <row r="17" spans="1:9" ht="17.25" thickBot="1">
      <c r="A17" s="523"/>
      <c r="B17" s="521"/>
      <c r="C17" s="521"/>
      <c r="D17" s="521"/>
      <c r="E17" s="522"/>
      <c r="F17" s="521"/>
      <c r="G17" s="521"/>
      <c r="H17" s="521"/>
      <c r="I17" s="521"/>
    </row>
    <row r="18" spans="1:9" s="374" customFormat="1" ht="15" customHeight="1" thickBot="1">
      <c r="A18" s="989" t="s">
        <v>3157</v>
      </c>
      <c r="B18" s="990"/>
      <c r="C18" s="990"/>
      <c r="D18" s="990"/>
      <c r="E18" s="991"/>
      <c r="F18" s="990"/>
      <c r="G18" s="990"/>
      <c r="H18" s="990"/>
      <c r="I18" s="992"/>
    </row>
    <row r="19" spans="1:9" ht="27">
      <c r="A19" s="354" t="s">
        <v>1681</v>
      </c>
      <c r="B19" s="354" t="s">
        <v>1682</v>
      </c>
      <c r="C19" s="354" t="s">
        <v>1631</v>
      </c>
      <c r="D19" s="354" t="s">
        <v>1683</v>
      </c>
      <c r="E19" s="354" t="s">
        <v>1633</v>
      </c>
      <c r="F19" s="354" t="s">
        <v>1684</v>
      </c>
      <c r="G19" s="354" t="s">
        <v>1634</v>
      </c>
      <c r="H19" s="354" t="s">
        <v>4935</v>
      </c>
      <c r="I19" s="354" t="s">
        <v>1635</v>
      </c>
    </row>
    <row r="20" spans="1:9" ht="15" customHeight="1">
      <c r="A20" s="360">
        <v>1</v>
      </c>
      <c r="B20" s="361">
        <f t="shared" ref="B20:B83" ca="1" si="0">INDEX(Fechas_Pago,_AmortizacionesTablaCliente)</f>
        <v>42659</v>
      </c>
      <c r="C20" s="362">
        <f ca="1">INDEX(T_Merger!__Saldo_Inicial,_AmortizacionesTablaCliente)</f>
        <v>148332.94226000001</v>
      </c>
      <c r="D20" s="362">
        <f ca="1">INDEX(T_Merger!__Capital,_AmortizacionesTablaCliente)</f>
        <v>11563.746291368447</v>
      </c>
      <c r="E20" s="362">
        <f ca="1">INDEX(T_Merger!__Interes,_AmortizacionesTablaCliente)</f>
        <v>1381.9685787223334</v>
      </c>
      <c r="F20" s="362">
        <f ca="1">INDEX(T_Merger!__IVA,_AmortizacionesTablaCliente)</f>
        <v>165.83622944667999</v>
      </c>
      <c r="G20" s="362">
        <f ca="1">INDEX(T_Merger!__Pago,_AmortizacionesTablaCliente)</f>
        <v>13111.551099537461</v>
      </c>
      <c r="H20" s="490">
        <v>0</v>
      </c>
      <c r="I20" s="363">
        <f ca="1">INDEX(T_Merger!__Saldo_Final,_AmortizacionesTablaCliente)</f>
        <v>136769.19596863157</v>
      </c>
    </row>
    <row r="21" spans="1:9" ht="15" customHeight="1">
      <c r="A21" s="364">
        <v>2</v>
      </c>
      <c r="B21" s="365">
        <f t="shared" ca="1" si="0"/>
        <v>42690</v>
      </c>
      <c r="C21" s="366">
        <f ca="1">INDEX(T_Merger!__Saldo_Inicial,_AmortizacionesTablaCliente)</f>
        <v>136769.19596863157</v>
      </c>
      <c r="D21" s="366">
        <f ca="1">INDEX(T_Merger!__Capital,_AmortizacionesTablaCliente)</f>
        <v>11702.973796716522</v>
      </c>
      <c r="E21" s="366">
        <f ca="1">INDEX(T_Merger!__Interes,_AmortizacionesTablaCliente)</f>
        <v>1470.2688566627894</v>
      </c>
      <c r="F21" s="366">
        <f ca="1">INDEX(T_Merger!__IVA,_AmortizacionesTablaCliente)</f>
        <v>176.43226279953473</v>
      </c>
      <c r="G21" s="366">
        <f ca="1">INDEX(T_Merger!__Pago,_AmortizacionesTablaCliente)</f>
        <v>13349.674916178847</v>
      </c>
      <c r="H21" s="491">
        <v>0</v>
      </c>
      <c r="I21" s="367">
        <f ca="1">INDEX(T_Merger!__Saldo_Final,_AmortizacionesTablaCliente)</f>
        <v>125066.22217191504</v>
      </c>
    </row>
    <row r="22" spans="1:9" ht="15" customHeight="1">
      <c r="A22" s="364">
        <v>3</v>
      </c>
      <c r="B22" s="365">
        <f t="shared" ca="1" si="0"/>
        <v>42720</v>
      </c>
      <c r="C22" s="366">
        <f ca="1">INDEX(T_Merger!__Saldo_Inicial,_AmortizacionesTablaCliente)</f>
        <v>125066.22217191504</v>
      </c>
      <c r="D22" s="366">
        <f ca="1">INDEX(T_Merger!__Capital,_AmortizacionesTablaCliente)</f>
        <v>11843.877601228989</v>
      </c>
      <c r="E22" s="366">
        <f ca="1">INDEX(T_Merger!__Interes,_AmortizacionesTablaCliente)</f>
        <v>1344.4618883480866</v>
      </c>
      <c r="F22" s="366">
        <f ca="1">INDEX(T_Merger!__IVA,_AmortizacionesTablaCliente)</f>
        <v>161.33542660177039</v>
      </c>
      <c r="G22" s="366">
        <f ca="1">INDEX(T_Merger!__Pago,_AmortizacionesTablaCliente)</f>
        <v>13349.674916178847</v>
      </c>
      <c r="H22" s="491">
        <v>0</v>
      </c>
      <c r="I22" s="367">
        <f ca="1">INDEX(T_Merger!__Saldo_Final,_AmortizacionesTablaCliente)</f>
        <v>113222.34457068605</v>
      </c>
    </row>
    <row r="23" spans="1:9" ht="15" customHeight="1">
      <c r="A23" s="364">
        <v>4</v>
      </c>
      <c r="B23" s="365">
        <f t="shared" ca="1" si="0"/>
        <v>42751</v>
      </c>
      <c r="C23" s="366">
        <f ca="1">INDEX(T_Merger!__Saldo_Inicial,_AmortizacionesTablaCliente)</f>
        <v>113222.34457068605</v>
      </c>
      <c r="D23" s="366">
        <f ca="1">INDEX(T_Merger!__Capital,_AmortizacionesTablaCliente)</f>
        <v>11986.477887547786</v>
      </c>
      <c r="E23" s="366">
        <f ca="1">INDEX(T_Merger!__Interes,_AmortizacionesTablaCliente)</f>
        <v>1217.1402041348751</v>
      </c>
      <c r="F23" s="366">
        <f ca="1">INDEX(T_Merger!__IVA,_AmortizacionesTablaCliente)</f>
        <v>146.05682449618502</v>
      </c>
      <c r="G23" s="366">
        <f ca="1">INDEX(T_Merger!__Pago,_AmortizacionesTablaCliente)</f>
        <v>13349.674916178847</v>
      </c>
      <c r="H23" s="491">
        <v>0</v>
      </c>
      <c r="I23" s="367">
        <f ca="1">INDEX(T_Merger!__Saldo_Final,_AmortizacionesTablaCliente)</f>
        <v>101235.86668313827</v>
      </c>
    </row>
    <row r="24" spans="1:9">
      <c r="A24" s="364">
        <v>5</v>
      </c>
      <c r="B24" s="365">
        <f t="shared" ca="1" si="0"/>
        <v>42782</v>
      </c>
      <c r="C24" s="366">
        <f ca="1">INDEX(T_Merger!__Saldo_Inicial,_AmortizacionesTablaCliente)</f>
        <v>101235.86668313827</v>
      </c>
      <c r="D24" s="366">
        <f ca="1">INDEX(T_Merger!__Capital,_AmortizacionesTablaCliente)</f>
        <v>12130.795081313861</v>
      </c>
      <c r="E24" s="366">
        <f ca="1">INDEX(T_Merger!__Interes,_AmortizacionesTablaCliente)</f>
        <v>1088.2855668437364</v>
      </c>
      <c r="F24" s="366">
        <f ca="1">INDEX(T_Merger!__IVA,_AmortizacionesTablaCliente)</f>
        <v>130.59426802124835</v>
      </c>
      <c r="G24" s="366">
        <f ca="1">INDEX(T_Merger!__Pago,_AmortizacionesTablaCliente)</f>
        <v>13349.674916178847</v>
      </c>
      <c r="H24" s="491">
        <v>0</v>
      </c>
      <c r="I24" s="367">
        <f ca="1">INDEX(T_Merger!__Saldo_Final,_AmortizacionesTablaCliente)</f>
        <v>89105.071601824413</v>
      </c>
    </row>
    <row r="25" spans="1:9">
      <c r="A25" s="364">
        <v>6</v>
      </c>
      <c r="B25" s="365">
        <f t="shared" ca="1" si="0"/>
        <v>42810</v>
      </c>
      <c r="C25" s="366">
        <f ca="1">INDEX(T_Merger!__Saldo_Inicial,_AmortizacionesTablaCliente)</f>
        <v>89105.071601824413</v>
      </c>
      <c r="D25" s="366">
        <f ca="1">INDEX(T_Merger!__Capital,_AmortizacionesTablaCliente)</f>
        <v>12276.849854092879</v>
      </c>
      <c r="E25" s="366">
        <f ca="1">INDEX(T_Merger!__Interes,_AmortizacionesTablaCliente)</f>
        <v>957.8795197196124</v>
      </c>
      <c r="F25" s="366">
        <f ca="1">INDEX(T_Merger!__IVA,_AmortizacionesTablaCliente)</f>
        <v>114.94554236635348</v>
      </c>
      <c r="G25" s="366">
        <f ca="1">INDEX(T_Merger!__Pago,_AmortizacionesTablaCliente)</f>
        <v>13349.674916178845</v>
      </c>
      <c r="H25" s="491">
        <v>0</v>
      </c>
      <c r="I25" s="367">
        <f ca="1">INDEX(T_Merger!__Saldo_Final,_AmortizacionesTablaCliente)</f>
        <v>76828.221747731528</v>
      </c>
    </row>
    <row r="26" spans="1:9">
      <c r="A26" s="364">
        <v>7</v>
      </c>
      <c r="B26" s="365">
        <f t="shared" ca="1" si="0"/>
        <v>42841</v>
      </c>
      <c r="C26" s="366">
        <f ca="1">INDEX(T_Merger!__Saldo_Inicial,_AmortizacionesTablaCliente)</f>
        <v>76828.221747731528</v>
      </c>
      <c r="D26" s="366">
        <f ca="1">INDEX(T_Merger!__Capital,_AmortizacionesTablaCliente)</f>
        <v>12424.66312633616</v>
      </c>
      <c r="E26" s="366">
        <f ca="1">INDEX(T_Merger!__Interes,_AmortizacionesTablaCliente)</f>
        <v>825.90338378811396</v>
      </c>
      <c r="F26" s="366">
        <f ca="1">INDEX(T_Merger!__IVA,_AmortizacionesTablaCliente)</f>
        <v>99.108406054573678</v>
      </c>
      <c r="G26" s="366">
        <f ca="1">INDEX(T_Merger!__Pago,_AmortizacionesTablaCliente)</f>
        <v>13349.674916178848</v>
      </c>
      <c r="H26" s="491">
        <v>0</v>
      </c>
      <c r="I26" s="367">
        <f ca="1">INDEX(T_Merger!__Saldo_Final,_AmortizacionesTablaCliente)</f>
        <v>64403.558621395365</v>
      </c>
    </row>
    <row r="27" spans="1:9">
      <c r="A27" s="364">
        <v>8</v>
      </c>
      <c r="B27" s="365">
        <f t="shared" ca="1" si="0"/>
        <v>42871</v>
      </c>
      <c r="C27" s="366">
        <f ca="1">INDEX(T_Merger!__Saldo_Inicial,_AmortizacionesTablaCliente)</f>
        <v>64403.558621395365</v>
      </c>
      <c r="D27" s="366">
        <f ca="1">INDEX(T_Merger!__Capital,_AmortizacionesTablaCliente)</f>
        <v>12574.256070377245</v>
      </c>
      <c r="E27" s="366">
        <f ca="1">INDEX(T_Merger!__Interes,_AmortizacionesTablaCliente)</f>
        <v>692.33825518000015</v>
      </c>
      <c r="F27" s="366">
        <f ca="1">INDEX(T_Merger!__IVA,_AmortizacionesTablaCliente)</f>
        <v>83.08059062160001</v>
      </c>
      <c r="G27" s="366">
        <f ca="1">INDEX(T_Merger!__Pago,_AmortizacionesTablaCliente)</f>
        <v>13349.674916178845</v>
      </c>
      <c r="H27" s="491">
        <v>0</v>
      </c>
      <c r="I27" s="367">
        <f ca="1">INDEX(T_Merger!__Saldo_Final,_AmortizacionesTablaCliente)</f>
        <v>51829.302551018118</v>
      </c>
    </row>
    <row r="28" spans="1:9">
      <c r="A28" s="364">
        <v>9</v>
      </c>
      <c r="B28" s="365">
        <f t="shared" ca="1" si="0"/>
        <v>42902</v>
      </c>
      <c r="C28" s="366">
        <f ca="1">INDEX(T_Merger!__Saldo_Inicial,_AmortizacionesTablaCliente)</f>
        <v>51829.302551018118</v>
      </c>
      <c r="D28" s="366">
        <f ca="1">INDEX(T_Merger!__Capital,_AmortizacionesTablaCliente)</f>
        <v>12725.65011346459</v>
      </c>
      <c r="E28" s="366">
        <f ca="1">INDEX(T_Merger!__Interes,_AmortizacionesTablaCliente)</f>
        <v>557.16500242344478</v>
      </c>
      <c r="F28" s="366">
        <f ca="1">INDEX(T_Merger!__IVA,_AmortizacionesTablaCliente)</f>
        <v>66.859800290813368</v>
      </c>
      <c r="G28" s="366">
        <f ca="1">INDEX(T_Merger!__Pago,_AmortizacionesTablaCliente)</f>
        <v>13349.674916178847</v>
      </c>
      <c r="H28" s="491">
        <v>0</v>
      </c>
      <c r="I28" s="367">
        <f ca="1">INDEX(T_Merger!__Saldo_Final,_AmortizacionesTablaCliente)</f>
        <v>39103.65243755353</v>
      </c>
    </row>
    <row r="29" spans="1:9">
      <c r="A29" s="364">
        <v>10</v>
      </c>
      <c r="B29" s="365">
        <f t="shared" ca="1" si="0"/>
        <v>42932</v>
      </c>
      <c r="C29" s="366">
        <f ca="1">INDEX(T_Merger!__Saldo_Inicial,_AmortizacionesTablaCliente)</f>
        <v>39103.65243755353</v>
      </c>
      <c r="D29" s="366">
        <f ca="1">INDEX(T_Merger!__Capital,_AmortizacionesTablaCliente)</f>
        <v>12878.866940830701</v>
      </c>
      <c r="E29" s="366">
        <f ca="1">INDEX(T_Merger!__Interes,_AmortizacionesTablaCliente)</f>
        <v>420.36426370370049</v>
      </c>
      <c r="F29" s="366">
        <f ca="1">INDEX(T_Merger!__IVA,_AmortizacionesTablaCliente)</f>
        <v>50.443711644444058</v>
      </c>
      <c r="G29" s="366">
        <f ca="1">INDEX(T_Merger!__Pago,_AmortizacionesTablaCliente)</f>
        <v>13349.674916178847</v>
      </c>
      <c r="H29" s="491">
        <v>0</v>
      </c>
      <c r="I29" s="367">
        <f ca="1">INDEX(T_Merger!__Saldo_Final,_AmortizacionesTablaCliente)</f>
        <v>26224.785496722827</v>
      </c>
    </row>
    <row r="30" spans="1:9">
      <c r="A30" s="364">
        <v>11</v>
      </c>
      <c r="B30" s="365">
        <f t="shared" ca="1" si="0"/>
        <v>42963</v>
      </c>
      <c r="C30" s="366">
        <f ca="1">INDEX(T_Merger!__Saldo_Inicial,_AmortizacionesTablaCliente)</f>
        <v>26224.785496722827</v>
      </c>
      <c r="D30" s="366">
        <f ca="1">INDEX(T_Merger!__Capital,_AmortizacionesTablaCliente)</f>
        <v>13033.928498798305</v>
      </c>
      <c r="E30" s="366">
        <f ca="1">INDEX(T_Merger!__Interes,_AmortizacionesTablaCliente)</f>
        <v>281.91644408977038</v>
      </c>
      <c r="F30" s="366">
        <f ca="1">INDEX(T_Merger!__IVA,_AmortizacionesTablaCliente)</f>
        <v>33.829973290772443</v>
      </c>
      <c r="G30" s="366">
        <f ca="1">INDEX(T_Merger!__Pago,_AmortizacionesTablaCliente)</f>
        <v>13349.674916178848</v>
      </c>
      <c r="H30" s="491">
        <v>0</v>
      </c>
      <c r="I30" s="367">
        <f ca="1">INDEX(T_Merger!__Saldo_Final,_AmortizacionesTablaCliente)</f>
        <v>13190.856997924522</v>
      </c>
    </row>
    <row r="31" spans="1:9">
      <c r="A31" s="364">
        <v>12</v>
      </c>
      <c r="B31" s="365">
        <f t="shared" ca="1" si="0"/>
        <v>42994</v>
      </c>
      <c r="C31" s="366">
        <f ca="1">INDEX(T_Merger!__Saldo_Inicial,_AmortizacionesTablaCliente)</f>
        <v>13190.856997924522</v>
      </c>
      <c r="D31" s="366">
        <f ca="1">INDEX(T_Merger!__Capital,_AmortizacionesTablaCliente)</f>
        <v>13190.856997924513</v>
      </c>
      <c r="E31" s="366">
        <f ca="1">INDEX(T_Merger!__Interes,_AmortizacionesTablaCliente)</f>
        <v>141.8017127276886</v>
      </c>
      <c r="F31" s="366">
        <f ca="1">INDEX(T_Merger!__IVA,_AmortizacionesTablaCliente)</f>
        <v>17.016205527322629</v>
      </c>
      <c r="G31" s="366">
        <f ca="1">INDEX(T_Merger!__Pago,_AmortizacionesTablaCliente)</f>
        <v>13349.674916179525</v>
      </c>
      <c r="H31" s="491">
        <v>0</v>
      </c>
      <c r="I31" s="367">
        <f ca="1">INDEX(T_Merger!__Saldo_Final,_AmortizacionesTablaCliente)</f>
        <v>9.0949470177292824E-12</v>
      </c>
    </row>
    <row r="32" spans="1:9" hidden="1">
      <c r="A32" s="364">
        <v>13</v>
      </c>
      <c r="B32" s="365">
        <f t="shared" ca="1" si="0"/>
        <v>43024</v>
      </c>
      <c r="C32" s="366">
        <f ca="1">INDEX(T_Merger!__Saldo_Inicial,_AmortizacionesTablaCliente)</f>
        <v>9.0949470177292824E-12</v>
      </c>
      <c r="D32" s="366">
        <f ca="1">INDEX(T_Merger!__Capital,_AmortizacionesTablaCliente)</f>
        <v>0</v>
      </c>
      <c r="E32" s="366">
        <f ca="1">INDEX(T_Merger!__Interes,_AmortizacionesTablaCliente)</f>
        <v>9.7770680440589784E-14</v>
      </c>
      <c r="F32" s="366">
        <f ca="1">INDEX(T_Merger!__IVA,_AmortizacionesTablaCliente)</f>
        <v>1.1732481652870774E-14</v>
      </c>
      <c r="G32" s="366">
        <f ca="1">INDEX(T_Merger!__Pago,_AmortizacionesTablaCliente)</f>
        <v>1.0950316209346055E-13</v>
      </c>
      <c r="H32" s="491">
        <v>0</v>
      </c>
      <c r="I32" s="367">
        <f ca="1">INDEX(T_Merger!__Saldo_Final,_AmortizacionesTablaCliente)</f>
        <v>9.0949470177292824E-12</v>
      </c>
    </row>
    <row r="33" spans="1:9" hidden="1">
      <c r="A33" s="364">
        <v>14</v>
      </c>
      <c r="B33" s="365">
        <f t="shared" ca="1" si="0"/>
        <v>43055</v>
      </c>
      <c r="C33" s="366">
        <f ca="1">INDEX(T_Merger!__Saldo_Inicial,_AmortizacionesTablaCliente)</f>
        <v>9.0949470177292824E-12</v>
      </c>
      <c r="D33" s="366">
        <f ca="1">INDEX(T_Merger!__Capital,_AmortizacionesTablaCliente)</f>
        <v>0</v>
      </c>
      <c r="E33" s="366">
        <f ca="1">INDEX(T_Merger!__Interes,_AmortizacionesTablaCliente)</f>
        <v>9.7770680440589784E-14</v>
      </c>
      <c r="F33" s="366">
        <f ca="1">INDEX(T_Merger!__IVA,_AmortizacionesTablaCliente)</f>
        <v>1.1732481652870774E-14</v>
      </c>
      <c r="G33" s="366">
        <f ca="1">INDEX(T_Merger!__Pago,_AmortizacionesTablaCliente)</f>
        <v>1.0950316209346055E-13</v>
      </c>
      <c r="H33" s="491">
        <v>0</v>
      </c>
      <c r="I33" s="367">
        <f ca="1">INDEX(T_Merger!__Saldo_Final,_AmortizacionesTablaCliente)</f>
        <v>9.0949470177292824E-12</v>
      </c>
    </row>
    <row r="34" spans="1:9" hidden="1">
      <c r="A34" s="364">
        <v>15</v>
      </c>
      <c r="B34" s="365">
        <f t="shared" ca="1" si="0"/>
        <v>43085</v>
      </c>
      <c r="C34" s="366">
        <f ca="1">INDEX(T_Merger!__Saldo_Inicial,_AmortizacionesTablaCliente)</f>
        <v>9.0949470177292824E-12</v>
      </c>
      <c r="D34" s="366">
        <f ca="1">INDEX(T_Merger!__Capital,_AmortizacionesTablaCliente)</f>
        <v>0</v>
      </c>
      <c r="E34" s="366">
        <f ca="1">INDEX(T_Merger!__Interes,_AmortizacionesTablaCliente)</f>
        <v>9.7770680440589784E-14</v>
      </c>
      <c r="F34" s="366">
        <f ca="1">INDEX(T_Merger!__IVA,_AmortizacionesTablaCliente)</f>
        <v>1.1732481652870774E-14</v>
      </c>
      <c r="G34" s="366">
        <f ca="1">INDEX(T_Merger!__Pago,_AmortizacionesTablaCliente)</f>
        <v>1.0950316209346055E-13</v>
      </c>
      <c r="H34" s="491">
        <v>0</v>
      </c>
      <c r="I34" s="367">
        <f ca="1">INDEX(T_Merger!__Saldo_Final,_AmortizacionesTablaCliente)</f>
        <v>9.0949470177292824E-12</v>
      </c>
    </row>
    <row r="35" spans="1:9" hidden="1">
      <c r="A35" s="364">
        <v>16</v>
      </c>
      <c r="B35" s="365">
        <f t="shared" ca="1" si="0"/>
        <v>43116</v>
      </c>
      <c r="C35" s="366">
        <f ca="1">INDEX(T_Merger!__Saldo_Inicial,_AmortizacionesTablaCliente)</f>
        <v>9.0949470177292824E-12</v>
      </c>
      <c r="D35" s="366">
        <f ca="1">INDEX(T_Merger!__Capital,_AmortizacionesTablaCliente)</f>
        <v>0</v>
      </c>
      <c r="E35" s="366">
        <f ca="1">INDEX(T_Merger!__Interes,_AmortizacionesTablaCliente)</f>
        <v>9.7770680440589784E-14</v>
      </c>
      <c r="F35" s="366">
        <f ca="1">INDEX(T_Merger!__IVA,_AmortizacionesTablaCliente)</f>
        <v>1.1732481652870774E-14</v>
      </c>
      <c r="G35" s="366">
        <f ca="1">INDEX(T_Merger!__Pago,_AmortizacionesTablaCliente)</f>
        <v>1.0950316209346055E-13</v>
      </c>
      <c r="H35" s="491">
        <v>0</v>
      </c>
      <c r="I35" s="367">
        <f ca="1">INDEX(T_Merger!__Saldo_Final,_AmortizacionesTablaCliente)</f>
        <v>9.0949470177292824E-12</v>
      </c>
    </row>
    <row r="36" spans="1:9" hidden="1">
      <c r="A36" s="364">
        <v>17</v>
      </c>
      <c r="B36" s="365">
        <f t="shared" ca="1" si="0"/>
        <v>43147</v>
      </c>
      <c r="C36" s="366">
        <f ca="1">INDEX(T_Merger!__Saldo_Inicial,_AmortizacionesTablaCliente)</f>
        <v>9.0949470177292824E-12</v>
      </c>
      <c r="D36" s="366">
        <f ca="1">INDEX(T_Merger!__Capital,_AmortizacionesTablaCliente)</f>
        <v>0</v>
      </c>
      <c r="E36" s="366">
        <f ca="1">INDEX(T_Merger!__Interes,_AmortizacionesTablaCliente)</f>
        <v>9.7770680440589784E-14</v>
      </c>
      <c r="F36" s="366">
        <f ca="1">INDEX(T_Merger!__IVA,_AmortizacionesTablaCliente)</f>
        <v>1.1732481652870774E-14</v>
      </c>
      <c r="G36" s="366">
        <f ca="1">INDEX(T_Merger!__Pago,_AmortizacionesTablaCliente)</f>
        <v>1.0950316209346055E-13</v>
      </c>
      <c r="H36" s="491">
        <v>0</v>
      </c>
      <c r="I36" s="367">
        <f ca="1">INDEX(T_Merger!__Saldo_Final,_AmortizacionesTablaCliente)</f>
        <v>9.0949470177292824E-12</v>
      </c>
    </row>
    <row r="37" spans="1:9" hidden="1">
      <c r="A37" s="364">
        <v>18</v>
      </c>
      <c r="B37" s="365">
        <f t="shared" ca="1" si="0"/>
        <v>43175</v>
      </c>
      <c r="C37" s="366">
        <f ca="1">INDEX(T_Merger!__Saldo_Inicial,_AmortizacionesTablaCliente)</f>
        <v>9.0949470177292824E-12</v>
      </c>
      <c r="D37" s="366">
        <f ca="1">INDEX(T_Merger!__Capital,_AmortizacionesTablaCliente)</f>
        <v>0</v>
      </c>
      <c r="E37" s="366">
        <f ca="1">INDEX(T_Merger!__Interes,_AmortizacionesTablaCliente)</f>
        <v>9.7770680440589784E-14</v>
      </c>
      <c r="F37" s="366">
        <f ca="1">INDEX(T_Merger!__IVA,_AmortizacionesTablaCliente)</f>
        <v>1.1732481652870774E-14</v>
      </c>
      <c r="G37" s="366">
        <f ca="1">INDEX(T_Merger!__Pago,_AmortizacionesTablaCliente)</f>
        <v>1.0950316209346055E-13</v>
      </c>
      <c r="H37" s="491">
        <v>0</v>
      </c>
      <c r="I37" s="367">
        <f ca="1">INDEX(T_Merger!__Saldo_Final,_AmortizacionesTablaCliente)</f>
        <v>9.0949470177292824E-12</v>
      </c>
    </row>
    <row r="38" spans="1:9" hidden="1">
      <c r="A38" s="364">
        <v>19</v>
      </c>
      <c r="B38" s="365">
        <f t="shared" ca="1" si="0"/>
        <v>43206</v>
      </c>
      <c r="C38" s="366">
        <f ca="1">INDEX(T_Merger!__Saldo_Inicial,_AmortizacionesTablaCliente)</f>
        <v>9.0949470177292824E-12</v>
      </c>
      <c r="D38" s="366">
        <f ca="1">INDEX(T_Merger!__Capital,_AmortizacionesTablaCliente)</f>
        <v>0</v>
      </c>
      <c r="E38" s="366">
        <f ca="1">INDEX(T_Merger!__Interes,_AmortizacionesTablaCliente)</f>
        <v>9.7770680440589784E-14</v>
      </c>
      <c r="F38" s="366">
        <f ca="1">INDEX(T_Merger!__IVA,_AmortizacionesTablaCliente)</f>
        <v>1.1732481652870774E-14</v>
      </c>
      <c r="G38" s="366">
        <f ca="1">INDEX(T_Merger!__Pago,_AmortizacionesTablaCliente)</f>
        <v>1.0950316209346055E-13</v>
      </c>
      <c r="H38" s="491">
        <v>0</v>
      </c>
      <c r="I38" s="367">
        <f ca="1">INDEX(T_Merger!__Saldo_Final,_AmortizacionesTablaCliente)</f>
        <v>9.0949470177292824E-12</v>
      </c>
    </row>
    <row r="39" spans="1:9" hidden="1">
      <c r="A39" s="364">
        <v>20</v>
      </c>
      <c r="B39" s="365">
        <f t="shared" ca="1" si="0"/>
        <v>43236</v>
      </c>
      <c r="C39" s="366">
        <f ca="1">INDEX(T_Merger!__Saldo_Inicial,_AmortizacionesTablaCliente)</f>
        <v>9.0949470177292824E-12</v>
      </c>
      <c r="D39" s="366">
        <f ca="1">INDEX(T_Merger!__Capital,_AmortizacionesTablaCliente)</f>
        <v>0</v>
      </c>
      <c r="E39" s="366">
        <f ca="1">INDEX(T_Merger!__Interes,_AmortizacionesTablaCliente)</f>
        <v>9.7770680440589784E-14</v>
      </c>
      <c r="F39" s="366">
        <f ca="1">INDEX(T_Merger!__IVA,_AmortizacionesTablaCliente)</f>
        <v>1.1732481652870774E-14</v>
      </c>
      <c r="G39" s="366">
        <f ca="1">INDEX(T_Merger!__Pago,_AmortizacionesTablaCliente)</f>
        <v>1.0950316209346055E-13</v>
      </c>
      <c r="H39" s="491">
        <v>0</v>
      </c>
      <c r="I39" s="367">
        <f ca="1">INDEX(T_Merger!__Saldo_Final,_AmortizacionesTablaCliente)</f>
        <v>9.0949470177292824E-12</v>
      </c>
    </row>
    <row r="40" spans="1:9" hidden="1">
      <c r="A40" s="364">
        <v>21</v>
      </c>
      <c r="B40" s="365">
        <f t="shared" ca="1" si="0"/>
        <v>43267</v>
      </c>
      <c r="C40" s="366">
        <f ca="1">INDEX(T_Merger!__Saldo_Inicial,_AmortizacionesTablaCliente)</f>
        <v>9.0949470177292824E-12</v>
      </c>
      <c r="D40" s="366">
        <f ca="1">INDEX(T_Merger!__Capital,_AmortizacionesTablaCliente)</f>
        <v>0</v>
      </c>
      <c r="E40" s="366">
        <f ca="1">INDEX(T_Merger!__Interes,_AmortizacionesTablaCliente)</f>
        <v>9.7770680440589784E-14</v>
      </c>
      <c r="F40" s="366">
        <f ca="1">INDEX(T_Merger!__IVA,_AmortizacionesTablaCliente)</f>
        <v>1.1732481652870774E-14</v>
      </c>
      <c r="G40" s="366">
        <f ca="1">INDEX(T_Merger!__Pago,_AmortizacionesTablaCliente)</f>
        <v>1.0950316209346055E-13</v>
      </c>
      <c r="H40" s="491">
        <v>0</v>
      </c>
      <c r="I40" s="367">
        <f ca="1">INDEX(T_Merger!__Saldo_Final,_AmortizacionesTablaCliente)</f>
        <v>9.0949470177292824E-12</v>
      </c>
    </row>
    <row r="41" spans="1:9" hidden="1">
      <c r="A41" s="364">
        <v>22</v>
      </c>
      <c r="B41" s="365">
        <f t="shared" ca="1" si="0"/>
        <v>43297</v>
      </c>
      <c r="C41" s="366">
        <f ca="1">INDEX(T_Merger!__Saldo_Inicial,_AmortizacionesTablaCliente)</f>
        <v>9.0949470177292824E-12</v>
      </c>
      <c r="D41" s="366">
        <f ca="1">INDEX(T_Merger!__Capital,_AmortizacionesTablaCliente)</f>
        <v>0</v>
      </c>
      <c r="E41" s="366">
        <f ca="1">INDEX(T_Merger!__Interes,_AmortizacionesTablaCliente)</f>
        <v>9.7770680440589784E-14</v>
      </c>
      <c r="F41" s="366">
        <f ca="1">INDEX(T_Merger!__IVA,_AmortizacionesTablaCliente)</f>
        <v>1.1732481652870774E-14</v>
      </c>
      <c r="G41" s="366">
        <f ca="1">INDEX(T_Merger!__Pago,_AmortizacionesTablaCliente)</f>
        <v>1.0950316209346055E-13</v>
      </c>
      <c r="H41" s="491">
        <v>0</v>
      </c>
      <c r="I41" s="367">
        <f ca="1">INDEX(T_Merger!__Saldo_Final,_AmortizacionesTablaCliente)</f>
        <v>9.0949470177292824E-12</v>
      </c>
    </row>
    <row r="42" spans="1:9" hidden="1">
      <c r="A42" s="364">
        <v>23</v>
      </c>
      <c r="B42" s="365">
        <f t="shared" ca="1" si="0"/>
        <v>43328</v>
      </c>
      <c r="C42" s="366">
        <f ca="1">INDEX(T_Merger!__Saldo_Inicial,_AmortizacionesTablaCliente)</f>
        <v>9.0949470177292824E-12</v>
      </c>
      <c r="D42" s="366">
        <f ca="1">INDEX(T_Merger!__Capital,_AmortizacionesTablaCliente)</f>
        <v>0</v>
      </c>
      <c r="E42" s="517">
        <f ca="1">INDEX(T_Merger!__Interes,_AmortizacionesTablaCliente)</f>
        <v>9.7770680440589784E-14</v>
      </c>
      <c r="F42" s="366">
        <f ca="1">INDEX(T_Merger!__IVA,_AmortizacionesTablaCliente)</f>
        <v>1.1732481652870774E-14</v>
      </c>
      <c r="G42" s="366">
        <f ca="1">INDEX(T_Merger!__Pago,_AmortizacionesTablaCliente)</f>
        <v>1.0950316209346055E-13</v>
      </c>
      <c r="H42" s="491">
        <v>0</v>
      </c>
      <c r="I42" s="367">
        <f ca="1">INDEX(T_Merger!__Saldo_Final,_AmortizacionesTablaCliente)</f>
        <v>9.0949470177292824E-12</v>
      </c>
    </row>
    <row r="43" spans="1:9" hidden="1">
      <c r="A43" s="364">
        <v>24</v>
      </c>
      <c r="B43" s="365">
        <f t="shared" ca="1" si="0"/>
        <v>43359</v>
      </c>
      <c r="C43" s="366">
        <f ca="1">INDEX(T_Merger!__Saldo_Inicial,_AmortizacionesTablaCliente)</f>
        <v>9.0949470177292824E-12</v>
      </c>
      <c r="D43" s="366">
        <f ca="1">INDEX(T_Merger!__Capital,_AmortizacionesTablaCliente)</f>
        <v>0</v>
      </c>
      <c r="E43" s="519">
        <f ca="1">INDEX(T_Merger!__Interes,_AmortizacionesTablaCliente)</f>
        <v>9.7770680440589784E-14</v>
      </c>
      <c r="F43" s="366">
        <f ca="1">INDEX(T_Merger!__IVA,_AmortizacionesTablaCliente)</f>
        <v>1.1732481652870774E-14</v>
      </c>
      <c r="G43" s="366">
        <f ca="1">INDEX(T_Merger!__Pago,_AmortizacionesTablaCliente)</f>
        <v>1.0950316209346055E-13</v>
      </c>
      <c r="H43" s="491">
        <v>0</v>
      </c>
      <c r="I43" s="367">
        <f ca="1">INDEX(T_Merger!__Saldo_Final,_AmortizacionesTablaCliente)</f>
        <v>9.0949470177292824E-12</v>
      </c>
    </row>
    <row r="44" spans="1:9" hidden="1">
      <c r="A44" s="364">
        <v>25</v>
      </c>
      <c r="B44" s="365">
        <f t="shared" ca="1" si="0"/>
        <v>43389</v>
      </c>
      <c r="C44" s="366">
        <f ca="1">INDEX(T_Merger!__Saldo_Inicial,_AmortizacionesTablaCliente)</f>
        <v>9.0949470177292824E-12</v>
      </c>
      <c r="D44" s="366">
        <f ca="1">INDEX(T_Merger!__Capital,_AmortizacionesTablaCliente)</f>
        <v>0</v>
      </c>
      <c r="E44" s="519">
        <f ca="1">INDEX(T_Merger!__Interes,_AmortizacionesTablaCliente)</f>
        <v>9.7770680440589784E-14</v>
      </c>
      <c r="F44" s="366">
        <f ca="1">INDEX(T_Merger!__IVA,_AmortizacionesTablaCliente)</f>
        <v>1.1732481652870774E-14</v>
      </c>
      <c r="G44" s="366">
        <f ca="1">INDEX(T_Merger!__Pago,_AmortizacionesTablaCliente)</f>
        <v>1.0950316209346055E-13</v>
      </c>
      <c r="H44" s="491">
        <v>0</v>
      </c>
      <c r="I44" s="367">
        <f ca="1">INDEX(T_Merger!__Saldo_Final,_AmortizacionesTablaCliente)</f>
        <v>9.0949470177292824E-12</v>
      </c>
    </row>
    <row r="45" spans="1:9" hidden="1">
      <c r="A45" s="364">
        <v>26</v>
      </c>
      <c r="B45" s="365">
        <f t="shared" ca="1" si="0"/>
        <v>43420</v>
      </c>
      <c r="C45" s="366">
        <f ca="1">INDEX(T_Merger!__Saldo_Inicial,_AmortizacionesTablaCliente)</f>
        <v>9.0949470177292824E-12</v>
      </c>
      <c r="D45" s="366">
        <f ca="1">INDEX(T_Merger!__Capital,_AmortizacionesTablaCliente)</f>
        <v>0</v>
      </c>
      <c r="E45" s="519">
        <f ca="1">INDEX(T_Merger!__Interes,_AmortizacionesTablaCliente)</f>
        <v>9.7770680440589784E-14</v>
      </c>
      <c r="F45" s="366">
        <f ca="1">INDEX(T_Merger!__IVA,_AmortizacionesTablaCliente)</f>
        <v>1.1732481652870774E-14</v>
      </c>
      <c r="G45" s="366">
        <f ca="1">INDEX(T_Merger!__Pago,_AmortizacionesTablaCliente)</f>
        <v>1.0950316209346055E-13</v>
      </c>
      <c r="H45" s="491">
        <v>0</v>
      </c>
      <c r="I45" s="367">
        <f ca="1">INDEX(T_Merger!__Saldo_Final,_AmortizacionesTablaCliente)</f>
        <v>9.0949470177292824E-12</v>
      </c>
    </row>
    <row r="46" spans="1:9" hidden="1">
      <c r="A46" s="364">
        <v>27</v>
      </c>
      <c r="B46" s="365">
        <f t="shared" ca="1" si="0"/>
        <v>43450</v>
      </c>
      <c r="C46" s="366">
        <f ca="1">INDEX(T_Merger!__Saldo_Inicial,_AmortizacionesTablaCliente)</f>
        <v>9.0949470177292824E-12</v>
      </c>
      <c r="D46" s="366">
        <f ca="1">INDEX(T_Merger!__Capital,_AmortizacionesTablaCliente)</f>
        <v>0</v>
      </c>
      <c r="E46" s="519">
        <f ca="1">INDEX(T_Merger!__Interes,_AmortizacionesTablaCliente)</f>
        <v>9.7770680440589784E-14</v>
      </c>
      <c r="F46" s="366">
        <f ca="1">INDEX(T_Merger!__IVA,_AmortizacionesTablaCliente)</f>
        <v>1.1732481652870774E-14</v>
      </c>
      <c r="G46" s="366">
        <f ca="1">INDEX(T_Merger!__Pago,_AmortizacionesTablaCliente)</f>
        <v>1.0950316209346055E-13</v>
      </c>
      <c r="H46" s="491">
        <v>0</v>
      </c>
      <c r="I46" s="367">
        <f ca="1">INDEX(T_Merger!__Saldo_Final,_AmortizacionesTablaCliente)</f>
        <v>9.0949470177292824E-12</v>
      </c>
    </row>
    <row r="47" spans="1:9" hidden="1">
      <c r="A47" s="364">
        <v>28</v>
      </c>
      <c r="B47" s="365">
        <f t="shared" ca="1" si="0"/>
        <v>43481</v>
      </c>
      <c r="C47" s="366">
        <f ca="1">INDEX(T_Merger!__Saldo_Inicial,_AmortizacionesTablaCliente)</f>
        <v>9.0949470177292824E-12</v>
      </c>
      <c r="D47" s="366">
        <f ca="1">INDEX(T_Merger!__Capital,_AmortizacionesTablaCliente)</f>
        <v>0</v>
      </c>
      <c r="E47" s="519">
        <f ca="1">INDEX(T_Merger!__Interes,_AmortizacionesTablaCliente)</f>
        <v>9.7770680440589784E-14</v>
      </c>
      <c r="F47" s="366">
        <f ca="1">INDEX(T_Merger!__IVA,_AmortizacionesTablaCliente)</f>
        <v>1.1732481652870774E-14</v>
      </c>
      <c r="G47" s="366">
        <f ca="1">INDEX(T_Merger!__Pago,_AmortizacionesTablaCliente)</f>
        <v>1.0950316209346055E-13</v>
      </c>
      <c r="H47" s="491">
        <v>0</v>
      </c>
      <c r="I47" s="367">
        <f ca="1">INDEX(T_Merger!__Saldo_Final,_AmortizacionesTablaCliente)</f>
        <v>9.0949470177292824E-12</v>
      </c>
    </row>
    <row r="48" spans="1:9" hidden="1">
      <c r="A48" s="364">
        <v>29</v>
      </c>
      <c r="B48" s="365">
        <f t="shared" ca="1" si="0"/>
        <v>43512</v>
      </c>
      <c r="C48" s="366">
        <f ca="1">INDEX(T_Merger!__Saldo_Inicial,_AmortizacionesTablaCliente)</f>
        <v>9.0949470177292824E-12</v>
      </c>
      <c r="D48" s="366">
        <f ca="1">INDEX(T_Merger!__Capital,_AmortizacionesTablaCliente)</f>
        <v>0</v>
      </c>
      <c r="E48" s="519">
        <f ca="1">INDEX(T_Merger!__Interes,_AmortizacionesTablaCliente)</f>
        <v>9.7770680440589784E-14</v>
      </c>
      <c r="F48" s="366">
        <f ca="1">INDEX(T_Merger!__IVA,_AmortizacionesTablaCliente)</f>
        <v>1.1732481652870774E-14</v>
      </c>
      <c r="G48" s="366">
        <f ca="1">INDEX(T_Merger!__Pago,_AmortizacionesTablaCliente)</f>
        <v>1.0950316209346055E-13</v>
      </c>
      <c r="H48" s="491">
        <v>0</v>
      </c>
      <c r="I48" s="367">
        <f ca="1">INDEX(T_Merger!__Saldo_Final,_AmortizacionesTablaCliente)</f>
        <v>9.0949470177292824E-12</v>
      </c>
    </row>
    <row r="49" spans="1:9" hidden="1">
      <c r="A49" s="364">
        <v>30</v>
      </c>
      <c r="B49" s="365">
        <f t="shared" ca="1" si="0"/>
        <v>43540</v>
      </c>
      <c r="C49" s="366">
        <f ca="1">INDEX(T_Merger!__Saldo_Inicial,_AmortizacionesTablaCliente)</f>
        <v>9.0949470177292824E-12</v>
      </c>
      <c r="D49" s="366">
        <f ca="1">INDEX(T_Merger!__Capital,_AmortizacionesTablaCliente)</f>
        <v>0</v>
      </c>
      <c r="E49" s="519">
        <f ca="1">INDEX(T_Merger!__Interes,_AmortizacionesTablaCliente)</f>
        <v>9.7770680440589784E-14</v>
      </c>
      <c r="F49" s="366">
        <f ca="1">INDEX(T_Merger!__IVA,_AmortizacionesTablaCliente)</f>
        <v>1.1732481652870774E-14</v>
      </c>
      <c r="G49" s="366">
        <f ca="1">INDEX(T_Merger!__Pago,_AmortizacionesTablaCliente)</f>
        <v>1.0950316209346055E-13</v>
      </c>
      <c r="H49" s="491">
        <v>0</v>
      </c>
      <c r="I49" s="367">
        <f ca="1">INDEX(T_Merger!__Saldo_Final,_AmortizacionesTablaCliente)</f>
        <v>9.0949470177292824E-12</v>
      </c>
    </row>
    <row r="50" spans="1:9" hidden="1">
      <c r="A50" s="364">
        <v>31</v>
      </c>
      <c r="B50" s="365">
        <f t="shared" ca="1" si="0"/>
        <v>43571</v>
      </c>
      <c r="C50" s="366">
        <f ca="1">INDEX(T_Merger!__Saldo_Inicial,_AmortizacionesTablaCliente)</f>
        <v>9.0949470177292824E-12</v>
      </c>
      <c r="D50" s="366">
        <f ca="1">INDEX(T_Merger!__Capital,_AmortizacionesTablaCliente)</f>
        <v>0</v>
      </c>
      <c r="E50" s="519">
        <f ca="1">INDEX(T_Merger!__Interes,_AmortizacionesTablaCliente)</f>
        <v>9.7770680440589784E-14</v>
      </c>
      <c r="F50" s="366">
        <f ca="1">INDEX(T_Merger!__IVA,_AmortizacionesTablaCliente)</f>
        <v>1.1732481652870774E-14</v>
      </c>
      <c r="G50" s="366">
        <f ca="1">INDEX(T_Merger!__Pago,_AmortizacionesTablaCliente)</f>
        <v>1.0950316209346055E-13</v>
      </c>
      <c r="H50" s="491">
        <v>0</v>
      </c>
      <c r="I50" s="367">
        <f ca="1">INDEX(T_Merger!__Saldo_Final,_AmortizacionesTablaCliente)</f>
        <v>9.0949470177292824E-12</v>
      </c>
    </row>
    <row r="51" spans="1:9" hidden="1">
      <c r="A51" s="364">
        <v>32</v>
      </c>
      <c r="B51" s="365">
        <f t="shared" ca="1" si="0"/>
        <v>43601</v>
      </c>
      <c r="C51" s="366">
        <f ca="1">INDEX(T_Merger!__Saldo_Inicial,_AmortizacionesTablaCliente)</f>
        <v>9.0949470177292824E-12</v>
      </c>
      <c r="D51" s="366">
        <f ca="1">INDEX(T_Merger!__Capital,_AmortizacionesTablaCliente)</f>
        <v>0</v>
      </c>
      <c r="E51" s="519">
        <f ca="1">INDEX(T_Merger!__Interes,_AmortizacionesTablaCliente)</f>
        <v>9.7770680440589784E-14</v>
      </c>
      <c r="F51" s="366">
        <f ca="1">INDEX(T_Merger!__IVA,_AmortizacionesTablaCliente)</f>
        <v>1.1732481652870774E-14</v>
      </c>
      <c r="G51" s="366">
        <f ca="1">INDEX(T_Merger!__Pago,_AmortizacionesTablaCliente)</f>
        <v>1.0950316209346055E-13</v>
      </c>
      <c r="H51" s="491">
        <v>0</v>
      </c>
      <c r="I51" s="367">
        <f ca="1">INDEX(T_Merger!__Saldo_Final,_AmortizacionesTablaCliente)</f>
        <v>9.0949470177292824E-12</v>
      </c>
    </row>
    <row r="52" spans="1:9" hidden="1">
      <c r="A52" s="364">
        <v>33</v>
      </c>
      <c r="B52" s="365">
        <f t="shared" ca="1" si="0"/>
        <v>43632</v>
      </c>
      <c r="C52" s="366">
        <f ca="1">INDEX(T_Merger!__Saldo_Inicial,_AmortizacionesTablaCliente)</f>
        <v>9.0949470177292824E-12</v>
      </c>
      <c r="D52" s="366">
        <f ca="1">INDEX(T_Merger!__Capital,_AmortizacionesTablaCliente)</f>
        <v>0</v>
      </c>
      <c r="E52" s="519">
        <f ca="1">INDEX(T_Merger!__Interes,_AmortizacionesTablaCliente)</f>
        <v>9.7770680440589784E-14</v>
      </c>
      <c r="F52" s="366">
        <f ca="1">INDEX(T_Merger!__IVA,_AmortizacionesTablaCliente)</f>
        <v>1.1732481652870774E-14</v>
      </c>
      <c r="G52" s="366">
        <f ca="1">INDEX(T_Merger!__Pago,_AmortizacionesTablaCliente)</f>
        <v>1.0950316209346055E-13</v>
      </c>
      <c r="H52" s="491">
        <v>0</v>
      </c>
      <c r="I52" s="367">
        <f ca="1">INDEX(T_Merger!__Saldo_Final,_AmortizacionesTablaCliente)</f>
        <v>9.0949470177292824E-12</v>
      </c>
    </row>
    <row r="53" spans="1:9" hidden="1">
      <c r="A53" s="364">
        <v>34</v>
      </c>
      <c r="B53" s="365">
        <f t="shared" ca="1" si="0"/>
        <v>43662</v>
      </c>
      <c r="C53" s="366">
        <f ca="1">INDEX(T_Merger!__Saldo_Inicial,_AmortizacionesTablaCliente)</f>
        <v>9.0949470177292824E-12</v>
      </c>
      <c r="D53" s="366">
        <f ca="1">INDEX(T_Merger!__Capital,_AmortizacionesTablaCliente)</f>
        <v>0</v>
      </c>
      <c r="E53" s="519">
        <f ca="1">INDEX(T_Merger!__Interes,_AmortizacionesTablaCliente)</f>
        <v>9.7770680440589784E-14</v>
      </c>
      <c r="F53" s="366">
        <f ca="1">INDEX(T_Merger!__IVA,_AmortizacionesTablaCliente)</f>
        <v>1.1732481652870774E-14</v>
      </c>
      <c r="G53" s="366">
        <f ca="1">INDEX(T_Merger!__Pago,_AmortizacionesTablaCliente)</f>
        <v>1.0950316209346055E-13</v>
      </c>
      <c r="H53" s="491">
        <v>0</v>
      </c>
      <c r="I53" s="367">
        <f ca="1">INDEX(T_Merger!__Saldo_Final,_AmortizacionesTablaCliente)</f>
        <v>9.0949470177292824E-12</v>
      </c>
    </row>
    <row r="54" spans="1:9" hidden="1">
      <c r="A54" s="364">
        <v>35</v>
      </c>
      <c r="B54" s="365">
        <f t="shared" ca="1" si="0"/>
        <v>43693</v>
      </c>
      <c r="C54" s="366">
        <f ca="1">INDEX(T_Merger!__Saldo_Inicial,_AmortizacionesTablaCliente)</f>
        <v>9.0949470177292824E-12</v>
      </c>
      <c r="D54" s="366">
        <f ca="1">INDEX(T_Merger!__Capital,_AmortizacionesTablaCliente)</f>
        <v>0</v>
      </c>
      <c r="E54" s="519">
        <f ca="1">INDEX(T_Merger!__Interes,_AmortizacionesTablaCliente)</f>
        <v>9.7770680440589784E-14</v>
      </c>
      <c r="F54" s="366">
        <f ca="1">INDEX(T_Merger!__IVA,_AmortizacionesTablaCliente)</f>
        <v>1.1732481652870774E-14</v>
      </c>
      <c r="G54" s="366">
        <f ca="1">INDEX(T_Merger!__Pago,_AmortizacionesTablaCliente)</f>
        <v>1.0950316209346055E-13</v>
      </c>
      <c r="H54" s="491">
        <v>0</v>
      </c>
      <c r="I54" s="367">
        <f ca="1">INDEX(T_Merger!__Saldo_Final,_AmortizacionesTablaCliente)</f>
        <v>9.0949470177292824E-12</v>
      </c>
    </row>
    <row r="55" spans="1:9" hidden="1">
      <c r="A55" s="364">
        <v>36</v>
      </c>
      <c r="B55" s="365">
        <f t="shared" ca="1" si="0"/>
        <v>43724</v>
      </c>
      <c r="C55" s="366">
        <f ca="1">INDEX(T_Merger!__Saldo_Inicial,_AmortizacionesTablaCliente)</f>
        <v>9.0949470177292824E-12</v>
      </c>
      <c r="D55" s="366">
        <f ca="1">INDEX(T_Merger!__Capital,_AmortizacionesTablaCliente)</f>
        <v>0</v>
      </c>
      <c r="E55" s="519">
        <f ca="1">INDEX(T_Merger!__Interes,_AmortizacionesTablaCliente)</f>
        <v>9.7770680440589784E-14</v>
      </c>
      <c r="F55" s="366">
        <f ca="1">INDEX(T_Merger!__IVA,_AmortizacionesTablaCliente)</f>
        <v>1.1732481652870774E-14</v>
      </c>
      <c r="G55" s="366">
        <f ca="1">INDEX(T_Merger!__Pago,_AmortizacionesTablaCliente)</f>
        <v>1.0950316209346055E-13</v>
      </c>
      <c r="H55" s="491">
        <v>0</v>
      </c>
      <c r="I55" s="367">
        <f ca="1">INDEX(T_Merger!__Saldo_Final,_AmortizacionesTablaCliente)</f>
        <v>9.0949470177292824E-12</v>
      </c>
    </row>
    <row r="56" spans="1:9" hidden="1">
      <c r="A56" s="364">
        <v>37</v>
      </c>
      <c r="B56" s="365">
        <f t="shared" ca="1" si="0"/>
        <v>43754</v>
      </c>
      <c r="C56" s="366">
        <f ca="1">INDEX(T_Merger!__Saldo_Inicial,_AmortizacionesTablaCliente)</f>
        <v>9.0949470177292824E-12</v>
      </c>
      <c r="D56" s="366">
        <f ca="1">INDEX(T_Merger!__Capital,_AmortizacionesTablaCliente)</f>
        <v>0</v>
      </c>
      <c r="E56" s="519">
        <f ca="1">INDEX(T_Merger!__Interes,_AmortizacionesTablaCliente)</f>
        <v>9.7770680440589784E-14</v>
      </c>
      <c r="F56" s="366">
        <f ca="1">INDEX(T_Merger!__IVA,_AmortizacionesTablaCliente)</f>
        <v>1.1732481652870774E-14</v>
      </c>
      <c r="G56" s="366">
        <f ca="1">INDEX(T_Merger!__Pago,_AmortizacionesTablaCliente)</f>
        <v>1.0950316209346055E-13</v>
      </c>
      <c r="H56" s="491">
        <v>0</v>
      </c>
      <c r="I56" s="367">
        <f ca="1">INDEX(T_Merger!__Saldo_Final,_AmortizacionesTablaCliente)</f>
        <v>9.0949470177292824E-12</v>
      </c>
    </row>
    <row r="57" spans="1:9" hidden="1">
      <c r="A57" s="364">
        <v>38</v>
      </c>
      <c r="B57" s="365">
        <f t="shared" ca="1" si="0"/>
        <v>43785</v>
      </c>
      <c r="C57" s="366">
        <f ca="1">INDEX(T_Merger!__Saldo_Inicial,_AmortizacionesTablaCliente)</f>
        <v>9.0949470177292824E-12</v>
      </c>
      <c r="D57" s="366">
        <f ca="1">INDEX(T_Merger!__Capital,_AmortizacionesTablaCliente)</f>
        <v>0</v>
      </c>
      <c r="E57" s="519">
        <f ca="1">INDEX(T_Merger!__Interes,_AmortizacionesTablaCliente)</f>
        <v>9.7770680440589784E-14</v>
      </c>
      <c r="F57" s="366">
        <f ca="1">INDEX(T_Merger!__IVA,_AmortizacionesTablaCliente)</f>
        <v>1.1732481652870774E-14</v>
      </c>
      <c r="G57" s="366">
        <f ca="1">INDEX(T_Merger!__Pago,_AmortizacionesTablaCliente)</f>
        <v>1.0950316209346055E-13</v>
      </c>
      <c r="H57" s="491">
        <v>0</v>
      </c>
      <c r="I57" s="367">
        <f ca="1">INDEX(T_Merger!__Saldo_Final,_AmortizacionesTablaCliente)</f>
        <v>9.0949470177292824E-12</v>
      </c>
    </row>
    <row r="58" spans="1:9" hidden="1">
      <c r="A58" s="364">
        <v>39</v>
      </c>
      <c r="B58" s="365">
        <f t="shared" ca="1" si="0"/>
        <v>43815</v>
      </c>
      <c r="C58" s="366">
        <f ca="1">INDEX(T_Merger!__Saldo_Inicial,_AmortizacionesTablaCliente)</f>
        <v>9.0949470177292824E-12</v>
      </c>
      <c r="D58" s="366">
        <f ca="1">INDEX(T_Merger!__Capital,_AmortizacionesTablaCliente)</f>
        <v>0</v>
      </c>
      <c r="E58" s="519">
        <f ca="1">INDEX(T_Merger!__Interes,_AmortizacionesTablaCliente)</f>
        <v>9.7770680440589784E-14</v>
      </c>
      <c r="F58" s="366">
        <f ca="1">INDEX(T_Merger!__IVA,_AmortizacionesTablaCliente)</f>
        <v>1.1732481652870774E-14</v>
      </c>
      <c r="G58" s="366">
        <f ca="1">INDEX(T_Merger!__Pago,_AmortizacionesTablaCliente)</f>
        <v>1.0950316209346055E-13</v>
      </c>
      <c r="H58" s="491">
        <v>0</v>
      </c>
      <c r="I58" s="367">
        <f ca="1">INDEX(T_Merger!__Saldo_Final,_AmortizacionesTablaCliente)</f>
        <v>9.0949470177292824E-12</v>
      </c>
    </row>
    <row r="59" spans="1:9" hidden="1">
      <c r="A59" s="364">
        <v>40</v>
      </c>
      <c r="B59" s="365">
        <f t="shared" ca="1" si="0"/>
        <v>43846</v>
      </c>
      <c r="C59" s="366">
        <f ca="1">INDEX(T_Merger!__Saldo_Inicial,_AmortizacionesTablaCliente)</f>
        <v>9.0949470177292824E-12</v>
      </c>
      <c r="D59" s="366">
        <f ca="1">INDEX(T_Merger!__Capital,_AmortizacionesTablaCliente)</f>
        <v>0</v>
      </c>
      <c r="E59" s="519">
        <f ca="1">INDEX(T_Merger!__Interes,_AmortizacionesTablaCliente)</f>
        <v>9.7770680440589784E-14</v>
      </c>
      <c r="F59" s="366">
        <f ca="1">INDEX(T_Merger!__IVA,_AmortizacionesTablaCliente)</f>
        <v>1.1732481652870774E-14</v>
      </c>
      <c r="G59" s="366">
        <f ca="1">INDEX(T_Merger!__Pago,_AmortizacionesTablaCliente)</f>
        <v>1.0950316209346055E-13</v>
      </c>
      <c r="H59" s="491">
        <v>0</v>
      </c>
      <c r="I59" s="367">
        <f ca="1">INDEX(T_Merger!__Saldo_Final,_AmortizacionesTablaCliente)</f>
        <v>9.0949470177292824E-12</v>
      </c>
    </row>
    <row r="60" spans="1:9" hidden="1">
      <c r="A60" s="364">
        <v>41</v>
      </c>
      <c r="B60" s="365">
        <f t="shared" ca="1" si="0"/>
        <v>43877</v>
      </c>
      <c r="C60" s="366">
        <f ca="1">INDEX(T_Merger!__Saldo_Inicial,_AmortizacionesTablaCliente)</f>
        <v>9.0949470177292824E-12</v>
      </c>
      <c r="D60" s="366">
        <f ca="1">INDEX(T_Merger!__Capital,_AmortizacionesTablaCliente)</f>
        <v>0</v>
      </c>
      <c r="E60" s="519">
        <f ca="1">INDEX(T_Merger!__Interes,_AmortizacionesTablaCliente)</f>
        <v>9.7770680440589784E-14</v>
      </c>
      <c r="F60" s="366">
        <f ca="1">INDEX(T_Merger!__IVA,_AmortizacionesTablaCliente)</f>
        <v>1.1732481652870774E-14</v>
      </c>
      <c r="G60" s="366">
        <f ca="1">INDEX(T_Merger!__Pago,_AmortizacionesTablaCliente)</f>
        <v>1.0950316209346055E-13</v>
      </c>
      <c r="H60" s="491">
        <v>0</v>
      </c>
      <c r="I60" s="367">
        <f ca="1">INDEX(T_Merger!__Saldo_Final,_AmortizacionesTablaCliente)</f>
        <v>9.0949470177292824E-12</v>
      </c>
    </row>
    <row r="61" spans="1:9" hidden="1">
      <c r="A61" s="364">
        <v>42</v>
      </c>
      <c r="B61" s="365">
        <f t="shared" ca="1" si="0"/>
        <v>43906</v>
      </c>
      <c r="C61" s="366">
        <f ca="1">INDEX(T_Merger!__Saldo_Inicial,_AmortizacionesTablaCliente)</f>
        <v>9.0949470177292824E-12</v>
      </c>
      <c r="D61" s="366">
        <f ca="1">INDEX(T_Merger!__Capital,_AmortizacionesTablaCliente)</f>
        <v>0</v>
      </c>
      <c r="E61" s="519">
        <f ca="1">INDEX(T_Merger!__Interes,_AmortizacionesTablaCliente)</f>
        <v>9.7770680440589784E-14</v>
      </c>
      <c r="F61" s="366">
        <f ca="1">INDEX(T_Merger!__IVA,_AmortizacionesTablaCliente)</f>
        <v>1.1732481652870774E-14</v>
      </c>
      <c r="G61" s="366">
        <f ca="1">INDEX(T_Merger!__Pago,_AmortizacionesTablaCliente)</f>
        <v>1.0950316209346055E-13</v>
      </c>
      <c r="H61" s="491">
        <v>0</v>
      </c>
      <c r="I61" s="367">
        <f ca="1">INDEX(T_Merger!__Saldo_Final,_AmortizacionesTablaCliente)</f>
        <v>9.0949470177292824E-12</v>
      </c>
    </row>
    <row r="62" spans="1:9" hidden="1">
      <c r="A62" s="364">
        <v>43</v>
      </c>
      <c r="B62" s="365">
        <f t="shared" ca="1" si="0"/>
        <v>43937</v>
      </c>
      <c r="C62" s="366">
        <f ca="1">INDEX(T_Merger!__Saldo_Inicial,_AmortizacionesTablaCliente)</f>
        <v>9.0949470177292824E-12</v>
      </c>
      <c r="D62" s="366">
        <f ca="1">INDEX(T_Merger!__Capital,_AmortizacionesTablaCliente)</f>
        <v>0</v>
      </c>
      <c r="E62" s="519">
        <f ca="1">INDEX(T_Merger!__Interes,_AmortizacionesTablaCliente)</f>
        <v>9.7770680440589784E-14</v>
      </c>
      <c r="F62" s="366">
        <f ca="1">INDEX(T_Merger!__IVA,_AmortizacionesTablaCliente)</f>
        <v>1.1732481652870774E-14</v>
      </c>
      <c r="G62" s="366">
        <f ca="1">INDEX(T_Merger!__Pago,_AmortizacionesTablaCliente)</f>
        <v>1.0950316209346055E-13</v>
      </c>
      <c r="H62" s="491">
        <v>0</v>
      </c>
      <c r="I62" s="367">
        <f ca="1">INDEX(T_Merger!__Saldo_Final,_AmortizacionesTablaCliente)</f>
        <v>9.0949470177292824E-12</v>
      </c>
    </row>
    <row r="63" spans="1:9" hidden="1">
      <c r="A63" s="364">
        <v>44</v>
      </c>
      <c r="B63" s="365">
        <f t="shared" ca="1" si="0"/>
        <v>43967</v>
      </c>
      <c r="C63" s="366">
        <f ca="1">INDEX(T_Merger!__Saldo_Inicial,_AmortizacionesTablaCliente)</f>
        <v>9.0949470177292824E-12</v>
      </c>
      <c r="D63" s="366">
        <f ca="1">INDEX(T_Merger!__Capital,_AmortizacionesTablaCliente)</f>
        <v>0</v>
      </c>
      <c r="E63" s="519">
        <f ca="1">INDEX(T_Merger!__Interes,_AmortizacionesTablaCliente)</f>
        <v>9.7770680440589784E-14</v>
      </c>
      <c r="F63" s="366">
        <f ca="1">INDEX(T_Merger!__IVA,_AmortizacionesTablaCliente)</f>
        <v>1.1732481652870774E-14</v>
      </c>
      <c r="G63" s="366">
        <f ca="1">INDEX(T_Merger!__Pago,_AmortizacionesTablaCliente)</f>
        <v>1.0950316209346055E-13</v>
      </c>
      <c r="H63" s="491">
        <v>0</v>
      </c>
      <c r="I63" s="367">
        <f ca="1">INDEX(T_Merger!__Saldo_Final,_AmortizacionesTablaCliente)</f>
        <v>9.0949470177292824E-12</v>
      </c>
    </row>
    <row r="64" spans="1:9" hidden="1">
      <c r="A64" s="364">
        <v>45</v>
      </c>
      <c r="B64" s="365">
        <f t="shared" ca="1" si="0"/>
        <v>43998</v>
      </c>
      <c r="C64" s="366">
        <f ca="1">INDEX(T_Merger!__Saldo_Inicial,_AmortizacionesTablaCliente)</f>
        <v>9.0949470177292824E-12</v>
      </c>
      <c r="D64" s="366">
        <f ca="1">INDEX(T_Merger!__Capital,_AmortizacionesTablaCliente)</f>
        <v>0</v>
      </c>
      <c r="E64" s="519">
        <f ca="1">INDEX(T_Merger!__Interes,_AmortizacionesTablaCliente)</f>
        <v>9.7770680440589784E-14</v>
      </c>
      <c r="F64" s="366">
        <f ca="1">INDEX(T_Merger!__IVA,_AmortizacionesTablaCliente)</f>
        <v>1.1732481652870774E-14</v>
      </c>
      <c r="G64" s="366">
        <f ca="1">INDEX(T_Merger!__Pago,_AmortizacionesTablaCliente)</f>
        <v>1.0950316209346055E-13</v>
      </c>
      <c r="H64" s="491">
        <v>0</v>
      </c>
      <c r="I64" s="367">
        <f ca="1">INDEX(T_Merger!__Saldo_Final,_AmortizacionesTablaCliente)</f>
        <v>9.0949470177292824E-12</v>
      </c>
    </row>
    <row r="65" spans="1:10" hidden="1">
      <c r="A65" s="364">
        <v>46</v>
      </c>
      <c r="B65" s="365">
        <f t="shared" ca="1" si="0"/>
        <v>44028</v>
      </c>
      <c r="C65" s="366">
        <f ca="1">INDEX(T_Merger!__Saldo_Inicial,_AmortizacionesTablaCliente)</f>
        <v>9.0949470177292824E-12</v>
      </c>
      <c r="D65" s="366">
        <f ca="1">INDEX(T_Merger!__Capital,_AmortizacionesTablaCliente)</f>
        <v>0</v>
      </c>
      <c r="E65" s="519">
        <f ca="1">INDEX(T_Merger!__Interes,_AmortizacionesTablaCliente)</f>
        <v>9.7770680440589784E-14</v>
      </c>
      <c r="F65" s="366">
        <f ca="1">INDEX(T_Merger!__IVA,_AmortizacionesTablaCliente)</f>
        <v>1.1732481652870774E-14</v>
      </c>
      <c r="G65" s="366">
        <f ca="1">INDEX(T_Merger!__Pago,_AmortizacionesTablaCliente)</f>
        <v>1.0950316209346055E-13</v>
      </c>
      <c r="H65" s="491">
        <v>0</v>
      </c>
      <c r="I65" s="367">
        <f ca="1">INDEX(T_Merger!__Saldo_Final,_AmortizacionesTablaCliente)</f>
        <v>9.0949470177292824E-12</v>
      </c>
    </row>
    <row r="66" spans="1:10" hidden="1">
      <c r="A66" s="364">
        <v>47</v>
      </c>
      <c r="B66" s="365">
        <f t="shared" ca="1" si="0"/>
        <v>44059</v>
      </c>
      <c r="C66" s="366">
        <f ca="1">INDEX(T_Merger!__Saldo_Inicial,_AmortizacionesTablaCliente)</f>
        <v>9.0949470177292824E-12</v>
      </c>
      <c r="D66" s="366">
        <f ca="1">INDEX(T_Merger!__Capital,_AmortizacionesTablaCliente)</f>
        <v>0</v>
      </c>
      <c r="E66" s="519">
        <f ca="1">INDEX(T_Merger!__Interes,_AmortizacionesTablaCliente)</f>
        <v>9.7770680440589784E-14</v>
      </c>
      <c r="F66" s="366">
        <f ca="1">INDEX(T_Merger!__IVA,_AmortizacionesTablaCliente)</f>
        <v>1.1732481652870774E-14</v>
      </c>
      <c r="G66" s="366">
        <f ca="1">INDEX(T_Merger!__Pago,_AmortizacionesTablaCliente)</f>
        <v>1.0950316209346055E-13</v>
      </c>
      <c r="H66" s="491">
        <v>0</v>
      </c>
      <c r="I66" s="367">
        <f ca="1">INDEX(T_Merger!__Saldo_Final,_AmortizacionesTablaCliente)</f>
        <v>9.0949470177292824E-12</v>
      </c>
    </row>
    <row r="67" spans="1:10" hidden="1">
      <c r="A67" s="364">
        <v>48</v>
      </c>
      <c r="B67" s="365">
        <f t="shared" ca="1" si="0"/>
        <v>44090</v>
      </c>
      <c r="C67" s="366">
        <f ca="1">INDEX(T_Merger!__Saldo_Inicial,_AmortizacionesTablaCliente)</f>
        <v>9.0949470177292824E-12</v>
      </c>
      <c r="D67" s="366">
        <f ca="1">INDEX(T_Merger!__Capital,_AmortizacionesTablaCliente)</f>
        <v>0</v>
      </c>
      <c r="E67" s="519">
        <f ca="1">INDEX(T_Merger!__Interes,_AmortizacionesTablaCliente)</f>
        <v>9.7770680440589784E-14</v>
      </c>
      <c r="F67" s="366">
        <f ca="1">INDEX(T_Merger!__IVA,_AmortizacionesTablaCliente)</f>
        <v>1.1732481652870774E-14</v>
      </c>
      <c r="G67" s="366">
        <f ca="1">INDEX(T_Merger!__Pago,_AmortizacionesTablaCliente)</f>
        <v>1.0950316209346055E-13</v>
      </c>
      <c r="H67" s="491">
        <v>0</v>
      </c>
      <c r="I67" s="367">
        <f ca="1">INDEX(T_Merger!__Saldo_Final,_AmortizacionesTablaCliente)</f>
        <v>9.0949470177292824E-12</v>
      </c>
    </row>
    <row r="68" spans="1:10" hidden="1">
      <c r="A68" s="364">
        <v>49</v>
      </c>
      <c r="B68" s="365">
        <f t="shared" ca="1" si="0"/>
        <v>44120</v>
      </c>
      <c r="C68" s="366">
        <f ca="1">INDEX(T_Merger!__Saldo_Inicial,_AmortizacionesTablaCliente)</f>
        <v>9.0949470177292824E-12</v>
      </c>
      <c r="D68" s="366">
        <f ca="1">INDEX(T_Merger!__Capital,_AmortizacionesTablaCliente)</f>
        <v>0</v>
      </c>
      <c r="E68" s="519">
        <f ca="1">INDEX(T_Merger!__Interes,_AmortizacionesTablaCliente)</f>
        <v>9.7770680440589784E-14</v>
      </c>
      <c r="F68" s="366">
        <f ca="1">INDEX(T_Merger!__IVA,_AmortizacionesTablaCliente)</f>
        <v>1.1732481652870774E-14</v>
      </c>
      <c r="G68" s="366">
        <f ca="1">INDEX(T_Merger!__Pago,_AmortizacionesTablaCliente)</f>
        <v>1.0950316209346055E-13</v>
      </c>
      <c r="H68" s="491">
        <v>0</v>
      </c>
      <c r="I68" s="367">
        <f ca="1">INDEX(T_Merger!__Saldo_Final,_AmortizacionesTablaCliente)</f>
        <v>9.0949470177292824E-12</v>
      </c>
    </row>
    <row r="69" spans="1:10" hidden="1">
      <c r="A69" s="364">
        <v>50</v>
      </c>
      <c r="B69" s="365">
        <f t="shared" ca="1" si="0"/>
        <v>44151</v>
      </c>
      <c r="C69" s="366">
        <f ca="1">INDEX(T_Merger!__Saldo_Inicial,_AmortizacionesTablaCliente)</f>
        <v>9.0949470177292824E-12</v>
      </c>
      <c r="D69" s="366">
        <f ca="1">INDEX(T_Merger!__Capital,_AmortizacionesTablaCliente)</f>
        <v>0</v>
      </c>
      <c r="E69" s="519">
        <f ca="1">INDEX(T_Merger!__Interes,_AmortizacionesTablaCliente)</f>
        <v>9.7770680440589784E-14</v>
      </c>
      <c r="F69" s="366">
        <f ca="1">INDEX(T_Merger!__IVA,_AmortizacionesTablaCliente)</f>
        <v>1.1732481652870774E-14</v>
      </c>
      <c r="G69" s="366">
        <f ca="1">INDEX(T_Merger!__Pago,_AmortizacionesTablaCliente)</f>
        <v>1.0950316209346055E-13</v>
      </c>
      <c r="H69" s="491">
        <v>0</v>
      </c>
      <c r="I69" s="367">
        <f ca="1">INDEX(T_Merger!__Saldo_Final,_AmortizacionesTablaCliente)</f>
        <v>9.0949470177292824E-12</v>
      </c>
    </row>
    <row r="70" spans="1:10" hidden="1">
      <c r="A70" s="364">
        <v>51</v>
      </c>
      <c r="B70" s="365">
        <f t="shared" ca="1" si="0"/>
        <v>44181</v>
      </c>
      <c r="C70" s="366">
        <f ca="1">INDEX(T_Merger!__Saldo_Inicial,_AmortizacionesTablaCliente)</f>
        <v>9.0949470177292824E-12</v>
      </c>
      <c r="D70" s="366">
        <f ca="1">INDEX(T_Merger!__Capital,_AmortizacionesTablaCliente)</f>
        <v>0</v>
      </c>
      <c r="E70" s="519">
        <f ca="1">INDEX(T_Merger!__Interes,_AmortizacionesTablaCliente)</f>
        <v>9.7770680440589784E-14</v>
      </c>
      <c r="F70" s="366">
        <f ca="1">INDEX(T_Merger!__IVA,_AmortizacionesTablaCliente)</f>
        <v>1.1732481652870774E-14</v>
      </c>
      <c r="G70" s="366">
        <f ca="1">INDEX(T_Merger!__Pago,_AmortizacionesTablaCliente)</f>
        <v>1.0950316209346055E-13</v>
      </c>
      <c r="H70" s="491">
        <v>0</v>
      </c>
      <c r="I70" s="367">
        <f ca="1">INDEX(T_Merger!__Saldo_Final,_AmortizacionesTablaCliente)</f>
        <v>9.0949470177292824E-12</v>
      </c>
    </row>
    <row r="71" spans="1:10" hidden="1">
      <c r="A71" s="364">
        <v>52</v>
      </c>
      <c r="B71" s="365">
        <f t="shared" ca="1" si="0"/>
        <v>44212</v>
      </c>
      <c r="C71" s="366">
        <f ca="1">INDEX(T_Merger!__Saldo_Inicial,_AmortizacionesTablaCliente)</f>
        <v>9.0949470177292824E-12</v>
      </c>
      <c r="D71" s="366">
        <f ca="1">INDEX(T_Merger!__Capital,_AmortizacionesTablaCliente)</f>
        <v>0</v>
      </c>
      <c r="E71" s="519">
        <f ca="1">INDEX(T_Merger!__Interes,_AmortizacionesTablaCliente)</f>
        <v>9.7770680440589784E-14</v>
      </c>
      <c r="F71" s="366">
        <f ca="1">INDEX(T_Merger!__IVA,_AmortizacionesTablaCliente)</f>
        <v>1.1732481652870774E-14</v>
      </c>
      <c r="G71" s="366">
        <f ca="1">INDEX(T_Merger!__Pago,_AmortizacionesTablaCliente)</f>
        <v>1.0950316209346055E-13</v>
      </c>
      <c r="H71" s="491">
        <v>0</v>
      </c>
      <c r="I71" s="367">
        <f ca="1">INDEX(T_Merger!__Saldo_Final,_AmortizacionesTablaCliente)</f>
        <v>9.0949470177292824E-12</v>
      </c>
    </row>
    <row r="72" spans="1:10" hidden="1">
      <c r="A72" s="364">
        <v>53</v>
      </c>
      <c r="B72" s="365">
        <f t="shared" ca="1" si="0"/>
        <v>44243</v>
      </c>
      <c r="C72" s="366">
        <f ca="1">INDEX(T_Merger!__Saldo_Inicial,_AmortizacionesTablaCliente)</f>
        <v>9.0949470177292824E-12</v>
      </c>
      <c r="D72" s="366">
        <f ca="1">INDEX(T_Merger!__Capital,_AmortizacionesTablaCliente)</f>
        <v>0</v>
      </c>
      <c r="E72" s="519">
        <f ca="1">INDEX(T_Merger!__Interes,_AmortizacionesTablaCliente)</f>
        <v>9.7770680440589784E-14</v>
      </c>
      <c r="F72" s="366">
        <f ca="1">INDEX(T_Merger!__IVA,_AmortizacionesTablaCliente)</f>
        <v>1.1732481652870774E-14</v>
      </c>
      <c r="G72" s="366">
        <f ca="1">INDEX(T_Merger!__Pago,_AmortizacionesTablaCliente)</f>
        <v>1.0950316209346055E-13</v>
      </c>
      <c r="H72" s="491">
        <v>0</v>
      </c>
      <c r="I72" s="367">
        <f ca="1">INDEX(T_Merger!__Saldo_Final,_AmortizacionesTablaCliente)</f>
        <v>9.0949470177292824E-12</v>
      </c>
    </row>
    <row r="73" spans="1:10" hidden="1">
      <c r="A73" s="364">
        <v>54</v>
      </c>
      <c r="B73" s="365">
        <f t="shared" ca="1" si="0"/>
        <v>44271</v>
      </c>
      <c r="C73" s="366">
        <f ca="1">INDEX(T_Merger!__Saldo_Inicial,_AmortizacionesTablaCliente)</f>
        <v>9.0949470177292824E-12</v>
      </c>
      <c r="D73" s="366">
        <f ca="1">INDEX(T_Merger!__Capital,_AmortizacionesTablaCliente)</f>
        <v>0</v>
      </c>
      <c r="E73" s="519">
        <f ca="1">INDEX(T_Merger!__Interes,_AmortizacionesTablaCliente)</f>
        <v>9.7770680440589784E-14</v>
      </c>
      <c r="F73" s="366">
        <f ca="1">INDEX(T_Merger!__IVA,_AmortizacionesTablaCliente)</f>
        <v>1.1732481652870774E-14</v>
      </c>
      <c r="G73" s="366">
        <f ca="1">INDEX(T_Merger!__Pago,_AmortizacionesTablaCliente)</f>
        <v>1.0950316209346055E-13</v>
      </c>
      <c r="H73" s="491">
        <v>0</v>
      </c>
      <c r="I73" s="367">
        <f ca="1">INDEX(T_Merger!__Saldo_Final,_AmortizacionesTablaCliente)</f>
        <v>9.0949470177292824E-12</v>
      </c>
    </row>
    <row r="74" spans="1:10" hidden="1">
      <c r="A74" s="364">
        <v>55</v>
      </c>
      <c r="B74" s="365">
        <f t="shared" ca="1" si="0"/>
        <v>44302</v>
      </c>
      <c r="C74" s="366">
        <f ca="1">INDEX(T_Merger!__Saldo_Inicial,_AmortizacionesTablaCliente)</f>
        <v>9.0949470177292824E-12</v>
      </c>
      <c r="D74" s="366">
        <f ca="1">INDEX(T_Merger!__Capital,_AmortizacionesTablaCliente)</f>
        <v>0</v>
      </c>
      <c r="E74" s="519">
        <f ca="1">INDEX(T_Merger!__Interes,_AmortizacionesTablaCliente)</f>
        <v>9.7770680440589784E-14</v>
      </c>
      <c r="F74" s="366">
        <f ca="1">INDEX(T_Merger!__IVA,_AmortizacionesTablaCliente)</f>
        <v>1.1732481652870774E-14</v>
      </c>
      <c r="G74" s="366">
        <f ca="1">INDEX(T_Merger!__Pago,_AmortizacionesTablaCliente)</f>
        <v>1.0950316209346055E-13</v>
      </c>
      <c r="H74" s="491">
        <v>0</v>
      </c>
      <c r="I74" s="367">
        <f ca="1">INDEX(T_Merger!__Saldo_Final,_AmortizacionesTablaCliente)</f>
        <v>9.0949470177292824E-12</v>
      </c>
    </row>
    <row r="75" spans="1:10" hidden="1">
      <c r="A75" s="364">
        <v>56</v>
      </c>
      <c r="B75" s="365">
        <f t="shared" ca="1" si="0"/>
        <v>44332</v>
      </c>
      <c r="C75" s="366">
        <f ca="1">INDEX(T_Merger!__Saldo_Inicial,_AmortizacionesTablaCliente)</f>
        <v>9.0949470177292824E-12</v>
      </c>
      <c r="D75" s="366">
        <f ca="1">INDEX(T_Merger!__Capital,_AmortizacionesTablaCliente)</f>
        <v>0</v>
      </c>
      <c r="E75" s="519">
        <f ca="1">INDEX(T_Merger!__Interes,_AmortizacionesTablaCliente)</f>
        <v>9.7770680440589784E-14</v>
      </c>
      <c r="F75" s="366">
        <f ca="1">INDEX(T_Merger!__IVA,_AmortizacionesTablaCliente)</f>
        <v>1.1732481652870774E-14</v>
      </c>
      <c r="G75" s="366">
        <f ca="1">INDEX(T_Merger!__Pago,_AmortizacionesTablaCliente)</f>
        <v>1.0950316209346055E-13</v>
      </c>
      <c r="H75" s="491">
        <v>0</v>
      </c>
      <c r="I75" s="367">
        <f ca="1">INDEX(T_Merger!__Saldo_Final,_AmortizacionesTablaCliente)</f>
        <v>9.0949470177292824E-12</v>
      </c>
    </row>
    <row r="76" spans="1:10" hidden="1">
      <c r="A76" s="364">
        <v>57</v>
      </c>
      <c r="B76" s="365">
        <f t="shared" ca="1" si="0"/>
        <v>44363</v>
      </c>
      <c r="C76" s="366">
        <f ca="1">INDEX(T_Merger!__Saldo_Inicial,_AmortizacionesTablaCliente)</f>
        <v>9.0949470177292824E-12</v>
      </c>
      <c r="D76" s="366">
        <f ca="1">INDEX(T_Merger!__Capital,_AmortizacionesTablaCliente)</f>
        <v>0</v>
      </c>
      <c r="E76" s="519">
        <f ca="1">INDEX(T_Merger!__Interes,_AmortizacionesTablaCliente)</f>
        <v>9.7770680440589784E-14</v>
      </c>
      <c r="F76" s="366">
        <f ca="1">INDEX(T_Merger!__IVA,_AmortizacionesTablaCliente)</f>
        <v>1.1732481652870774E-14</v>
      </c>
      <c r="G76" s="366">
        <f ca="1">INDEX(T_Merger!__Pago,_AmortizacionesTablaCliente)</f>
        <v>1.0950316209346055E-13</v>
      </c>
      <c r="H76" s="491">
        <v>0</v>
      </c>
      <c r="I76" s="367">
        <f ca="1">INDEX(T_Merger!__Saldo_Final,_AmortizacionesTablaCliente)</f>
        <v>9.0949470177292824E-12</v>
      </c>
    </row>
    <row r="77" spans="1:10" hidden="1">
      <c r="A77" s="364">
        <v>58</v>
      </c>
      <c r="B77" s="365">
        <f t="shared" ca="1" si="0"/>
        <v>44393</v>
      </c>
      <c r="C77" s="366">
        <f ca="1">INDEX(T_Merger!__Saldo_Inicial,_AmortizacionesTablaCliente)</f>
        <v>9.0949470177292824E-12</v>
      </c>
      <c r="D77" s="366">
        <f ca="1">INDEX(T_Merger!__Capital,_AmortizacionesTablaCliente)</f>
        <v>0</v>
      </c>
      <c r="E77" s="519">
        <f ca="1">INDEX(T_Merger!__Interes,_AmortizacionesTablaCliente)</f>
        <v>9.7770680440589784E-14</v>
      </c>
      <c r="F77" s="366">
        <f ca="1">INDEX(T_Merger!__IVA,_AmortizacionesTablaCliente)</f>
        <v>1.1732481652870774E-14</v>
      </c>
      <c r="G77" s="366">
        <f ca="1">INDEX(T_Merger!__Pago,_AmortizacionesTablaCliente)</f>
        <v>1.0950316209346055E-13</v>
      </c>
      <c r="H77" s="491">
        <v>0</v>
      </c>
      <c r="I77" s="367">
        <f ca="1">INDEX(T_Merger!__Saldo_Final,_AmortizacionesTablaCliente)</f>
        <v>9.0949470177292824E-12</v>
      </c>
      <c r="J77" s="520"/>
    </row>
    <row r="78" spans="1:10" hidden="1">
      <c r="A78" s="364">
        <v>59</v>
      </c>
      <c r="B78" s="365">
        <f t="shared" ca="1" si="0"/>
        <v>44424</v>
      </c>
      <c r="C78" s="366">
        <f ca="1">INDEX(T_Merger!__Saldo_Inicial,_AmortizacionesTablaCliente)</f>
        <v>9.0949470177292824E-12</v>
      </c>
      <c r="D78" s="366">
        <f ca="1">INDEX(T_Merger!__Capital,_AmortizacionesTablaCliente)</f>
        <v>0</v>
      </c>
      <c r="E78" s="519">
        <f ca="1">INDEX(T_Merger!__Interes,_AmortizacionesTablaCliente)</f>
        <v>9.7770680440589784E-14</v>
      </c>
      <c r="F78" s="366">
        <f ca="1">INDEX(T_Merger!__IVA,_AmortizacionesTablaCliente)</f>
        <v>1.1732481652870774E-14</v>
      </c>
      <c r="G78" s="366">
        <f ca="1">INDEX(T_Merger!__Pago,_AmortizacionesTablaCliente)</f>
        <v>1.0950316209346055E-13</v>
      </c>
      <c r="H78" s="491">
        <v>0</v>
      </c>
      <c r="I78" s="367">
        <f ca="1">INDEX(T_Merger!__Saldo_Final,_AmortizacionesTablaCliente)</f>
        <v>9.0949470177292824E-12</v>
      </c>
    </row>
    <row r="79" spans="1:10" hidden="1">
      <c r="A79" s="364">
        <v>60</v>
      </c>
      <c r="B79" s="365">
        <f t="shared" ca="1" si="0"/>
        <v>44455</v>
      </c>
      <c r="C79" s="366">
        <f ca="1">INDEX(T_Merger!__Saldo_Inicial,_AmortizacionesTablaCliente)</f>
        <v>9.0949470177292824E-12</v>
      </c>
      <c r="D79" s="366">
        <f ca="1">INDEX(T_Merger!__Capital,_AmortizacionesTablaCliente)</f>
        <v>0</v>
      </c>
      <c r="E79" s="519">
        <f ca="1">INDEX(T_Merger!__Interes,_AmortizacionesTablaCliente)</f>
        <v>9.7770680440589784E-14</v>
      </c>
      <c r="F79" s="366">
        <f ca="1">INDEX(T_Merger!__IVA,_AmortizacionesTablaCliente)</f>
        <v>1.1732481652870774E-14</v>
      </c>
      <c r="G79" s="366">
        <f ca="1">INDEX(T_Merger!__Pago,_AmortizacionesTablaCliente)</f>
        <v>1.0950316209346055E-13</v>
      </c>
      <c r="H79" s="491">
        <v>0</v>
      </c>
      <c r="I79" s="367">
        <f ca="1">INDEX(T_Merger!__Saldo_Final,_AmortizacionesTablaCliente)</f>
        <v>9.0949470177292824E-12</v>
      </c>
    </row>
    <row r="80" spans="1:10" hidden="1">
      <c r="A80" s="364">
        <v>61</v>
      </c>
      <c r="B80" s="365">
        <f t="shared" ca="1" si="0"/>
        <v>44485</v>
      </c>
      <c r="C80" s="366">
        <f ca="1">INDEX(T_Merger!__Saldo_Inicial,_AmortizacionesTablaCliente)</f>
        <v>9.0949470177292824E-12</v>
      </c>
      <c r="D80" s="366">
        <f ca="1">INDEX(T_Merger!__Capital,_AmortizacionesTablaCliente)</f>
        <v>0</v>
      </c>
      <c r="E80" s="519">
        <f ca="1">INDEX(T_Merger!__Interes,_AmortizacionesTablaCliente)</f>
        <v>9.7770680440589784E-14</v>
      </c>
      <c r="F80" s="366">
        <f ca="1">INDEX(T_Merger!__IVA,_AmortizacionesTablaCliente)</f>
        <v>1.1732481652870774E-14</v>
      </c>
      <c r="G80" s="366">
        <f ca="1">INDEX(T_Merger!__Pago,_AmortizacionesTablaCliente)</f>
        <v>1.0950316209346055E-13</v>
      </c>
      <c r="H80" s="491">
        <v>0</v>
      </c>
      <c r="I80" s="367">
        <f ca="1">INDEX(T_Merger!__Saldo_Final,_AmortizacionesTablaCliente)</f>
        <v>9.0949470177292824E-12</v>
      </c>
    </row>
    <row r="81" spans="1:9" hidden="1">
      <c r="A81" s="364">
        <v>62</v>
      </c>
      <c r="B81" s="365">
        <f t="shared" ca="1" si="0"/>
        <v>44516</v>
      </c>
      <c r="C81" s="366">
        <f ca="1">INDEX(T_Merger!__Saldo_Inicial,_AmortizacionesTablaCliente)</f>
        <v>9.0949470177292824E-12</v>
      </c>
      <c r="D81" s="366">
        <f ca="1">INDEX(T_Merger!__Capital,_AmortizacionesTablaCliente)</f>
        <v>0</v>
      </c>
      <c r="E81" s="519">
        <f ca="1">INDEX(T_Merger!__Interes,_AmortizacionesTablaCliente)</f>
        <v>9.7770680440589784E-14</v>
      </c>
      <c r="F81" s="366">
        <f ca="1">INDEX(T_Merger!__IVA,_AmortizacionesTablaCliente)</f>
        <v>1.1732481652870774E-14</v>
      </c>
      <c r="G81" s="366">
        <f ca="1">INDEX(T_Merger!__Pago,_AmortizacionesTablaCliente)</f>
        <v>1.0950316209346055E-13</v>
      </c>
      <c r="H81" s="491">
        <v>0</v>
      </c>
      <c r="I81" s="367">
        <f ca="1">INDEX(T_Merger!__Saldo_Final,_AmortizacionesTablaCliente)</f>
        <v>9.0949470177292824E-12</v>
      </c>
    </row>
    <row r="82" spans="1:9" hidden="1">
      <c r="A82" s="364">
        <v>63</v>
      </c>
      <c r="B82" s="365">
        <f t="shared" ca="1" si="0"/>
        <v>44546</v>
      </c>
      <c r="C82" s="366">
        <f ca="1">INDEX(T_Merger!__Saldo_Inicial,_AmortizacionesTablaCliente)</f>
        <v>9.0949470177292824E-12</v>
      </c>
      <c r="D82" s="366">
        <f ca="1">INDEX(T_Merger!__Capital,_AmortizacionesTablaCliente)</f>
        <v>0</v>
      </c>
      <c r="E82" s="519">
        <f ca="1">INDEX(T_Merger!__Interes,_AmortizacionesTablaCliente)</f>
        <v>9.7770680440589784E-14</v>
      </c>
      <c r="F82" s="366">
        <f ca="1">INDEX(T_Merger!__IVA,_AmortizacionesTablaCliente)</f>
        <v>1.1732481652870774E-14</v>
      </c>
      <c r="G82" s="366">
        <f ca="1">INDEX(T_Merger!__Pago,_AmortizacionesTablaCliente)</f>
        <v>1.0950316209346055E-13</v>
      </c>
      <c r="H82" s="491">
        <v>0</v>
      </c>
      <c r="I82" s="367">
        <f ca="1">INDEX(T_Merger!__Saldo_Final,_AmortizacionesTablaCliente)</f>
        <v>9.0949470177292824E-12</v>
      </c>
    </row>
    <row r="83" spans="1:9" hidden="1">
      <c r="A83" s="364">
        <v>64</v>
      </c>
      <c r="B83" s="365">
        <f t="shared" ca="1" si="0"/>
        <v>44577</v>
      </c>
      <c r="C83" s="366">
        <f ca="1">INDEX(T_Merger!__Saldo_Inicial,_AmortizacionesTablaCliente)</f>
        <v>9.0949470177292824E-12</v>
      </c>
      <c r="D83" s="366">
        <f ca="1">INDEX(T_Merger!__Capital,_AmortizacionesTablaCliente)</f>
        <v>0</v>
      </c>
      <c r="E83" s="519">
        <f ca="1">INDEX(T_Merger!__Interes,_AmortizacionesTablaCliente)</f>
        <v>9.7770680440589784E-14</v>
      </c>
      <c r="F83" s="366">
        <f ca="1">INDEX(T_Merger!__IVA,_AmortizacionesTablaCliente)</f>
        <v>1.1732481652870774E-14</v>
      </c>
      <c r="G83" s="366">
        <f ca="1">INDEX(T_Merger!__Pago,_AmortizacionesTablaCliente)</f>
        <v>1.0950316209346055E-13</v>
      </c>
      <c r="H83" s="491">
        <v>0</v>
      </c>
      <c r="I83" s="367">
        <f ca="1">INDEX(T_Merger!__Saldo_Final,_AmortizacionesTablaCliente)</f>
        <v>9.0949470177292824E-12</v>
      </c>
    </row>
    <row r="84" spans="1:9" hidden="1">
      <c r="A84" s="364">
        <v>65</v>
      </c>
      <c r="B84" s="365">
        <f t="shared" ref="B84:B147" ca="1" si="1">INDEX(Fechas_Pago,_AmortizacionesTablaCliente)</f>
        <v>44608</v>
      </c>
      <c r="C84" s="366">
        <f ca="1">INDEX(T_Merger!__Saldo_Inicial,_AmortizacionesTablaCliente)</f>
        <v>9.0949470177292824E-12</v>
      </c>
      <c r="D84" s="366">
        <f ca="1">INDEX(T_Merger!__Capital,_AmortizacionesTablaCliente)</f>
        <v>0</v>
      </c>
      <c r="E84" s="519">
        <f ca="1">INDEX(T_Merger!__Interes,_AmortizacionesTablaCliente)</f>
        <v>9.7770680440589784E-14</v>
      </c>
      <c r="F84" s="366">
        <f ca="1">INDEX(T_Merger!__IVA,_AmortizacionesTablaCliente)</f>
        <v>1.1732481652870774E-14</v>
      </c>
      <c r="G84" s="366">
        <f ca="1">INDEX(T_Merger!__Pago,_AmortizacionesTablaCliente)</f>
        <v>1.0950316209346055E-13</v>
      </c>
      <c r="H84" s="491">
        <v>0</v>
      </c>
      <c r="I84" s="367">
        <f ca="1">INDEX(T_Merger!__Saldo_Final,_AmortizacionesTablaCliente)</f>
        <v>9.0949470177292824E-12</v>
      </c>
    </row>
    <row r="85" spans="1:9" hidden="1">
      <c r="A85" s="364">
        <v>66</v>
      </c>
      <c r="B85" s="365">
        <f t="shared" ca="1" si="1"/>
        <v>44636</v>
      </c>
      <c r="C85" s="366">
        <f ca="1">INDEX(T_Merger!__Saldo_Inicial,_AmortizacionesTablaCliente)</f>
        <v>9.0949470177292824E-12</v>
      </c>
      <c r="D85" s="366">
        <f ca="1">INDEX(T_Merger!__Capital,_AmortizacionesTablaCliente)</f>
        <v>0</v>
      </c>
      <c r="E85" s="519">
        <f ca="1">INDEX(T_Merger!__Interes,_AmortizacionesTablaCliente)</f>
        <v>9.7770680440589784E-14</v>
      </c>
      <c r="F85" s="366">
        <f ca="1">INDEX(T_Merger!__IVA,_AmortizacionesTablaCliente)</f>
        <v>1.1732481652870774E-14</v>
      </c>
      <c r="G85" s="366">
        <f ca="1">INDEX(T_Merger!__Pago,_AmortizacionesTablaCliente)</f>
        <v>1.0950316209346055E-13</v>
      </c>
      <c r="H85" s="491">
        <v>0</v>
      </c>
      <c r="I85" s="367">
        <f ca="1">INDEX(T_Merger!__Saldo_Final,_AmortizacionesTablaCliente)</f>
        <v>9.0949470177292824E-12</v>
      </c>
    </row>
    <row r="86" spans="1:9" hidden="1">
      <c r="A86" s="364">
        <v>67</v>
      </c>
      <c r="B86" s="365">
        <f t="shared" ca="1" si="1"/>
        <v>44667</v>
      </c>
      <c r="C86" s="366">
        <f ca="1">INDEX(T_Merger!__Saldo_Inicial,_AmortizacionesTablaCliente)</f>
        <v>9.0949470177292824E-12</v>
      </c>
      <c r="D86" s="366">
        <f ca="1">INDEX(T_Merger!__Capital,_AmortizacionesTablaCliente)</f>
        <v>0</v>
      </c>
      <c r="E86" s="519">
        <f ca="1">INDEX(T_Merger!__Interes,_AmortizacionesTablaCliente)</f>
        <v>9.7770680440589784E-14</v>
      </c>
      <c r="F86" s="366">
        <f ca="1">INDEX(T_Merger!__IVA,_AmortizacionesTablaCliente)</f>
        <v>1.1732481652870774E-14</v>
      </c>
      <c r="G86" s="366">
        <f ca="1">INDEX(T_Merger!__Pago,_AmortizacionesTablaCliente)</f>
        <v>1.0950316209346055E-13</v>
      </c>
      <c r="H86" s="491">
        <v>0</v>
      </c>
      <c r="I86" s="367">
        <f ca="1">INDEX(T_Merger!__Saldo_Final,_AmortizacionesTablaCliente)</f>
        <v>9.0949470177292824E-12</v>
      </c>
    </row>
    <row r="87" spans="1:9" hidden="1">
      <c r="A87" s="364">
        <v>68</v>
      </c>
      <c r="B87" s="365">
        <f t="shared" ca="1" si="1"/>
        <v>44697</v>
      </c>
      <c r="C87" s="366">
        <f ca="1">INDEX(T_Merger!__Saldo_Inicial,_AmortizacionesTablaCliente)</f>
        <v>9.0949470177292824E-12</v>
      </c>
      <c r="D87" s="366">
        <f ca="1">INDEX(T_Merger!__Capital,_AmortizacionesTablaCliente)</f>
        <v>0</v>
      </c>
      <c r="E87" s="519">
        <f ca="1">INDEX(T_Merger!__Interes,_AmortizacionesTablaCliente)</f>
        <v>9.7770680440589784E-14</v>
      </c>
      <c r="F87" s="366">
        <f ca="1">INDEX(T_Merger!__IVA,_AmortizacionesTablaCliente)</f>
        <v>1.1732481652870774E-14</v>
      </c>
      <c r="G87" s="366">
        <f ca="1">INDEX(T_Merger!__Pago,_AmortizacionesTablaCliente)</f>
        <v>1.0950316209346055E-13</v>
      </c>
      <c r="H87" s="491">
        <v>0</v>
      </c>
      <c r="I87" s="367">
        <f ca="1">INDEX(T_Merger!__Saldo_Final,_AmortizacionesTablaCliente)</f>
        <v>9.0949470177292824E-12</v>
      </c>
    </row>
    <row r="88" spans="1:9" hidden="1">
      <c r="A88" s="364">
        <v>69</v>
      </c>
      <c r="B88" s="365">
        <f t="shared" ca="1" si="1"/>
        <v>44728</v>
      </c>
      <c r="C88" s="366">
        <f ca="1">INDEX(T_Merger!__Saldo_Inicial,_AmortizacionesTablaCliente)</f>
        <v>9.0949470177292824E-12</v>
      </c>
      <c r="D88" s="366">
        <f ca="1">INDEX(T_Merger!__Capital,_AmortizacionesTablaCliente)</f>
        <v>0</v>
      </c>
      <c r="E88" s="519">
        <f ca="1">INDEX(T_Merger!__Interes,_AmortizacionesTablaCliente)</f>
        <v>9.7770680440589784E-14</v>
      </c>
      <c r="F88" s="366">
        <f ca="1">INDEX(T_Merger!__IVA,_AmortizacionesTablaCliente)</f>
        <v>1.1732481652870774E-14</v>
      </c>
      <c r="G88" s="366">
        <f ca="1">INDEX(T_Merger!__Pago,_AmortizacionesTablaCliente)</f>
        <v>1.0950316209346055E-13</v>
      </c>
      <c r="H88" s="491">
        <v>0</v>
      </c>
      <c r="I88" s="367">
        <f ca="1">INDEX(T_Merger!__Saldo_Final,_AmortizacionesTablaCliente)</f>
        <v>9.0949470177292824E-12</v>
      </c>
    </row>
    <row r="89" spans="1:9" hidden="1">
      <c r="A89" s="364">
        <v>70</v>
      </c>
      <c r="B89" s="365">
        <f t="shared" ca="1" si="1"/>
        <v>44758</v>
      </c>
      <c r="C89" s="366">
        <f ca="1">INDEX(T_Merger!__Saldo_Inicial,_AmortizacionesTablaCliente)</f>
        <v>9.0949470177292824E-12</v>
      </c>
      <c r="D89" s="366">
        <f ca="1">INDEX(T_Merger!__Capital,_AmortizacionesTablaCliente)</f>
        <v>0</v>
      </c>
      <c r="E89" s="519">
        <f ca="1">INDEX(T_Merger!__Interes,_AmortizacionesTablaCliente)</f>
        <v>9.7770680440589784E-14</v>
      </c>
      <c r="F89" s="366">
        <f ca="1">INDEX(T_Merger!__IVA,_AmortizacionesTablaCliente)</f>
        <v>1.1732481652870774E-14</v>
      </c>
      <c r="G89" s="366">
        <f ca="1">INDEX(T_Merger!__Pago,_AmortizacionesTablaCliente)</f>
        <v>1.0950316209346055E-13</v>
      </c>
      <c r="H89" s="491">
        <v>0</v>
      </c>
      <c r="I89" s="367">
        <f ca="1">INDEX(T_Merger!__Saldo_Final,_AmortizacionesTablaCliente)</f>
        <v>9.0949470177292824E-12</v>
      </c>
    </row>
    <row r="90" spans="1:9" hidden="1">
      <c r="A90" s="364">
        <v>71</v>
      </c>
      <c r="B90" s="365">
        <f t="shared" ca="1" si="1"/>
        <v>44789</v>
      </c>
      <c r="C90" s="366">
        <f ca="1">INDEX(T_Merger!__Saldo_Inicial,_AmortizacionesTablaCliente)</f>
        <v>9.0949470177292824E-12</v>
      </c>
      <c r="D90" s="366">
        <f ca="1">INDEX(T_Merger!__Capital,_AmortizacionesTablaCliente)</f>
        <v>0</v>
      </c>
      <c r="E90" s="519">
        <f ca="1">INDEX(T_Merger!__Interes,_AmortizacionesTablaCliente)</f>
        <v>9.7770680440589784E-14</v>
      </c>
      <c r="F90" s="366">
        <f ca="1">INDEX(T_Merger!__IVA,_AmortizacionesTablaCliente)</f>
        <v>1.1732481652870774E-14</v>
      </c>
      <c r="G90" s="366">
        <f ca="1">INDEX(T_Merger!__Pago,_AmortizacionesTablaCliente)</f>
        <v>1.0950316209346055E-13</v>
      </c>
      <c r="H90" s="491">
        <v>0</v>
      </c>
      <c r="I90" s="367">
        <f ca="1">INDEX(T_Merger!__Saldo_Final,_AmortizacionesTablaCliente)</f>
        <v>9.0949470177292824E-12</v>
      </c>
    </row>
    <row r="91" spans="1:9" hidden="1">
      <c r="A91" s="364">
        <v>72</v>
      </c>
      <c r="B91" s="365">
        <f t="shared" ca="1" si="1"/>
        <v>44820</v>
      </c>
      <c r="C91" s="366">
        <f ca="1">INDEX(T_Merger!__Saldo_Inicial,_AmortizacionesTablaCliente)</f>
        <v>9.0949470177292824E-12</v>
      </c>
      <c r="D91" s="366">
        <f ca="1">INDEX(T_Merger!__Capital,_AmortizacionesTablaCliente)</f>
        <v>0</v>
      </c>
      <c r="E91" s="519">
        <f ca="1">INDEX(T_Merger!__Interes,_AmortizacionesTablaCliente)</f>
        <v>9.7770680440589784E-14</v>
      </c>
      <c r="F91" s="366">
        <f ca="1">INDEX(T_Merger!__IVA,_AmortizacionesTablaCliente)</f>
        <v>1.1732481652870774E-14</v>
      </c>
      <c r="G91" s="366">
        <f ca="1">INDEX(T_Merger!__Pago,_AmortizacionesTablaCliente)</f>
        <v>1.0950316209346055E-13</v>
      </c>
      <c r="H91" s="491">
        <v>0</v>
      </c>
      <c r="I91" s="367">
        <f ca="1">INDEX(T_Merger!__Saldo_Final,_AmortizacionesTablaCliente)</f>
        <v>9.0949470177292824E-12</v>
      </c>
    </row>
    <row r="92" spans="1:9" hidden="1">
      <c r="A92" s="364">
        <v>73</v>
      </c>
      <c r="B92" s="365">
        <f t="shared" ca="1" si="1"/>
        <v>44850</v>
      </c>
      <c r="C92" s="366">
        <f ca="1">INDEX(T_Merger!__Saldo_Inicial,_AmortizacionesTablaCliente)</f>
        <v>9.0949470177292824E-12</v>
      </c>
      <c r="D92" s="366">
        <f ca="1">INDEX(T_Merger!__Capital,_AmortizacionesTablaCliente)</f>
        <v>0</v>
      </c>
      <c r="E92" s="519">
        <f ca="1">INDEX(T_Merger!__Interes,_AmortizacionesTablaCliente)</f>
        <v>9.7770680440589784E-14</v>
      </c>
      <c r="F92" s="366">
        <f ca="1">INDEX(T_Merger!__IVA,_AmortizacionesTablaCliente)</f>
        <v>1.1732481652870774E-14</v>
      </c>
      <c r="G92" s="366">
        <f ca="1">INDEX(T_Merger!__Pago,_AmortizacionesTablaCliente)</f>
        <v>1.0950316209346055E-13</v>
      </c>
      <c r="H92" s="491">
        <v>0</v>
      </c>
      <c r="I92" s="367">
        <f ca="1">INDEX(T_Merger!__Saldo_Final,_AmortizacionesTablaCliente)</f>
        <v>9.0949470177292824E-12</v>
      </c>
    </row>
    <row r="93" spans="1:9" hidden="1">
      <c r="A93" s="364">
        <v>74</v>
      </c>
      <c r="B93" s="365">
        <f t="shared" ca="1" si="1"/>
        <v>44881</v>
      </c>
      <c r="C93" s="366">
        <f ca="1">INDEX(T_Merger!__Saldo_Inicial,_AmortizacionesTablaCliente)</f>
        <v>9.0949470177292824E-12</v>
      </c>
      <c r="D93" s="366">
        <f ca="1">INDEX(T_Merger!__Capital,_AmortizacionesTablaCliente)</f>
        <v>0</v>
      </c>
      <c r="E93" s="519">
        <f ca="1">INDEX(T_Merger!__Interes,_AmortizacionesTablaCliente)</f>
        <v>9.7770680440589784E-14</v>
      </c>
      <c r="F93" s="366">
        <f ca="1">INDEX(T_Merger!__IVA,_AmortizacionesTablaCliente)</f>
        <v>1.1732481652870774E-14</v>
      </c>
      <c r="G93" s="366">
        <f ca="1">INDEX(T_Merger!__Pago,_AmortizacionesTablaCliente)</f>
        <v>1.0950316209346055E-13</v>
      </c>
      <c r="H93" s="491">
        <v>0</v>
      </c>
      <c r="I93" s="367">
        <f ca="1">INDEX(T_Merger!__Saldo_Final,_AmortizacionesTablaCliente)</f>
        <v>9.0949470177292824E-12</v>
      </c>
    </row>
    <row r="94" spans="1:9" hidden="1">
      <c r="A94" s="364">
        <v>75</v>
      </c>
      <c r="B94" s="365">
        <f t="shared" ca="1" si="1"/>
        <v>44911</v>
      </c>
      <c r="C94" s="366">
        <f ca="1">INDEX(T_Merger!__Saldo_Inicial,_AmortizacionesTablaCliente)</f>
        <v>9.0949470177292824E-12</v>
      </c>
      <c r="D94" s="366">
        <f ca="1">INDEX(T_Merger!__Capital,_AmortizacionesTablaCliente)</f>
        <v>0</v>
      </c>
      <c r="E94" s="519">
        <f ca="1">INDEX(T_Merger!__Interes,_AmortizacionesTablaCliente)</f>
        <v>9.7770680440589784E-14</v>
      </c>
      <c r="F94" s="366">
        <f ca="1">INDEX(T_Merger!__IVA,_AmortizacionesTablaCliente)</f>
        <v>1.1732481652870774E-14</v>
      </c>
      <c r="G94" s="366">
        <f ca="1">INDEX(T_Merger!__Pago,_AmortizacionesTablaCliente)</f>
        <v>1.0950316209346055E-13</v>
      </c>
      <c r="H94" s="491">
        <v>0</v>
      </c>
      <c r="I94" s="367">
        <f ca="1">INDEX(T_Merger!__Saldo_Final,_AmortizacionesTablaCliente)</f>
        <v>9.0949470177292824E-12</v>
      </c>
    </row>
    <row r="95" spans="1:9" hidden="1">
      <c r="A95" s="364">
        <v>76</v>
      </c>
      <c r="B95" s="365">
        <f t="shared" ca="1" si="1"/>
        <v>44942</v>
      </c>
      <c r="C95" s="366">
        <f ca="1">INDEX(T_Merger!__Saldo_Inicial,_AmortizacionesTablaCliente)</f>
        <v>9.0949470177292824E-12</v>
      </c>
      <c r="D95" s="366">
        <f ca="1">INDEX(T_Merger!__Capital,_AmortizacionesTablaCliente)</f>
        <v>0</v>
      </c>
      <c r="E95" s="519">
        <f ca="1">INDEX(T_Merger!__Interes,_AmortizacionesTablaCliente)</f>
        <v>9.7770680440589784E-14</v>
      </c>
      <c r="F95" s="366">
        <f ca="1">INDEX(T_Merger!__IVA,_AmortizacionesTablaCliente)</f>
        <v>1.1732481652870774E-14</v>
      </c>
      <c r="G95" s="366">
        <f ca="1">INDEX(T_Merger!__Pago,_AmortizacionesTablaCliente)</f>
        <v>1.0950316209346055E-13</v>
      </c>
      <c r="H95" s="491">
        <v>0</v>
      </c>
      <c r="I95" s="367">
        <f ca="1">INDEX(T_Merger!__Saldo_Final,_AmortizacionesTablaCliente)</f>
        <v>9.0949470177292824E-12</v>
      </c>
    </row>
    <row r="96" spans="1:9" hidden="1">
      <c r="A96" s="364">
        <v>77</v>
      </c>
      <c r="B96" s="365">
        <f t="shared" ca="1" si="1"/>
        <v>44973</v>
      </c>
      <c r="C96" s="366">
        <f ca="1">INDEX(T_Merger!__Saldo_Inicial,_AmortizacionesTablaCliente)</f>
        <v>9.0949470177292824E-12</v>
      </c>
      <c r="D96" s="366">
        <f ca="1">INDEX(T_Merger!__Capital,_AmortizacionesTablaCliente)</f>
        <v>0</v>
      </c>
      <c r="E96" s="519">
        <f ca="1">INDEX(T_Merger!__Interes,_AmortizacionesTablaCliente)</f>
        <v>9.7770680440589784E-14</v>
      </c>
      <c r="F96" s="366">
        <f ca="1">INDEX(T_Merger!__IVA,_AmortizacionesTablaCliente)</f>
        <v>1.1732481652870774E-14</v>
      </c>
      <c r="G96" s="366">
        <f ca="1">INDEX(T_Merger!__Pago,_AmortizacionesTablaCliente)</f>
        <v>1.0950316209346055E-13</v>
      </c>
      <c r="H96" s="491">
        <v>0</v>
      </c>
      <c r="I96" s="367">
        <f ca="1">INDEX(T_Merger!__Saldo_Final,_AmortizacionesTablaCliente)</f>
        <v>9.0949470177292824E-12</v>
      </c>
    </row>
    <row r="97" spans="1:9" hidden="1">
      <c r="A97" s="364">
        <v>78</v>
      </c>
      <c r="B97" s="365">
        <f t="shared" ca="1" si="1"/>
        <v>45001</v>
      </c>
      <c r="C97" s="366">
        <f ca="1">INDEX(T_Merger!__Saldo_Inicial,_AmortizacionesTablaCliente)</f>
        <v>9.0949470177292824E-12</v>
      </c>
      <c r="D97" s="366">
        <f ca="1">INDEX(T_Merger!__Capital,_AmortizacionesTablaCliente)</f>
        <v>0</v>
      </c>
      <c r="E97" s="519">
        <f ca="1">INDEX(T_Merger!__Interes,_AmortizacionesTablaCliente)</f>
        <v>9.7770680440589784E-14</v>
      </c>
      <c r="F97" s="366">
        <f ca="1">INDEX(T_Merger!__IVA,_AmortizacionesTablaCliente)</f>
        <v>1.1732481652870774E-14</v>
      </c>
      <c r="G97" s="366">
        <f ca="1">INDEX(T_Merger!__Pago,_AmortizacionesTablaCliente)</f>
        <v>1.0950316209346055E-13</v>
      </c>
      <c r="H97" s="491">
        <v>0</v>
      </c>
      <c r="I97" s="367">
        <f ca="1">INDEX(T_Merger!__Saldo_Final,_AmortizacionesTablaCliente)</f>
        <v>9.0949470177292824E-12</v>
      </c>
    </row>
    <row r="98" spans="1:9" hidden="1">
      <c r="A98" s="364">
        <v>79</v>
      </c>
      <c r="B98" s="365">
        <f t="shared" ca="1" si="1"/>
        <v>45032</v>
      </c>
      <c r="C98" s="366">
        <f ca="1">INDEX(T_Merger!__Saldo_Inicial,_AmortizacionesTablaCliente)</f>
        <v>9.0949470177292824E-12</v>
      </c>
      <c r="D98" s="366">
        <f ca="1">INDEX(T_Merger!__Capital,_AmortizacionesTablaCliente)</f>
        <v>0</v>
      </c>
      <c r="E98" s="519">
        <f ca="1">INDEX(T_Merger!__Interes,_AmortizacionesTablaCliente)</f>
        <v>9.7770680440589784E-14</v>
      </c>
      <c r="F98" s="366">
        <f ca="1">INDEX(T_Merger!__IVA,_AmortizacionesTablaCliente)</f>
        <v>1.1732481652870774E-14</v>
      </c>
      <c r="G98" s="366">
        <f ca="1">INDEX(T_Merger!__Pago,_AmortizacionesTablaCliente)</f>
        <v>1.0950316209346055E-13</v>
      </c>
      <c r="H98" s="491">
        <v>0</v>
      </c>
      <c r="I98" s="367">
        <f ca="1">INDEX(T_Merger!__Saldo_Final,_AmortizacionesTablaCliente)</f>
        <v>9.0949470177292824E-12</v>
      </c>
    </row>
    <row r="99" spans="1:9" hidden="1">
      <c r="A99" s="364">
        <v>80</v>
      </c>
      <c r="B99" s="365">
        <f t="shared" ca="1" si="1"/>
        <v>45062</v>
      </c>
      <c r="C99" s="366">
        <f ca="1">INDEX(T_Merger!__Saldo_Inicial,_AmortizacionesTablaCliente)</f>
        <v>9.0949470177292824E-12</v>
      </c>
      <c r="D99" s="366">
        <f ca="1">INDEX(T_Merger!__Capital,_AmortizacionesTablaCliente)</f>
        <v>0</v>
      </c>
      <c r="E99" s="519">
        <f ca="1">INDEX(T_Merger!__Interes,_AmortizacionesTablaCliente)</f>
        <v>9.7770680440589784E-14</v>
      </c>
      <c r="F99" s="366">
        <f ca="1">INDEX(T_Merger!__IVA,_AmortizacionesTablaCliente)</f>
        <v>1.1732481652870774E-14</v>
      </c>
      <c r="G99" s="366">
        <f ca="1">INDEX(T_Merger!__Pago,_AmortizacionesTablaCliente)</f>
        <v>1.0950316209346055E-13</v>
      </c>
      <c r="H99" s="491">
        <v>0</v>
      </c>
      <c r="I99" s="367">
        <f ca="1">INDEX(T_Merger!__Saldo_Final,_AmortizacionesTablaCliente)</f>
        <v>9.0949470177292824E-12</v>
      </c>
    </row>
    <row r="100" spans="1:9" hidden="1">
      <c r="A100" s="364">
        <v>81</v>
      </c>
      <c r="B100" s="365">
        <f t="shared" ca="1" si="1"/>
        <v>45093</v>
      </c>
      <c r="C100" s="366">
        <f ca="1">INDEX(T_Merger!__Saldo_Inicial,_AmortizacionesTablaCliente)</f>
        <v>9.0949470177292824E-12</v>
      </c>
      <c r="D100" s="366">
        <f ca="1">INDEX(T_Merger!__Capital,_AmortizacionesTablaCliente)</f>
        <v>0</v>
      </c>
      <c r="E100" s="519">
        <f ca="1">INDEX(T_Merger!__Interes,_AmortizacionesTablaCliente)</f>
        <v>9.7770680440589784E-14</v>
      </c>
      <c r="F100" s="366">
        <f ca="1">INDEX(T_Merger!__IVA,_AmortizacionesTablaCliente)</f>
        <v>1.1732481652870774E-14</v>
      </c>
      <c r="G100" s="366">
        <f ca="1">INDEX(T_Merger!__Pago,_AmortizacionesTablaCliente)</f>
        <v>1.0950316209346055E-13</v>
      </c>
      <c r="H100" s="491">
        <v>0</v>
      </c>
      <c r="I100" s="367">
        <f ca="1">INDEX(T_Merger!__Saldo_Final,_AmortizacionesTablaCliente)</f>
        <v>9.0949470177292824E-12</v>
      </c>
    </row>
    <row r="101" spans="1:9" hidden="1">
      <c r="A101" s="364">
        <v>82</v>
      </c>
      <c r="B101" s="365">
        <f t="shared" ca="1" si="1"/>
        <v>45123</v>
      </c>
      <c r="C101" s="366">
        <f ca="1">INDEX(T_Merger!__Saldo_Inicial,_AmortizacionesTablaCliente)</f>
        <v>9.0949470177292824E-12</v>
      </c>
      <c r="D101" s="366">
        <f ca="1">INDEX(T_Merger!__Capital,_AmortizacionesTablaCliente)</f>
        <v>0</v>
      </c>
      <c r="E101" s="519">
        <f ca="1">INDEX(T_Merger!__Interes,_AmortizacionesTablaCliente)</f>
        <v>9.7770680440589784E-14</v>
      </c>
      <c r="F101" s="366">
        <f ca="1">INDEX(T_Merger!__IVA,_AmortizacionesTablaCliente)</f>
        <v>1.1732481652870774E-14</v>
      </c>
      <c r="G101" s="366">
        <f ca="1">INDEX(T_Merger!__Pago,_AmortizacionesTablaCliente)</f>
        <v>1.0950316209346055E-13</v>
      </c>
      <c r="H101" s="491">
        <v>0</v>
      </c>
      <c r="I101" s="367">
        <f ca="1">INDEX(T_Merger!__Saldo_Final,_AmortizacionesTablaCliente)</f>
        <v>9.0949470177292824E-12</v>
      </c>
    </row>
    <row r="102" spans="1:9" hidden="1">
      <c r="A102" s="364">
        <v>83</v>
      </c>
      <c r="B102" s="365">
        <f t="shared" ca="1" si="1"/>
        <v>45154</v>
      </c>
      <c r="C102" s="366">
        <f ca="1">INDEX(T_Merger!__Saldo_Inicial,_AmortizacionesTablaCliente)</f>
        <v>9.0949470177292824E-12</v>
      </c>
      <c r="D102" s="366">
        <f ca="1">INDEX(T_Merger!__Capital,_AmortizacionesTablaCliente)</f>
        <v>0</v>
      </c>
      <c r="E102" s="519">
        <f ca="1">INDEX(T_Merger!__Interes,_AmortizacionesTablaCliente)</f>
        <v>9.7770680440589784E-14</v>
      </c>
      <c r="F102" s="366">
        <f ca="1">INDEX(T_Merger!__IVA,_AmortizacionesTablaCliente)</f>
        <v>1.1732481652870774E-14</v>
      </c>
      <c r="G102" s="366">
        <f ca="1">INDEX(T_Merger!__Pago,_AmortizacionesTablaCliente)</f>
        <v>1.0950316209346055E-13</v>
      </c>
      <c r="H102" s="491">
        <v>0</v>
      </c>
      <c r="I102" s="367">
        <f ca="1">INDEX(T_Merger!__Saldo_Final,_AmortizacionesTablaCliente)</f>
        <v>9.0949470177292824E-12</v>
      </c>
    </row>
    <row r="103" spans="1:9" hidden="1">
      <c r="A103" s="364">
        <v>84</v>
      </c>
      <c r="B103" s="365">
        <f t="shared" ca="1" si="1"/>
        <v>45185</v>
      </c>
      <c r="C103" s="366">
        <f ca="1">INDEX(T_Merger!__Saldo_Inicial,_AmortizacionesTablaCliente)</f>
        <v>9.0949470177292824E-12</v>
      </c>
      <c r="D103" s="366">
        <f ca="1">INDEX(T_Merger!__Capital,_AmortizacionesTablaCliente)</f>
        <v>0</v>
      </c>
      <c r="E103" s="519">
        <f ca="1">INDEX(T_Merger!__Interes,_AmortizacionesTablaCliente)</f>
        <v>9.7770680440589784E-14</v>
      </c>
      <c r="F103" s="366">
        <f ca="1">INDEX(T_Merger!__IVA,_AmortizacionesTablaCliente)</f>
        <v>1.1732481652870774E-14</v>
      </c>
      <c r="G103" s="366">
        <f ca="1">INDEX(T_Merger!__Pago,_AmortizacionesTablaCliente)</f>
        <v>1.0950316209346055E-13</v>
      </c>
      <c r="H103" s="491">
        <v>0</v>
      </c>
      <c r="I103" s="367">
        <f ca="1">INDEX(T_Merger!__Saldo_Final,_AmortizacionesTablaCliente)</f>
        <v>9.0949470177292824E-12</v>
      </c>
    </row>
    <row r="104" spans="1:9" hidden="1">
      <c r="A104" s="364">
        <v>85</v>
      </c>
      <c r="B104" s="365">
        <f t="shared" ca="1" si="1"/>
        <v>45215</v>
      </c>
      <c r="C104" s="366">
        <f ca="1">INDEX(T_Merger!__Saldo_Inicial,_AmortizacionesTablaCliente)</f>
        <v>9.0949470177292824E-12</v>
      </c>
      <c r="D104" s="366">
        <f ca="1">INDEX(T_Merger!__Capital,_AmortizacionesTablaCliente)</f>
        <v>0</v>
      </c>
      <c r="E104" s="519">
        <f ca="1">INDEX(T_Merger!__Interes,_AmortizacionesTablaCliente)</f>
        <v>9.7770680440589784E-14</v>
      </c>
      <c r="F104" s="366">
        <f ca="1">INDEX(T_Merger!__IVA,_AmortizacionesTablaCliente)</f>
        <v>1.1732481652870774E-14</v>
      </c>
      <c r="G104" s="366">
        <f ca="1">INDEX(T_Merger!__Pago,_AmortizacionesTablaCliente)</f>
        <v>1.0950316209346055E-13</v>
      </c>
      <c r="H104" s="491">
        <v>0</v>
      </c>
      <c r="I104" s="367">
        <f ca="1">INDEX(T_Merger!__Saldo_Final,_AmortizacionesTablaCliente)</f>
        <v>9.0949470177292824E-12</v>
      </c>
    </row>
    <row r="105" spans="1:9" hidden="1">
      <c r="A105" s="364">
        <v>86</v>
      </c>
      <c r="B105" s="365">
        <f t="shared" ca="1" si="1"/>
        <v>45246</v>
      </c>
      <c r="C105" s="366">
        <f ca="1">INDEX(T_Merger!__Saldo_Inicial,_AmortizacionesTablaCliente)</f>
        <v>9.0949470177292824E-12</v>
      </c>
      <c r="D105" s="366">
        <f ca="1">INDEX(T_Merger!__Capital,_AmortizacionesTablaCliente)</f>
        <v>0</v>
      </c>
      <c r="E105" s="519">
        <f ca="1">INDEX(T_Merger!__Interes,_AmortizacionesTablaCliente)</f>
        <v>9.7770680440589784E-14</v>
      </c>
      <c r="F105" s="366">
        <f ca="1">INDEX(T_Merger!__IVA,_AmortizacionesTablaCliente)</f>
        <v>1.1732481652870774E-14</v>
      </c>
      <c r="G105" s="366">
        <f ca="1">INDEX(T_Merger!__Pago,_AmortizacionesTablaCliente)</f>
        <v>1.0950316209346055E-13</v>
      </c>
      <c r="H105" s="491">
        <v>0</v>
      </c>
      <c r="I105" s="367">
        <f ca="1">INDEX(T_Merger!__Saldo_Final,_AmortizacionesTablaCliente)</f>
        <v>9.0949470177292824E-12</v>
      </c>
    </row>
    <row r="106" spans="1:9" hidden="1">
      <c r="A106" s="364">
        <v>87</v>
      </c>
      <c r="B106" s="365">
        <f t="shared" ca="1" si="1"/>
        <v>45276</v>
      </c>
      <c r="C106" s="366">
        <f ca="1">INDEX(T_Merger!__Saldo_Inicial,_AmortizacionesTablaCliente)</f>
        <v>9.0949470177292824E-12</v>
      </c>
      <c r="D106" s="366">
        <f ca="1">INDEX(T_Merger!__Capital,_AmortizacionesTablaCliente)</f>
        <v>0</v>
      </c>
      <c r="E106" s="519">
        <f ca="1">INDEX(T_Merger!__Interes,_AmortizacionesTablaCliente)</f>
        <v>9.7770680440589784E-14</v>
      </c>
      <c r="F106" s="366">
        <f ca="1">INDEX(T_Merger!__IVA,_AmortizacionesTablaCliente)</f>
        <v>1.1732481652870774E-14</v>
      </c>
      <c r="G106" s="366">
        <f ca="1">INDEX(T_Merger!__Pago,_AmortizacionesTablaCliente)</f>
        <v>1.0950316209346055E-13</v>
      </c>
      <c r="H106" s="491">
        <v>0</v>
      </c>
      <c r="I106" s="367">
        <f ca="1">INDEX(T_Merger!__Saldo_Final,_AmortizacionesTablaCliente)</f>
        <v>9.0949470177292824E-12</v>
      </c>
    </row>
    <row r="107" spans="1:9" hidden="1">
      <c r="A107" s="364">
        <v>88</v>
      </c>
      <c r="B107" s="365">
        <f t="shared" ca="1" si="1"/>
        <v>45307</v>
      </c>
      <c r="C107" s="366">
        <f ca="1">INDEX(T_Merger!__Saldo_Inicial,_AmortizacionesTablaCliente)</f>
        <v>9.0949470177292824E-12</v>
      </c>
      <c r="D107" s="366">
        <f ca="1">INDEX(T_Merger!__Capital,_AmortizacionesTablaCliente)</f>
        <v>0</v>
      </c>
      <c r="E107" s="519">
        <f ca="1">INDEX(T_Merger!__Interes,_AmortizacionesTablaCliente)</f>
        <v>9.7770680440589784E-14</v>
      </c>
      <c r="F107" s="366">
        <f ca="1">INDEX(T_Merger!__IVA,_AmortizacionesTablaCliente)</f>
        <v>1.1732481652870774E-14</v>
      </c>
      <c r="G107" s="366">
        <f ca="1">INDEX(T_Merger!__Pago,_AmortizacionesTablaCliente)</f>
        <v>1.0950316209346055E-13</v>
      </c>
      <c r="H107" s="491">
        <v>0</v>
      </c>
      <c r="I107" s="367">
        <f ca="1">INDEX(T_Merger!__Saldo_Final,_AmortizacionesTablaCliente)</f>
        <v>9.0949470177292824E-12</v>
      </c>
    </row>
    <row r="108" spans="1:9" hidden="1">
      <c r="A108" s="364">
        <v>89</v>
      </c>
      <c r="B108" s="365">
        <f t="shared" ca="1" si="1"/>
        <v>45338</v>
      </c>
      <c r="C108" s="366">
        <f ca="1">INDEX(T_Merger!__Saldo_Inicial,_AmortizacionesTablaCliente)</f>
        <v>9.0949470177292824E-12</v>
      </c>
      <c r="D108" s="366">
        <f ca="1">INDEX(T_Merger!__Capital,_AmortizacionesTablaCliente)</f>
        <v>0</v>
      </c>
      <c r="E108" s="519">
        <f ca="1">INDEX(T_Merger!__Interes,_AmortizacionesTablaCliente)</f>
        <v>9.7770680440589784E-14</v>
      </c>
      <c r="F108" s="366">
        <f ca="1">INDEX(T_Merger!__IVA,_AmortizacionesTablaCliente)</f>
        <v>1.1732481652870774E-14</v>
      </c>
      <c r="G108" s="366">
        <f ca="1">INDEX(T_Merger!__Pago,_AmortizacionesTablaCliente)</f>
        <v>1.0950316209346055E-13</v>
      </c>
      <c r="H108" s="491">
        <v>0</v>
      </c>
      <c r="I108" s="367">
        <f ca="1">INDEX(T_Merger!__Saldo_Final,_AmortizacionesTablaCliente)</f>
        <v>9.0949470177292824E-12</v>
      </c>
    </row>
    <row r="109" spans="1:9" hidden="1">
      <c r="A109" s="364">
        <v>90</v>
      </c>
      <c r="B109" s="365">
        <f t="shared" ca="1" si="1"/>
        <v>45367</v>
      </c>
      <c r="C109" s="366">
        <f ca="1">INDEX(T_Merger!__Saldo_Inicial,_AmortizacionesTablaCliente)</f>
        <v>9.0949470177292824E-12</v>
      </c>
      <c r="D109" s="366">
        <f ca="1">INDEX(T_Merger!__Capital,_AmortizacionesTablaCliente)</f>
        <v>0</v>
      </c>
      <c r="E109" s="519">
        <f ca="1">INDEX(T_Merger!__Interes,_AmortizacionesTablaCliente)</f>
        <v>9.7770680440589784E-14</v>
      </c>
      <c r="F109" s="366">
        <f ca="1">INDEX(T_Merger!__IVA,_AmortizacionesTablaCliente)</f>
        <v>1.1732481652870774E-14</v>
      </c>
      <c r="G109" s="366">
        <f ca="1">INDEX(T_Merger!__Pago,_AmortizacionesTablaCliente)</f>
        <v>1.0950316209346055E-13</v>
      </c>
      <c r="H109" s="491">
        <v>0</v>
      </c>
      <c r="I109" s="367">
        <f ca="1">INDEX(T_Merger!__Saldo_Final,_AmortizacionesTablaCliente)</f>
        <v>9.0949470177292824E-12</v>
      </c>
    </row>
    <row r="110" spans="1:9" hidden="1">
      <c r="A110" s="364">
        <v>91</v>
      </c>
      <c r="B110" s="365">
        <f t="shared" ca="1" si="1"/>
        <v>45398</v>
      </c>
      <c r="C110" s="366">
        <f ca="1">INDEX(T_Merger!__Saldo_Inicial,_AmortizacionesTablaCliente)</f>
        <v>9.0949470177292824E-12</v>
      </c>
      <c r="D110" s="366">
        <f ca="1">INDEX(T_Merger!__Capital,_AmortizacionesTablaCliente)</f>
        <v>0</v>
      </c>
      <c r="E110" s="519">
        <f ca="1">INDEX(T_Merger!__Interes,_AmortizacionesTablaCliente)</f>
        <v>9.7770680440589784E-14</v>
      </c>
      <c r="F110" s="366">
        <f ca="1">INDEX(T_Merger!__IVA,_AmortizacionesTablaCliente)</f>
        <v>1.1732481652870774E-14</v>
      </c>
      <c r="G110" s="366">
        <f ca="1">INDEX(T_Merger!__Pago,_AmortizacionesTablaCliente)</f>
        <v>1.0950316209346055E-13</v>
      </c>
      <c r="H110" s="491">
        <v>0</v>
      </c>
      <c r="I110" s="367">
        <f ca="1">INDEX(T_Merger!__Saldo_Final,_AmortizacionesTablaCliente)</f>
        <v>9.0949470177292824E-12</v>
      </c>
    </row>
    <row r="111" spans="1:9" hidden="1">
      <c r="A111" s="364">
        <v>92</v>
      </c>
      <c r="B111" s="365">
        <f t="shared" ca="1" si="1"/>
        <v>45428</v>
      </c>
      <c r="C111" s="366">
        <f ca="1">INDEX(T_Merger!__Saldo_Inicial,_AmortizacionesTablaCliente)</f>
        <v>9.0949470177292824E-12</v>
      </c>
      <c r="D111" s="366">
        <f ca="1">INDEX(T_Merger!__Capital,_AmortizacionesTablaCliente)</f>
        <v>0</v>
      </c>
      <c r="E111" s="519">
        <f ca="1">INDEX(T_Merger!__Interes,_AmortizacionesTablaCliente)</f>
        <v>9.7770680440589784E-14</v>
      </c>
      <c r="F111" s="366">
        <f ca="1">INDEX(T_Merger!__IVA,_AmortizacionesTablaCliente)</f>
        <v>1.1732481652870774E-14</v>
      </c>
      <c r="G111" s="366">
        <f ca="1">INDEX(T_Merger!__Pago,_AmortizacionesTablaCliente)</f>
        <v>1.0950316209346055E-13</v>
      </c>
      <c r="H111" s="491">
        <v>0</v>
      </c>
      <c r="I111" s="367">
        <f ca="1">INDEX(T_Merger!__Saldo_Final,_AmortizacionesTablaCliente)</f>
        <v>9.0949470177292824E-12</v>
      </c>
    </row>
    <row r="112" spans="1:9" hidden="1">
      <c r="A112" s="364">
        <v>93</v>
      </c>
      <c r="B112" s="365">
        <f t="shared" ca="1" si="1"/>
        <v>45459</v>
      </c>
      <c r="C112" s="366">
        <f ca="1">INDEX(T_Merger!__Saldo_Inicial,_AmortizacionesTablaCliente)</f>
        <v>9.0949470177292824E-12</v>
      </c>
      <c r="D112" s="366">
        <f ca="1">INDEX(T_Merger!__Capital,_AmortizacionesTablaCliente)</f>
        <v>0</v>
      </c>
      <c r="E112" s="519">
        <f ca="1">INDEX(T_Merger!__Interes,_AmortizacionesTablaCliente)</f>
        <v>9.7770680440589784E-14</v>
      </c>
      <c r="F112" s="366">
        <f ca="1">INDEX(T_Merger!__IVA,_AmortizacionesTablaCliente)</f>
        <v>1.1732481652870774E-14</v>
      </c>
      <c r="G112" s="366">
        <f ca="1">INDEX(T_Merger!__Pago,_AmortizacionesTablaCliente)</f>
        <v>1.0950316209346055E-13</v>
      </c>
      <c r="H112" s="491">
        <v>0</v>
      </c>
      <c r="I112" s="367">
        <f ca="1">INDEX(T_Merger!__Saldo_Final,_AmortizacionesTablaCliente)</f>
        <v>9.0949470177292824E-12</v>
      </c>
    </row>
    <row r="113" spans="1:9" hidden="1">
      <c r="A113" s="364">
        <v>94</v>
      </c>
      <c r="B113" s="365">
        <f t="shared" ca="1" si="1"/>
        <v>45489</v>
      </c>
      <c r="C113" s="366">
        <f ca="1">INDEX(T_Merger!__Saldo_Inicial,_AmortizacionesTablaCliente)</f>
        <v>9.0949470177292824E-12</v>
      </c>
      <c r="D113" s="366">
        <f ca="1">INDEX(T_Merger!__Capital,_AmortizacionesTablaCliente)</f>
        <v>0</v>
      </c>
      <c r="E113" s="519">
        <f ca="1">INDEX(T_Merger!__Interes,_AmortizacionesTablaCliente)</f>
        <v>9.7770680440589784E-14</v>
      </c>
      <c r="F113" s="366">
        <f ca="1">INDEX(T_Merger!__IVA,_AmortizacionesTablaCliente)</f>
        <v>1.1732481652870774E-14</v>
      </c>
      <c r="G113" s="366">
        <f ca="1">INDEX(T_Merger!__Pago,_AmortizacionesTablaCliente)</f>
        <v>1.0950316209346055E-13</v>
      </c>
      <c r="H113" s="491">
        <v>0</v>
      </c>
      <c r="I113" s="367">
        <f ca="1">INDEX(T_Merger!__Saldo_Final,_AmortizacionesTablaCliente)</f>
        <v>9.0949470177292824E-12</v>
      </c>
    </row>
    <row r="114" spans="1:9" hidden="1">
      <c r="A114" s="364">
        <v>95</v>
      </c>
      <c r="B114" s="365">
        <f t="shared" ca="1" si="1"/>
        <v>45520</v>
      </c>
      <c r="C114" s="366">
        <f ca="1">INDEX(T_Merger!__Saldo_Inicial,_AmortizacionesTablaCliente)</f>
        <v>9.0949470177292824E-12</v>
      </c>
      <c r="D114" s="366">
        <f ca="1">INDEX(T_Merger!__Capital,_AmortizacionesTablaCliente)</f>
        <v>0</v>
      </c>
      <c r="E114" s="519">
        <f ca="1">INDEX(T_Merger!__Interes,_AmortizacionesTablaCliente)</f>
        <v>9.7770680440589784E-14</v>
      </c>
      <c r="F114" s="366">
        <f ca="1">INDEX(T_Merger!__IVA,_AmortizacionesTablaCliente)</f>
        <v>1.1732481652870774E-14</v>
      </c>
      <c r="G114" s="366">
        <f ca="1">INDEX(T_Merger!__Pago,_AmortizacionesTablaCliente)</f>
        <v>1.0950316209346055E-13</v>
      </c>
      <c r="H114" s="491">
        <v>0</v>
      </c>
      <c r="I114" s="367">
        <f ca="1">INDEX(T_Merger!__Saldo_Final,_AmortizacionesTablaCliente)</f>
        <v>9.0949470177292824E-12</v>
      </c>
    </row>
    <row r="115" spans="1:9" hidden="1">
      <c r="A115" s="364">
        <v>96</v>
      </c>
      <c r="B115" s="365">
        <f t="shared" ca="1" si="1"/>
        <v>45551</v>
      </c>
      <c r="C115" s="366">
        <f ca="1">INDEX(T_Merger!__Saldo_Inicial,_AmortizacionesTablaCliente)</f>
        <v>9.0949470177292824E-12</v>
      </c>
      <c r="D115" s="366">
        <f ca="1">INDEX(T_Merger!__Capital,_AmortizacionesTablaCliente)</f>
        <v>0</v>
      </c>
      <c r="E115" s="519">
        <f ca="1">INDEX(T_Merger!__Interes,_AmortizacionesTablaCliente)</f>
        <v>9.7770680440589784E-14</v>
      </c>
      <c r="F115" s="366">
        <f ca="1">INDEX(T_Merger!__IVA,_AmortizacionesTablaCliente)</f>
        <v>1.1732481652870774E-14</v>
      </c>
      <c r="G115" s="366">
        <f ca="1">INDEX(T_Merger!__Pago,_AmortizacionesTablaCliente)</f>
        <v>1.0950316209346055E-13</v>
      </c>
      <c r="H115" s="491">
        <v>0</v>
      </c>
      <c r="I115" s="367">
        <f ca="1">INDEX(T_Merger!__Saldo_Final,_AmortizacionesTablaCliente)</f>
        <v>9.0949470177292824E-12</v>
      </c>
    </row>
    <row r="116" spans="1:9" hidden="1">
      <c r="A116" s="364">
        <v>97</v>
      </c>
      <c r="B116" s="365">
        <f t="shared" ca="1" si="1"/>
        <v>45581</v>
      </c>
      <c r="C116" s="366">
        <f ca="1">INDEX(T_Merger!__Saldo_Inicial,_AmortizacionesTablaCliente)</f>
        <v>9.0949470177292824E-12</v>
      </c>
      <c r="D116" s="366">
        <f ca="1">INDEX(T_Merger!__Capital,_AmortizacionesTablaCliente)</f>
        <v>0</v>
      </c>
      <c r="E116" s="519">
        <f ca="1">INDEX(T_Merger!__Interes,_AmortizacionesTablaCliente)</f>
        <v>9.7770680440589784E-14</v>
      </c>
      <c r="F116" s="366">
        <f ca="1">INDEX(T_Merger!__IVA,_AmortizacionesTablaCliente)</f>
        <v>1.1732481652870774E-14</v>
      </c>
      <c r="G116" s="366">
        <f ca="1">INDEX(T_Merger!__Pago,_AmortizacionesTablaCliente)</f>
        <v>1.0950316209346055E-13</v>
      </c>
      <c r="H116" s="491">
        <v>0</v>
      </c>
      <c r="I116" s="367">
        <f ca="1">INDEX(T_Merger!__Saldo_Final,_AmortizacionesTablaCliente)</f>
        <v>9.0949470177292824E-12</v>
      </c>
    </row>
    <row r="117" spans="1:9" hidden="1">
      <c r="A117" s="364">
        <v>98</v>
      </c>
      <c r="B117" s="365">
        <f t="shared" ca="1" si="1"/>
        <v>45612</v>
      </c>
      <c r="C117" s="366">
        <f ca="1">INDEX(T_Merger!__Saldo_Inicial,_AmortizacionesTablaCliente)</f>
        <v>9.0949470177292824E-12</v>
      </c>
      <c r="D117" s="366">
        <f ca="1">INDEX(T_Merger!__Capital,_AmortizacionesTablaCliente)</f>
        <v>0</v>
      </c>
      <c r="E117" s="519">
        <f ca="1">INDEX(T_Merger!__Interes,_AmortizacionesTablaCliente)</f>
        <v>9.7770680440589784E-14</v>
      </c>
      <c r="F117" s="366">
        <f ca="1">INDEX(T_Merger!__IVA,_AmortizacionesTablaCliente)</f>
        <v>1.1732481652870774E-14</v>
      </c>
      <c r="G117" s="366">
        <f ca="1">INDEX(T_Merger!__Pago,_AmortizacionesTablaCliente)</f>
        <v>1.0950316209346055E-13</v>
      </c>
      <c r="H117" s="491">
        <v>0</v>
      </c>
      <c r="I117" s="367">
        <f ca="1">INDEX(T_Merger!__Saldo_Final,_AmortizacionesTablaCliente)</f>
        <v>9.0949470177292824E-12</v>
      </c>
    </row>
    <row r="118" spans="1:9" hidden="1">
      <c r="A118" s="364">
        <v>99</v>
      </c>
      <c r="B118" s="365">
        <f t="shared" ca="1" si="1"/>
        <v>45642</v>
      </c>
      <c r="C118" s="366">
        <f ca="1">INDEX(T_Merger!__Saldo_Inicial,_AmortizacionesTablaCliente)</f>
        <v>9.0949470177292824E-12</v>
      </c>
      <c r="D118" s="366">
        <f ca="1">INDEX(T_Merger!__Capital,_AmortizacionesTablaCliente)</f>
        <v>0</v>
      </c>
      <c r="E118" s="519">
        <f ca="1">INDEX(T_Merger!__Interes,_AmortizacionesTablaCliente)</f>
        <v>9.7770680440589784E-14</v>
      </c>
      <c r="F118" s="366">
        <f ca="1">INDEX(T_Merger!__IVA,_AmortizacionesTablaCliente)</f>
        <v>1.1732481652870774E-14</v>
      </c>
      <c r="G118" s="366">
        <f ca="1">INDEX(T_Merger!__Pago,_AmortizacionesTablaCliente)</f>
        <v>1.0950316209346055E-13</v>
      </c>
      <c r="H118" s="491">
        <v>0</v>
      </c>
      <c r="I118" s="367">
        <f ca="1">INDEX(T_Merger!__Saldo_Final,_AmortizacionesTablaCliente)</f>
        <v>9.0949470177292824E-12</v>
      </c>
    </row>
    <row r="119" spans="1:9" hidden="1">
      <c r="A119" s="364">
        <v>100</v>
      </c>
      <c r="B119" s="365">
        <f t="shared" ca="1" si="1"/>
        <v>45673</v>
      </c>
      <c r="C119" s="366">
        <f ca="1">INDEX(T_Merger!__Saldo_Inicial,_AmortizacionesTablaCliente)</f>
        <v>9.0949470177292824E-12</v>
      </c>
      <c r="D119" s="366">
        <f ca="1">INDEX(T_Merger!__Capital,_AmortizacionesTablaCliente)</f>
        <v>0</v>
      </c>
      <c r="E119" s="519">
        <f ca="1">INDEX(T_Merger!__Interes,_AmortizacionesTablaCliente)</f>
        <v>9.7770680440589784E-14</v>
      </c>
      <c r="F119" s="366">
        <f ca="1">INDEX(T_Merger!__IVA,_AmortizacionesTablaCliente)</f>
        <v>1.1732481652870774E-14</v>
      </c>
      <c r="G119" s="366">
        <f ca="1">INDEX(T_Merger!__Pago,_AmortizacionesTablaCliente)</f>
        <v>1.0950316209346055E-13</v>
      </c>
      <c r="H119" s="491">
        <v>0</v>
      </c>
      <c r="I119" s="367">
        <f ca="1">INDEX(T_Merger!__Saldo_Final,_AmortizacionesTablaCliente)</f>
        <v>9.0949470177292824E-12</v>
      </c>
    </row>
    <row r="120" spans="1:9" hidden="1">
      <c r="A120" s="364">
        <v>101</v>
      </c>
      <c r="B120" s="365">
        <f t="shared" ca="1" si="1"/>
        <v>45704</v>
      </c>
      <c r="C120" s="366">
        <f ca="1">INDEX(T_Merger!__Saldo_Inicial,_AmortizacionesTablaCliente)</f>
        <v>9.0949470177292824E-12</v>
      </c>
      <c r="D120" s="366">
        <f ca="1">INDEX(T_Merger!__Capital,_AmortizacionesTablaCliente)</f>
        <v>0</v>
      </c>
      <c r="E120" s="519">
        <f ca="1">INDEX(T_Merger!__Interes,_AmortizacionesTablaCliente)</f>
        <v>9.7770680440589784E-14</v>
      </c>
      <c r="F120" s="366">
        <f ca="1">INDEX(T_Merger!__IVA,_AmortizacionesTablaCliente)</f>
        <v>1.1732481652870774E-14</v>
      </c>
      <c r="G120" s="366">
        <f ca="1">INDEX(T_Merger!__Pago,_AmortizacionesTablaCliente)</f>
        <v>1.0950316209346055E-13</v>
      </c>
      <c r="H120" s="491">
        <v>0</v>
      </c>
      <c r="I120" s="367">
        <f ca="1">INDEX(T_Merger!__Saldo_Final,_AmortizacionesTablaCliente)</f>
        <v>9.0949470177292824E-12</v>
      </c>
    </row>
    <row r="121" spans="1:9" hidden="1">
      <c r="A121" s="364">
        <v>102</v>
      </c>
      <c r="B121" s="365">
        <f t="shared" ca="1" si="1"/>
        <v>45732</v>
      </c>
      <c r="C121" s="366">
        <f ca="1">INDEX(T_Merger!__Saldo_Inicial,_AmortizacionesTablaCliente)</f>
        <v>9.0949470177292824E-12</v>
      </c>
      <c r="D121" s="366">
        <f ca="1">INDEX(T_Merger!__Capital,_AmortizacionesTablaCliente)</f>
        <v>0</v>
      </c>
      <c r="E121" s="519">
        <f ca="1">INDEX(T_Merger!__Interes,_AmortizacionesTablaCliente)</f>
        <v>9.7770680440589784E-14</v>
      </c>
      <c r="F121" s="366">
        <f ca="1">INDEX(T_Merger!__IVA,_AmortizacionesTablaCliente)</f>
        <v>1.1732481652870774E-14</v>
      </c>
      <c r="G121" s="366">
        <f ca="1">INDEX(T_Merger!__Pago,_AmortizacionesTablaCliente)</f>
        <v>1.0950316209346055E-13</v>
      </c>
      <c r="H121" s="491">
        <v>0</v>
      </c>
      <c r="I121" s="367">
        <f ca="1">INDEX(T_Merger!__Saldo_Final,_AmortizacionesTablaCliente)</f>
        <v>9.0949470177292824E-12</v>
      </c>
    </row>
    <row r="122" spans="1:9" hidden="1">
      <c r="A122" s="364">
        <v>103</v>
      </c>
      <c r="B122" s="365">
        <f t="shared" ca="1" si="1"/>
        <v>45763</v>
      </c>
      <c r="C122" s="366">
        <f ca="1">INDEX(T_Merger!__Saldo_Inicial,_AmortizacionesTablaCliente)</f>
        <v>9.0949470177292824E-12</v>
      </c>
      <c r="D122" s="366">
        <f ca="1">INDEX(T_Merger!__Capital,_AmortizacionesTablaCliente)</f>
        <v>0</v>
      </c>
      <c r="E122" s="519">
        <f ca="1">INDEX(T_Merger!__Interes,_AmortizacionesTablaCliente)</f>
        <v>9.7770680440589784E-14</v>
      </c>
      <c r="F122" s="366">
        <f ca="1">INDEX(T_Merger!__IVA,_AmortizacionesTablaCliente)</f>
        <v>1.1732481652870774E-14</v>
      </c>
      <c r="G122" s="366">
        <f ca="1">INDEX(T_Merger!__Pago,_AmortizacionesTablaCliente)</f>
        <v>1.0950316209346055E-13</v>
      </c>
      <c r="H122" s="491">
        <v>0</v>
      </c>
      <c r="I122" s="367">
        <f ca="1">INDEX(T_Merger!__Saldo_Final,_AmortizacionesTablaCliente)</f>
        <v>9.0949470177292824E-12</v>
      </c>
    </row>
    <row r="123" spans="1:9" hidden="1">
      <c r="A123" s="364">
        <v>104</v>
      </c>
      <c r="B123" s="365">
        <f t="shared" ca="1" si="1"/>
        <v>45793</v>
      </c>
      <c r="C123" s="366">
        <f ca="1">INDEX(T_Merger!__Saldo_Inicial,_AmortizacionesTablaCliente)</f>
        <v>9.0949470177292824E-12</v>
      </c>
      <c r="D123" s="366">
        <f ca="1">INDEX(T_Merger!__Capital,_AmortizacionesTablaCliente)</f>
        <v>0</v>
      </c>
      <c r="E123" s="519">
        <f ca="1">INDEX(T_Merger!__Interes,_AmortizacionesTablaCliente)</f>
        <v>9.7770680440589784E-14</v>
      </c>
      <c r="F123" s="366">
        <f ca="1">INDEX(T_Merger!__IVA,_AmortizacionesTablaCliente)</f>
        <v>1.1732481652870774E-14</v>
      </c>
      <c r="G123" s="366">
        <f ca="1">INDEX(T_Merger!__Pago,_AmortizacionesTablaCliente)</f>
        <v>1.0950316209346055E-13</v>
      </c>
      <c r="H123" s="491">
        <v>0</v>
      </c>
      <c r="I123" s="367">
        <f ca="1">INDEX(T_Merger!__Saldo_Final,_AmortizacionesTablaCliente)</f>
        <v>9.0949470177292824E-12</v>
      </c>
    </row>
    <row r="124" spans="1:9" hidden="1">
      <c r="A124" s="364">
        <v>105</v>
      </c>
      <c r="B124" s="365">
        <f t="shared" ca="1" si="1"/>
        <v>45824</v>
      </c>
      <c r="C124" s="366">
        <f ca="1">INDEX(T_Merger!__Saldo_Inicial,_AmortizacionesTablaCliente)</f>
        <v>9.0949470177292824E-12</v>
      </c>
      <c r="D124" s="366">
        <f ca="1">INDEX(T_Merger!__Capital,_AmortizacionesTablaCliente)</f>
        <v>0</v>
      </c>
      <c r="E124" s="519">
        <f ca="1">INDEX(T_Merger!__Interes,_AmortizacionesTablaCliente)</f>
        <v>9.7770680440589784E-14</v>
      </c>
      <c r="F124" s="366">
        <f ca="1">INDEX(T_Merger!__IVA,_AmortizacionesTablaCliente)</f>
        <v>1.1732481652870774E-14</v>
      </c>
      <c r="G124" s="366">
        <f ca="1">INDEX(T_Merger!__Pago,_AmortizacionesTablaCliente)</f>
        <v>1.0950316209346055E-13</v>
      </c>
      <c r="H124" s="491">
        <v>0</v>
      </c>
      <c r="I124" s="367">
        <f ca="1">INDEX(T_Merger!__Saldo_Final,_AmortizacionesTablaCliente)</f>
        <v>9.0949470177292824E-12</v>
      </c>
    </row>
    <row r="125" spans="1:9" hidden="1">
      <c r="A125" s="364">
        <v>106</v>
      </c>
      <c r="B125" s="365">
        <f t="shared" ca="1" si="1"/>
        <v>45854</v>
      </c>
      <c r="C125" s="366">
        <f ca="1">INDEX(T_Merger!__Saldo_Inicial,_AmortizacionesTablaCliente)</f>
        <v>9.0949470177292824E-12</v>
      </c>
      <c r="D125" s="366">
        <f ca="1">INDEX(T_Merger!__Capital,_AmortizacionesTablaCliente)</f>
        <v>0</v>
      </c>
      <c r="E125" s="519">
        <f ca="1">INDEX(T_Merger!__Interes,_AmortizacionesTablaCliente)</f>
        <v>9.7770680440589784E-14</v>
      </c>
      <c r="F125" s="366">
        <f ca="1">INDEX(T_Merger!__IVA,_AmortizacionesTablaCliente)</f>
        <v>1.1732481652870774E-14</v>
      </c>
      <c r="G125" s="366">
        <f ca="1">INDEX(T_Merger!__Pago,_AmortizacionesTablaCliente)</f>
        <v>1.0950316209346055E-13</v>
      </c>
      <c r="H125" s="491">
        <v>0</v>
      </c>
      <c r="I125" s="367">
        <f ca="1">INDEX(T_Merger!__Saldo_Final,_AmortizacionesTablaCliente)</f>
        <v>9.0949470177292824E-12</v>
      </c>
    </row>
    <row r="126" spans="1:9" hidden="1">
      <c r="A126" s="364">
        <v>107</v>
      </c>
      <c r="B126" s="365">
        <f t="shared" ca="1" si="1"/>
        <v>45885</v>
      </c>
      <c r="C126" s="366">
        <f ca="1">INDEX(T_Merger!__Saldo_Inicial,_AmortizacionesTablaCliente)</f>
        <v>9.0949470177292824E-12</v>
      </c>
      <c r="D126" s="366">
        <f ca="1">INDEX(T_Merger!__Capital,_AmortizacionesTablaCliente)</f>
        <v>0</v>
      </c>
      <c r="E126" s="519">
        <f ca="1">INDEX(T_Merger!__Interes,_AmortizacionesTablaCliente)</f>
        <v>9.7770680440589784E-14</v>
      </c>
      <c r="F126" s="366">
        <f ca="1">INDEX(T_Merger!__IVA,_AmortizacionesTablaCliente)</f>
        <v>1.1732481652870774E-14</v>
      </c>
      <c r="G126" s="366">
        <f ca="1">INDEX(T_Merger!__Pago,_AmortizacionesTablaCliente)</f>
        <v>1.0950316209346055E-13</v>
      </c>
      <c r="H126" s="491">
        <v>0</v>
      </c>
      <c r="I126" s="367">
        <f ca="1">INDEX(T_Merger!__Saldo_Final,_AmortizacionesTablaCliente)</f>
        <v>9.0949470177292824E-12</v>
      </c>
    </row>
    <row r="127" spans="1:9" hidden="1">
      <c r="A127" s="364">
        <v>108</v>
      </c>
      <c r="B127" s="365">
        <f t="shared" ca="1" si="1"/>
        <v>45916</v>
      </c>
      <c r="C127" s="366">
        <f ca="1">INDEX(T_Merger!__Saldo_Inicial,_AmortizacionesTablaCliente)</f>
        <v>9.0949470177292824E-12</v>
      </c>
      <c r="D127" s="366">
        <f ca="1">INDEX(T_Merger!__Capital,_AmortizacionesTablaCliente)</f>
        <v>0</v>
      </c>
      <c r="E127" s="519">
        <f ca="1">INDEX(T_Merger!__Interes,_AmortizacionesTablaCliente)</f>
        <v>9.7770680440589784E-14</v>
      </c>
      <c r="F127" s="366">
        <f ca="1">INDEX(T_Merger!__IVA,_AmortizacionesTablaCliente)</f>
        <v>1.1732481652870774E-14</v>
      </c>
      <c r="G127" s="366">
        <f ca="1">INDEX(T_Merger!__Pago,_AmortizacionesTablaCliente)</f>
        <v>1.0950316209346055E-13</v>
      </c>
      <c r="H127" s="491">
        <v>0</v>
      </c>
      <c r="I127" s="367">
        <f ca="1">INDEX(T_Merger!__Saldo_Final,_AmortizacionesTablaCliente)</f>
        <v>9.0949470177292824E-12</v>
      </c>
    </row>
    <row r="128" spans="1:9" hidden="1">
      <c r="A128" s="364">
        <v>109</v>
      </c>
      <c r="B128" s="365">
        <f t="shared" ca="1" si="1"/>
        <v>45946</v>
      </c>
      <c r="C128" s="366">
        <f ca="1">INDEX(T_Merger!__Saldo_Inicial,_AmortizacionesTablaCliente)</f>
        <v>9.0949470177292824E-12</v>
      </c>
      <c r="D128" s="366">
        <f ca="1">INDEX(T_Merger!__Capital,_AmortizacionesTablaCliente)</f>
        <v>0</v>
      </c>
      <c r="E128" s="519">
        <f ca="1">INDEX(T_Merger!__Interes,_AmortizacionesTablaCliente)</f>
        <v>9.7770680440589784E-14</v>
      </c>
      <c r="F128" s="366">
        <f ca="1">INDEX(T_Merger!__IVA,_AmortizacionesTablaCliente)</f>
        <v>1.1732481652870774E-14</v>
      </c>
      <c r="G128" s="366">
        <f ca="1">INDEX(T_Merger!__Pago,_AmortizacionesTablaCliente)</f>
        <v>1.0950316209346055E-13</v>
      </c>
      <c r="H128" s="491">
        <v>0</v>
      </c>
      <c r="I128" s="367">
        <f ca="1">INDEX(T_Merger!__Saldo_Final,_AmortizacionesTablaCliente)</f>
        <v>9.0949470177292824E-12</v>
      </c>
    </row>
    <row r="129" spans="1:9" hidden="1">
      <c r="A129" s="364">
        <v>110</v>
      </c>
      <c r="B129" s="365">
        <f t="shared" ca="1" si="1"/>
        <v>45977</v>
      </c>
      <c r="C129" s="366">
        <f ca="1">INDEX(T_Merger!__Saldo_Inicial,_AmortizacionesTablaCliente)</f>
        <v>9.0949470177292824E-12</v>
      </c>
      <c r="D129" s="366">
        <f ca="1">INDEX(T_Merger!__Capital,_AmortizacionesTablaCliente)</f>
        <v>0</v>
      </c>
      <c r="E129" s="519">
        <f ca="1">INDEX(T_Merger!__Interes,_AmortizacionesTablaCliente)</f>
        <v>9.7770680440589784E-14</v>
      </c>
      <c r="F129" s="366">
        <f ca="1">INDEX(T_Merger!__IVA,_AmortizacionesTablaCliente)</f>
        <v>1.1732481652870774E-14</v>
      </c>
      <c r="G129" s="366">
        <f ca="1">INDEX(T_Merger!__Pago,_AmortizacionesTablaCliente)</f>
        <v>1.0950316209346055E-13</v>
      </c>
      <c r="H129" s="491">
        <v>0</v>
      </c>
      <c r="I129" s="367">
        <f ca="1">INDEX(T_Merger!__Saldo_Final,_AmortizacionesTablaCliente)</f>
        <v>9.0949470177292824E-12</v>
      </c>
    </row>
    <row r="130" spans="1:9" hidden="1">
      <c r="A130" s="364">
        <v>111</v>
      </c>
      <c r="B130" s="365">
        <f t="shared" ca="1" si="1"/>
        <v>46007</v>
      </c>
      <c r="C130" s="366">
        <f ca="1">INDEX(T_Merger!__Saldo_Inicial,_AmortizacionesTablaCliente)</f>
        <v>9.0949470177292824E-12</v>
      </c>
      <c r="D130" s="366">
        <f ca="1">INDEX(T_Merger!__Capital,_AmortizacionesTablaCliente)</f>
        <v>0</v>
      </c>
      <c r="E130" s="519">
        <f ca="1">INDEX(T_Merger!__Interes,_AmortizacionesTablaCliente)</f>
        <v>9.7770680440589784E-14</v>
      </c>
      <c r="F130" s="366">
        <f ca="1">INDEX(T_Merger!__IVA,_AmortizacionesTablaCliente)</f>
        <v>1.1732481652870774E-14</v>
      </c>
      <c r="G130" s="366">
        <f ca="1">INDEX(T_Merger!__Pago,_AmortizacionesTablaCliente)</f>
        <v>1.0950316209346055E-13</v>
      </c>
      <c r="H130" s="491">
        <v>0</v>
      </c>
      <c r="I130" s="367">
        <f ca="1">INDEX(T_Merger!__Saldo_Final,_AmortizacionesTablaCliente)</f>
        <v>9.0949470177292824E-12</v>
      </c>
    </row>
    <row r="131" spans="1:9" hidden="1">
      <c r="A131" s="364">
        <v>112</v>
      </c>
      <c r="B131" s="365">
        <f t="shared" ca="1" si="1"/>
        <v>46038</v>
      </c>
      <c r="C131" s="366">
        <f ca="1">INDEX(T_Merger!__Saldo_Inicial,_AmortizacionesTablaCliente)</f>
        <v>9.0949470177292824E-12</v>
      </c>
      <c r="D131" s="366">
        <f ca="1">INDEX(T_Merger!__Capital,_AmortizacionesTablaCliente)</f>
        <v>0</v>
      </c>
      <c r="E131" s="519">
        <f ca="1">INDEX(T_Merger!__Interes,_AmortizacionesTablaCliente)</f>
        <v>9.7770680440589784E-14</v>
      </c>
      <c r="F131" s="366">
        <f ca="1">INDEX(T_Merger!__IVA,_AmortizacionesTablaCliente)</f>
        <v>1.1732481652870774E-14</v>
      </c>
      <c r="G131" s="366">
        <f ca="1">INDEX(T_Merger!__Pago,_AmortizacionesTablaCliente)</f>
        <v>1.0950316209346055E-13</v>
      </c>
      <c r="H131" s="491">
        <v>0</v>
      </c>
      <c r="I131" s="367">
        <f ca="1">INDEX(T_Merger!__Saldo_Final,_AmortizacionesTablaCliente)</f>
        <v>9.0949470177292824E-12</v>
      </c>
    </row>
    <row r="132" spans="1:9" hidden="1">
      <c r="A132" s="364">
        <v>113</v>
      </c>
      <c r="B132" s="365">
        <f t="shared" ca="1" si="1"/>
        <v>46069</v>
      </c>
      <c r="C132" s="366">
        <f ca="1">INDEX(T_Merger!__Saldo_Inicial,_AmortizacionesTablaCliente)</f>
        <v>9.0949470177292824E-12</v>
      </c>
      <c r="D132" s="366">
        <f ca="1">INDEX(T_Merger!__Capital,_AmortizacionesTablaCliente)</f>
        <v>0</v>
      </c>
      <c r="E132" s="519">
        <f ca="1">INDEX(T_Merger!__Interes,_AmortizacionesTablaCliente)</f>
        <v>9.7770680440589784E-14</v>
      </c>
      <c r="F132" s="366">
        <f ca="1">INDEX(T_Merger!__IVA,_AmortizacionesTablaCliente)</f>
        <v>1.1732481652870774E-14</v>
      </c>
      <c r="G132" s="366">
        <f ca="1">INDEX(T_Merger!__Pago,_AmortizacionesTablaCliente)</f>
        <v>1.0950316209346055E-13</v>
      </c>
      <c r="H132" s="491">
        <v>0</v>
      </c>
      <c r="I132" s="367">
        <f ca="1">INDEX(T_Merger!__Saldo_Final,_AmortizacionesTablaCliente)</f>
        <v>9.0949470177292824E-12</v>
      </c>
    </row>
    <row r="133" spans="1:9" hidden="1">
      <c r="A133" s="364">
        <v>114</v>
      </c>
      <c r="B133" s="365">
        <f t="shared" ca="1" si="1"/>
        <v>46097</v>
      </c>
      <c r="C133" s="366">
        <f ca="1">INDEX(T_Merger!__Saldo_Inicial,_AmortizacionesTablaCliente)</f>
        <v>9.0949470177292824E-12</v>
      </c>
      <c r="D133" s="366">
        <f ca="1">INDEX(T_Merger!__Capital,_AmortizacionesTablaCliente)</f>
        <v>0</v>
      </c>
      <c r="E133" s="519">
        <f ca="1">INDEX(T_Merger!__Interes,_AmortizacionesTablaCliente)</f>
        <v>9.7770680440589784E-14</v>
      </c>
      <c r="F133" s="366">
        <f ca="1">INDEX(T_Merger!__IVA,_AmortizacionesTablaCliente)</f>
        <v>1.1732481652870774E-14</v>
      </c>
      <c r="G133" s="366">
        <f ca="1">INDEX(T_Merger!__Pago,_AmortizacionesTablaCliente)</f>
        <v>1.0950316209346055E-13</v>
      </c>
      <c r="H133" s="491">
        <v>0</v>
      </c>
      <c r="I133" s="367">
        <f ca="1">INDEX(T_Merger!__Saldo_Final,_AmortizacionesTablaCliente)</f>
        <v>9.0949470177292824E-12</v>
      </c>
    </row>
    <row r="134" spans="1:9" hidden="1">
      <c r="A134" s="364">
        <v>115</v>
      </c>
      <c r="B134" s="365">
        <f t="shared" ca="1" si="1"/>
        <v>46128</v>
      </c>
      <c r="C134" s="366">
        <f ca="1">INDEX(T_Merger!__Saldo_Inicial,_AmortizacionesTablaCliente)</f>
        <v>9.0949470177292824E-12</v>
      </c>
      <c r="D134" s="366">
        <f ca="1">INDEX(T_Merger!__Capital,_AmortizacionesTablaCliente)</f>
        <v>0</v>
      </c>
      <c r="E134" s="519">
        <f ca="1">INDEX(T_Merger!__Interes,_AmortizacionesTablaCliente)</f>
        <v>9.7770680440589784E-14</v>
      </c>
      <c r="F134" s="366">
        <f ca="1">INDEX(T_Merger!__IVA,_AmortizacionesTablaCliente)</f>
        <v>1.1732481652870774E-14</v>
      </c>
      <c r="G134" s="366">
        <f ca="1">INDEX(T_Merger!__Pago,_AmortizacionesTablaCliente)</f>
        <v>1.0950316209346055E-13</v>
      </c>
      <c r="H134" s="491">
        <v>0</v>
      </c>
      <c r="I134" s="367">
        <f ca="1">INDEX(T_Merger!__Saldo_Final,_AmortizacionesTablaCliente)</f>
        <v>9.0949470177292824E-12</v>
      </c>
    </row>
    <row r="135" spans="1:9" hidden="1">
      <c r="A135" s="364">
        <v>116</v>
      </c>
      <c r="B135" s="365">
        <f t="shared" ca="1" si="1"/>
        <v>46158</v>
      </c>
      <c r="C135" s="366">
        <f ca="1">INDEX(T_Merger!__Saldo_Inicial,_AmortizacionesTablaCliente)</f>
        <v>9.0949470177292824E-12</v>
      </c>
      <c r="D135" s="366">
        <f ca="1">INDEX(T_Merger!__Capital,_AmortizacionesTablaCliente)</f>
        <v>0</v>
      </c>
      <c r="E135" s="519">
        <f ca="1">INDEX(T_Merger!__Interes,_AmortizacionesTablaCliente)</f>
        <v>9.7770680440589784E-14</v>
      </c>
      <c r="F135" s="366">
        <f ca="1">INDEX(T_Merger!__IVA,_AmortizacionesTablaCliente)</f>
        <v>1.1732481652870774E-14</v>
      </c>
      <c r="G135" s="366">
        <f ca="1">INDEX(T_Merger!__Pago,_AmortizacionesTablaCliente)</f>
        <v>1.0950316209346055E-13</v>
      </c>
      <c r="H135" s="491">
        <v>0</v>
      </c>
      <c r="I135" s="367">
        <f ca="1">INDEX(T_Merger!__Saldo_Final,_AmortizacionesTablaCliente)</f>
        <v>9.0949470177292824E-12</v>
      </c>
    </row>
    <row r="136" spans="1:9" hidden="1">
      <c r="A136" s="364">
        <v>117</v>
      </c>
      <c r="B136" s="365">
        <f t="shared" ca="1" si="1"/>
        <v>46189</v>
      </c>
      <c r="C136" s="366">
        <f ca="1">INDEX(T_Merger!__Saldo_Inicial,_AmortizacionesTablaCliente)</f>
        <v>9.0949470177292824E-12</v>
      </c>
      <c r="D136" s="366">
        <f ca="1">INDEX(T_Merger!__Capital,_AmortizacionesTablaCliente)</f>
        <v>0</v>
      </c>
      <c r="E136" s="519">
        <f ca="1">INDEX(T_Merger!__Interes,_AmortizacionesTablaCliente)</f>
        <v>9.7770680440589784E-14</v>
      </c>
      <c r="F136" s="366">
        <f ca="1">INDEX(T_Merger!__IVA,_AmortizacionesTablaCliente)</f>
        <v>1.1732481652870774E-14</v>
      </c>
      <c r="G136" s="366">
        <f ca="1">INDEX(T_Merger!__Pago,_AmortizacionesTablaCliente)</f>
        <v>1.0950316209346055E-13</v>
      </c>
      <c r="H136" s="491">
        <v>0</v>
      </c>
      <c r="I136" s="367">
        <f ca="1">INDEX(T_Merger!__Saldo_Final,_AmortizacionesTablaCliente)</f>
        <v>9.0949470177292824E-12</v>
      </c>
    </row>
    <row r="137" spans="1:9" hidden="1">
      <c r="A137" s="364">
        <v>118</v>
      </c>
      <c r="B137" s="365">
        <f t="shared" ca="1" si="1"/>
        <v>46219</v>
      </c>
      <c r="C137" s="366">
        <f ca="1">INDEX(T_Merger!__Saldo_Inicial,_AmortizacionesTablaCliente)</f>
        <v>9.0949470177292824E-12</v>
      </c>
      <c r="D137" s="366">
        <f ca="1">INDEX(T_Merger!__Capital,_AmortizacionesTablaCliente)</f>
        <v>0</v>
      </c>
      <c r="E137" s="519">
        <f ca="1">INDEX(T_Merger!__Interes,_AmortizacionesTablaCliente)</f>
        <v>9.7770680440589784E-14</v>
      </c>
      <c r="F137" s="366">
        <f ca="1">INDEX(T_Merger!__IVA,_AmortizacionesTablaCliente)</f>
        <v>1.1732481652870774E-14</v>
      </c>
      <c r="G137" s="366">
        <f ca="1">INDEX(T_Merger!__Pago,_AmortizacionesTablaCliente)</f>
        <v>1.0950316209346055E-13</v>
      </c>
      <c r="H137" s="491">
        <v>0</v>
      </c>
      <c r="I137" s="367">
        <f ca="1">INDEX(T_Merger!__Saldo_Final,_AmortizacionesTablaCliente)</f>
        <v>9.0949470177292824E-12</v>
      </c>
    </row>
    <row r="138" spans="1:9" hidden="1">
      <c r="A138" s="364">
        <v>119</v>
      </c>
      <c r="B138" s="365">
        <f t="shared" ca="1" si="1"/>
        <v>46250</v>
      </c>
      <c r="C138" s="366">
        <f ca="1">INDEX(T_Merger!__Saldo_Inicial,_AmortizacionesTablaCliente)</f>
        <v>9.0949470177292824E-12</v>
      </c>
      <c r="D138" s="366">
        <f ca="1">INDEX(T_Merger!__Capital,_AmortizacionesTablaCliente)</f>
        <v>0</v>
      </c>
      <c r="E138" s="519">
        <f ca="1">INDEX(T_Merger!__Interes,_AmortizacionesTablaCliente)</f>
        <v>9.7770680440589784E-14</v>
      </c>
      <c r="F138" s="366">
        <f ca="1">INDEX(T_Merger!__IVA,_AmortizacionesTablaCliente)</f>
        <v>1.1732481652870774E-14</v>
      </c>
      <c r="G138" s="366">
        <f ca="1">INDEX(T_Merger!__Pago,_AmortizacionesTablaCliente)</f>
        <v>1.0950316209346055E-13</v>
      </c>
      <c r="H138" s="491">
        <v>0</v>
      </c>
      <c r="I138" s="367">
        <f ca="1">INDEX(T_Merger!__Saldo_Final,_AmortizacionesTablaCliente)</f>
        <v>9.0949470177292824E-12</v>
      </c>
    </row>
    <row r="139" spans="1:9" hidden="1">
      <c r="A139" s="364">
        <v>120</v>
      </c>
      <c r="B139" s="365">
        <f t="shared" ca="1" si="1"/>
        <v>46281</v>
      </c>
      <c r="C139" s="366">
        <f ca="1">INDEX(T_Merger!__Saldo_Inicial,_AmortizacionesTablaCliente)</f>
        <v>9.0949470177292824E-12</v>
      </c>
      <c r="D139" s="366">
        <f ca="1">INDEX(T_Merger!__Capital,_AmortizacionesTablaCliente)</f>
        <v>0</v>
      </c>
      <c r="E139" s="519">
        <f ca="1">INDEX(T_Merger!__Interes,_AmortizacionesTablaCliente)</f>
        <v>9.7770680440589784E-14</v>
      </c>
      <c r="F139" s="366">
        <f ca="1">INDEX(T_Merger!__IVA,_AmortizacionesTablaCliente)</f>
        <v>1.1732481652870774E-14</v>
      </c>
      <c r="G139" s="366">
        <f ca="1">INDEX(T_Merger!__Pago,_AmortizacionesTablaCliente)</f>
        <v>1.0950316209346055E-13</v>
      </c>
      <c r="H139" s="491">
        <v>0</v>
      </c>
      <c r="I139" s="367">
        <f ca="1">INDEX(T_Merger!__Saldo_Final,_AmortizacionesTablaCliente)</f>
        <v>9.0949470177292824E-12</v>
      </c>
    </row>
    <row r="140" spans="1:9" hidden="1">
      <c r="A140" s="364">
        <v>121</v>
      </c>
      <c r="B140" s="365">
        <f t="shared" ca="1" si="1"/>
        <v>46311</v>
      </c>
      <c r="C140" s="366">
        <f ca="1">INDEX(T_Merger!__Saldo_Inicial,_AmortizacionesTablaCliente)</f>
        <v>9.0949470177292824E-12</v>
      </c>
      <c r="D140" s="366">
        <f ca="1">INDEX(T_Merger!__Capital,_AmortizacionesTablaCliente)</f>
        <v>0</v>
      </c>
      <c r="E140" s="519">
        <f ca="1">INDEX(T_Merger!__Interes,_AmortizacionesTablaCliente)</f>
        <v>9.7770680440589784E-14</v>
      </c>
      <c r="F140" s="366">
        <f ca="1">INDEX(T_Merger!__IVA,_AmortizacionesTablaCliente)</f>
        <v>1.1732481652870774E-14</v>
      </c>
      <c r="G140" s="366">
        <f ca="1">INDEX(T_Merger!__Pago,_AmortizacionesTablaCliente)</f>
        <v>1.0950316209346055E-13</v>
      </c>
      <c r="H140" s="491">
        <v>0</v>
      </c>
      <c r="I140" s="367">
        <f ca="1">INDEX(T_Merger!__Saldo_Final,_AmortizacionesTablaCliente)</f>
        <v>9.0949470177292824E-12</v>
      </c>
    </row>
    <row r="141" spans="1:9" hidden="1">
      <c r="A141" s="364">
        <v>122</v>
      </c>
      <c r="B141" s="365">
        <f t="shared" ca="1" si="1"/>
        <v>46342</v>
      </c>
      <c r="C141" s="366">
        <f ca="1">INDEX(T_Merger!__Saldo_Inicial,_AmortizacionesTablaCliente)</f>
        <v>9.0949470177292824E-12</v>
      </c>
      <c r="D141" s="366">
        <f ca="1">INDEX(T_Merger!__Capital,_AmortizacionesTablaCliente)</f>
        <v>0</v>
      </c>
      <c r="E141" s="519">
        <f ca="1">INDEX(T_Merger!__Interes,_AmortizacionesTablaCliente)</f>
        <v>9.7770680440589784E-14</v>
      </c>
      <c r="F141" s="366">
        <f ca="1">INDEX(T_Merger!__IVA,_AmortizacionesTablaCliente)</f>
        <v>1.1732481652870774E-14</v>
      </c>
      <c r="G141" s="366">
        <f ca="1">INDEX(T_Merger!__Pago,_AmortizacionesTablaCliente)</f>
        <v>1.0950316209346055E-13</v>
      </c>
      <c r="H141" s="491">
        <v>0</v>
      </c>
      <c r="I141" s="367">
        <f ca="1">INDEX(T_Merger!__Saldo_Final,_AmortizacionesTablaCliente)</f>
        <v>9.0949470177292824E-12</v>
      </c>
    </row>
    <row r="142" spans="1:9" hidden="1">
      <c r="A142" s="364">
        <v>123</v>
      </c>
      <c r="B142" s="365">
        <f t="shared" ca="1" si="1"/>
        <v>46372</v>
      </c>
      <c r="C142" s="366">
        <f ca="1">INDEX(T_Merger!__Saldo_Inicial,_AmortizacionesTablaCliente)</f>
        <v>9.0949470177292824E-12</v>
      </c>
      <c r="D142" s="366">
        <f ca="1">INDEX(T_Merger!__Capital,_AmortizacionesTablaCliente)</f>
        <v>0</v>
      </c>
      <c r="E142" s="519">
        <f ca="1">INDEX(T_Merger!__Interes,_AmortizacionesTablaCliente)</f>
        <v>9.7770680440589784E-14</v>
      </c>
      <c r="F142" s="366">
        <f ca="1">INDEX(T_Merger!__IVA,_AmortizacionesTablaCliente)</f>
        <v>1.1732481652870774E-14</v>
      </c>
      <c r="G142" s="366">
        <f ca="1">INDEX(T_Merger!__Pago,_AmortizacionesTablaCliente)</f>
        <v>1.0950316209346055E-13</v>
      </c>
      <c r="H142" s="491">
        <v>0</v>
      </c>
      <c r="I142" s="367">
        <f ca="1">INDEX(T_Merger!__Saldo_Final,_AmortizacionesTablaCliente)</f>
        <v>9.0949470177292824E-12</v>
      </c>
    </row>
    <row r="143" spans="1:9" hidden="1">
      <c r="A143" s="364">
        <v>124</v>
      </c>
      <c r="B143" s="365">
        <f t="shared" ca="1" si="1"/>
        <v>46403</v>
      </c>
      <c r="C143" s="366">
        <f ca="1">INDEX(T_Merger!__Saldo_Inicial,_AmortizacionesTablaCliente)</f>
        <v>9.0949470177292824E-12</v>
      </c>
      <c r="D143" s="366">
        <f ca="1">INDEX(T_Merger!__Capital,_AmortizacionesTablaCliente)</f>
        <v>0</v>
      </c>
      <c r="E143" s="519">
        <f ca="1">INDEX(T_Merger!__Interes,_AmortizacionesTablaCliente)</f>
        <v>9.7770680440589784E-14</v>
      </c>
      <c r="F143" s="366">
        <f ca="1">INDEX(T_Merger!__IVA,_AmortizacionesTablaCliente)</f>
        <v>1.1732481652870774E-14</v>
      </c>
      <c r="G143" s="366">
        <f ca="1">INDEX(T_Merger!__Pago,_AmortizacionesTablaCliente)</f>
        <v>1.0950316209346055E-13</v>
      </c>
      <c r="H143" s="491">
        <v>0</v>
      </c>
      <c r="I143" s="367">
        <f ca="1">INDEX(T_Merger!__Saldo_Final,_AmortizacionesTablaCliente)</f>
        <v>9.0949470177292824E-12</v>
      </c>
    </row>
    <row r="144" spans="1:9" hidden="1">
      <c r="A144" s="364">
        <v>125</v>
      </c>
      <c r="B144" s="365">
        <f t="shared" ca="1" si="1"/>
        <v>46434</v>
      </c>
      <c r="C144" s="366">
        <f ca="1">INDEX(T_Merger!__Saldo_Inicial,_AmortizacionesTablaCliente)</f>
        <v>9.0949470177292824E-12</v>
      </c>
      <c r="D144" s="366">
        <f ca="1">INDEX(T_Merger!__Capital,_AmortizacionesTablaCliente)</f>
        <v>0</v>
      </c>
      <c r="E144" s="519">
        <f ca="1">INDEX(T_Merger!__Interes,_AmortizacionesTablaCliente)</f>
        <v>9.7770680440589784E-14</v>
      </c>
      <c r="F144" s="366">
        <f ca="1">INDEX(T_Merger!__IVA,_AmortizacionesTablaCliente)</f>
        <v>1.1732481652870774E-14</v>
      </c>
      <c r="G144" s="366">
        <f ca="1">INDEX(T_Merger!__Pago,_AmortizacionesTablaCliente)</f>
        <v>1.0950316209346055E-13</v>
      </c>
      <c r="H144" s="491">
        <v>0</v>
      </c>
      <c r="I144" s="367">
        <f ca="1">INDEX(T_Merger!__Saldo_Final,_AmortizacionesTablaCliente)</f>
        <v>9.0949470177292824E-12</v>
      </c>
    </row>
    <row r="145" spans="1:9" hidden="1">
      <c r="A145" s="364">
        <v>126</v>
      </c>
      <c r="B145" s="365">
        <f t="shared" ca="1" si="1"/>
        <v>46462</v>
      </c>
      <c r="C145" s="366">
        <f ca="1">INDEX(T_Merger!__Saldo_Inicial,_AmortizacionesTablaCliente)</f>
        <v>9.0949470177292824E-12</v>
      </c>
      <c r="D145" s="366">
        <f ca="1">INDEX(T_Merger!__Capital,_AmortizacionesTablaCliente)</f>
        <v>0</v>
      </c>
      <c r="E145" s="519">
        <f ca="1">INDEX(T_Merger!__Interes,_AmortizacionesTablaCliente)</f>
        <v>9.7770680440589784E-14</v>
      </c>
      <c r="F145" s="366">
        <f ca="1">INDEX(T_Merger!__IVA,_AmortizacionesTablaCliente)</f>
        <v>1.1732481652870774E-14</v>
      </c>
      <c r="G145" s="366">
        <f ca="1">INDEX(T_Merger!__Pago,_AmortizacionesTablaCliente)</f>
        <v>1.0950316209346055E-13</v>
      </c>
      <c r="H145" s="491">
        <v>0</v>
      </c>
      <c r="I145" s="367">
        <f ca="1">INDEX(T_Merger!__Saldo_Final,_AmortizacionesTablaCliente)</f>
        <v>9.0949470177292824E-12</v>
      </c>
    </row>
    <row r="146" spans="1:9" hidden="1">
      <c r="A146" s="364">
        <v>127</v>
      </c>
      <c r="B146" s="365">
        <f t="shared" ca="1" si="1"/>
        <v>46493</v>
      </c>
      <c r="C146" s="366">
        <f ca="1">INDEX(T_Merger!__Saldo_Inicial,_AmortizacionesTablaCliente)</f>
        <v>9.0949470177292824E-12</v>
      </c>
      <c r="D146" s="366">
        <f ca="1">INDEX(T_Merger!__Capital,_AmortizacionesTablaCliente)</f>
        <v>0</v>
      </c>
      <c r="E146" s="519">
        <f ca="1">INDEX(T_Merger!__Interes,_AmortizacionesTablaCliente)</f>
        <v>9.7770680440589784E-14</v>
      </c>
      <c r="F146" s="366">
        <f ca="1">INDEX(T_Merger!__IVA,_AmortizacionesTablaCliente)</f>
        <v>1.1732481652870774E-14</v>
      </c>
      <c r="G146" s="366">
        <f ca="1">INDEX(T_Merger!__Pago,_AmortizacionesTablaCliente)</f>
        <v>1.0950316209346055E-13</v>
      </c>
      <c r="H146" s="491">
        <v>0</v>
      </c>
      <c r="I146" s="367">
        <f ca="1">INDEX(T_Merger!__Saldo_Final,_AmortizacionesTablaCliente)</f>
        <v>9.0949470177292824E-12</v>
      </c>
    </row>
    <row r="147" spans="1:9" hidden="1">
      <c r="A147" s="364">
        <v>128</v>
      </c>
      <c r="B147" s="365">
        <f t="shared" ca="1" si="1"/>
        <v>46523</v>
      </c>
      <c r="C147" s="366">
        <f ca="1">INDEX(T_Merger!__Saldo_Inicial,_AmortizacionesTablaCliente)</f>
        <v>9.0949470177292824E-12</v>
      </c>
      <c r="D147" s="366">
        <f ca="1">INDEX(T_Merger!__Capital,_AmortizacionesTablaCliente)</f>
        <v>0</v>
      </c>
      <c r="E147" s="519">
        <f ca="1">INDEX(T_Merger!__Interes,_AmortizacionesTablaCliente)</f>
        <v>9.7770680440589784E-14</v>
      </c>
      <c r="F147" s="366">
        <f ca="1">INDEX(T_Merger!__IVA,_AmortizacionesTablaCliente)</f>
        <v>1.1732481652870774E-14</v>
      </c>
      <c r="G147" s="366">
        <f ca="1">INDEX(T_Merger!__Pago,_AmortizacionesTablaCliente)</f>
        <v>1.0950316209346055E-13</v>
      </c>
      <c r="H147" s="491">
        <v>0</v>
      </c>
      <c r="I147" s="367">
        <f ca="1">INDEX(T_Merger!__Saldo_Final,_AmortizacionesTablaCliente)</f>
        <v>9.0949470177292824E-12</v>
      </c>
    </row>
    <row r="148" spans="1:9" hidden="1">
      <c r="A148" s="364">
        <v>129</v>
      </c>
      <c r="B148" s="365">
        <f t="shared" ref="B148:B211" ca="1" si="2">INDEX(Fechas_Pago,_AmortizacionesTablaCliente)</f>
        <v>46554</v>
      </c>
      <c r="C148" s="366">
        <f ca="1">INDEX(T_Merger!__Saldo_Inicial,_AmortizacionesTablaCliente)</f>
        <v>9.0949470177292824E-12</v>
      </c>
      <c r="D148" s="366">
        <f ca="1">INDEX(T_Merger!__Capital,_AmortizacionesTablaCliente)</f>
        <v>0</v>
      </c>
      <c r="E148" s="519">
        <f ca="1">INDEX(T_Merger!__Interes,_AmortizacionesTablaCliente)</f>
        <v>9.7770680440589784E-14</v>
      </c>
      <c r="F148" s="366">
        <f ca="1">INDEX(T_Merger!__IVA,_AmortizacionesTablaCliente)</f>
        <v>1.1732481652870774E-14</v>
      </c>
      <c r="G148" s="366">
        <f ca="1">INDEX(T_Merger!__Pago,_AmortizacionesTablaCliente)</f>
        <v>1.0950316209346055E-13</v>
      </c>
      <c r="H148" s="491">
        <v>0</v>
      </c>
      <c r="I148" s="367">
        <f ca="1">INDEX(T_Merger!__Saldo_Final,_AmortizacionesTablaCliente)</f>
        <v>9.0949470177292824E-12</v>
      </c>
    </row>
    <row r="149" spans="1:9" hidden="1">
      <c r="A149" s="364">
        <v>130</v>
      </c>
      <c r="B149" s="365">
        <f t="shared" ca="1" si="2"/>
        <v>46584</v>
      </c>
      <c r="C149" s="366">
        <f ca="1">INDEX(T_Merger!__Saldo_Inicial,_AmortizacionesTablaCliente)</f>
        <v>9.0949470177292824E-12</v>
      </c>
      <c r="D149" s="366">
        <f ca="1">INDEX(T_Merger!__Capital,_AmortizacionesTablaCliente)</f>
        <v>0</v>
      </c>
      <c r="E149" s="519">
        <f ca="1">INDEX(T_Merger!__Interes,_AmortizacionesTablaCliente)</f>
        <v>9.7770680440589784E-14</v>
      </c>
      <c r="F149" s="366">
        <f ca="1">INDEX(T_Merger!__IVA,_AmortizacionesTablaCliente)</f>
        <v>1.1732481652870774E-14</v>
      </c>
      <c r="G149" s="366">
        <f ca="1">INDEX(T_Merger!__Pago,_AmortizacionesTablaCliente)</f>
        <v>1.0950316209346055E-13</v>
      </c>
      <c r="H149" s="491">
        <v>0</v>
      </c>
      <c r="I149" s="367">
        <f ca="1">INDEX(T_Merger!__Saldo_Final,_AmortizacionesTablaCliente)</f>
        <v>9.0949470177292824E-12</v>
      </c>
    </row>
    <row r="150" spans="1:9" hidden="1">
      <c r="A150" s="364">
        <v>131</v>
      </c>
      <c r="B150" s="365">
        <f t="shared" ca="1" si="2"/>
        <v>46615</v>
      </c>
      <c r="C150" s="366">
        <f ca="1">INDEX(T_Merger!__Saldo_Inicial,_AmortizacionesTablaCliente)</f>
        <v>9.0949470177292824E-12</v>
      </c>
      <c r="D150" s="366">
        <f ca="1">INDEX(T_Merger!__Capital,_AmortizacionesTablaCliente)</f>
        <v>0</v>
      </c>
      <c r="E150" s="519">
        <f ca="1">INDEX(T_Merger!__Interes,_AmortizacionesTablaCliente)</f>
        <v>9.7770680440589784E-14</v>
      </c>
      <c r="F150" s="366">
        <f ca="1">INDEX(T_Merger!__IVA,_AmortizacionesTablaCliente)</f>
        <v>1.1732481652870774E-14</v>
      </c>
      <c r="G150" s="366">
        <f ca="1">INDEX(T_Merger!__Pago,_AmortizacionesTablaCliente)</f>
        <v>1.0950316209346055E-13</v>
      </c>
      <c r="H150" s="491">
        <v>0</v>
      </c>
      <c r="I150" s="367">
        <f ca="1">INDEX(T_Merger!__Saldo_Final,_AmortizacionesTablaCliente)</f>
        <v>9.0949470177292824E-12</v>
      </c>
    </row>
    <row r="151" spans="1:9" hidden="1">
      <c r="A151" s="364">
        <v>132</v>
      </c>
      <c r="B151" s="365">
        <f t="shared" ca="1" si="2"/>
        <v>46646</v>
      </c>
      <c r="C151" s="366">
        <f ca="1">INDEX(T_Merger!__Saldo_Inicial,_AmortizacionesTablaCliente)</f>
        <v>9.0949470177292824E-12</v>
      </c>
      <c r="D151" s="366">
        <f ca="1">INDEX(T_Merger!__Capital,_AmortizacionesTablaCliente)</f>
        <v>0</v>
      </c>
      <c r="E151" s="519">
        <f ca="1">INDEX(T_Merger!__Interes,_AmortizacionesTablaCliente)</f>
        <v>9.7770680440589784E-14</v>
      </c>
      <c r="F151" s="366">
        <f ca="1">INDEX(T_Merger!__IVA,_AmortizacionesTablaCliente)</f>
        <v>1.1732481652870774E-14</v>
      </c>
      <c r="G151" s="366">
        <f ca="1">INDEX(T_Merger!__Pago,_AmortizacionesTablaCliente)</f>
        <v>1.0950316209346055E-13</v>
      </c>
      <c r="H151" s="491">
        <v>0</v>
      </c>
      <c r="I151" s="367">
        <f ca="1">INDEX(T_Merger!__Saldo_Final,_AmortizacionesTablaCliente)</f>
        <v>9.0949470177292824E-12</v>
      </c>
    </row>
    <row r="152" spans="1:9" hidden="1">
      <c r="A152" s="364">
        <v>133</v>
      </c>
      <c r="B152" s="365">
        <f t="shared" ca="1" si="2"/>
        <v>46676</v>
      </c>
      <c r="C152" s="366">
        <f ca="1">INDEX(T_Merger!__Saldo_Inicial,_AmortizacionesTablaCliente)</f>
        <v>9.0949470177292824E-12</v>
      </c>
      <c r="D152" s="366">
        <f ca="1">INDEX(T_Merger!__Capital,_AmortizacionesTablaCliente)</f>
        <v>0</v>
      </c>
      <c r="E152" s="519">
        <f ca="1">INDEX(T_Merger!__Interes,_AmortizacionesTablaCliente)</f>
        <v>9.7770680440589784E-14</v>
      </c>
      <c r="F152" s="366">
        <f ca="1">INDEX(T_Merger!__IVA,_AmortizacionesTablaCliente)</f>
        <v>1.1732481652870774E-14</v>
      </c>
      <c r="G152" s="366">
        <f ca="1">INDEX(T_Merger!__Pago,_AmortizacionesTablaCliente)</f>
        <v>1.0950316209346055E-13</v>
      </c>
      <c r="H152" s="491">
        <v>0</v>
      </c>
      <c r="I152" s="367">
        <f ca="1">INDEX(T_Merger!__Saldo_Final,_AmortizacionesTablaCliente)</f>
        <v>9.0949470177292824E-12</v>
      </c>
    </row>
    <row r="153" spans="1:9" hidden="1">
      <c r="A153" s="364">
        <v>134</v>
      </c>
      <c r="B153" s="365">
        <f t="shared" ca="1" si="2"/>
        <v>46707</v>
      </c>
      <c r="C153" s="366">
        <f ca="1">INDEX(T_Merger!__Saldo_Inicial,_AmortizacionesTablaCliente)</f>
        <v>9.0949470177292824E-12</v>
      </c>
      <c r="D153" s="366">
        <f ca="1">INDEX(T_Merger!__Capital,_AmortizacionesTablaCliente)</f>
        <v>0</v>
      </c>
      <c r="E153" s="519">
        <f ca="1">INDEX(T_Merger!__Interes,_AmortizacionesTablaCliente)</f>
        <v>9.7770680440589784E-14</v>
      </c>
      <c r="F153" s="366">
        <f ca="1">INDEX(T_Merger!__IVA,_AmortizacionesTablaCliente)</f>
        <v>1.1732481652870774E-14</v>
      </c>
      <c r="G153" s="366">
        <f ca="1">INDEX(T_Merger!__Pago,_AmortizacionesTablaCliente)</f>
        <v>1.0950316209346055E-13</v>
      </c>
      <c r="H153" s="491">
        <v>0</v>
      </c>
      <c r="I153" s="367">
        <f ca="1">INDEX(T_Merger!__Saldo_Final,_AmortizacionesTablaCliente)</f>
        <v>9.0949470177292824E-12</v>
      </c>
    </row>
    <row r="154" spans="1:9" hidden="1">
      <c r="A154" s="364">
        <v>135</v>
      </c>
      <c r="B154" s="365">
        <f t="shared" ca="1" si="2"/>
        <v>46737</v>
      </c>
      <c r="C154" s="366">
        <f ca="1">INDEX(T_Merger!__Saldo_Inicial,_AmortizacionesTablaCliente)</f>
        <v>9.0949470177292824E-12</v>
      </c>
      <c r="D154" s="366">
        <f ca="1">INDEX(T_Merger!__Capital,_AmortizacionesTablaCliente)</f>
        <v>0</v>
      </c>
      <c r="E154" s="519">
        <f ca="1">INDEX(T_Merger!__Interes,_AmortizacionesTablaCliente)</f>
        <v>9.7770680440589784E-14</v>
      </c>
      <c r="F154" s="366">
        <f ca="1">INDEX(T_Merger!__IVA,_AmortizacionesTablaCliente)</f>
        <v>1.1732481652870774E-14</v>
      </c>
      <c r="G154" s="366">
        <f ca="1">INDEX(T_Merger!__Pago,_AmortizacionesTablaCliente)</f>
        <v>1.0950316209346055E-13</v>
      </c>
      <c r="H154" s="491">
        <v>0</v>
      </c>
      <c r="I154" s="367">
        <f ca="1">INDEX(T_Merger!__Saldo_Final,_AmortizacionesTablaCliente)</f>
        <v>9.0949470177292824E-12</v>
      </c>
    </row>
    <row r="155" spans="1:9" hidden="1">
      <c r="A155" s="364">
        <v>136</v>
      </c>
      <c r="B155" s="365">
        <f t="shared" ca="1" si="2"/>
        <v>46768</v>
      </c>
      <c r="C155" s="366">
        <f ca="1">INDEX(T_Merger!__Saldo_Inicial,_AmortizacionesTablaCliente)</f>
        <v>9.0949470177292824E-12</v>
      </c>
      <c r="D155" s="366">
        <f ca="1">INDEX(T_Merger!__Capital,_AmortizacionesTablaCliente)</f>
        <v>0</v>
      </c>
      <c r="E155" s="519">
        <f ca="1">INDEX(T_Merger!__Interes,_AmortizacionesTablaCliente)</f>
        <v>9.7770680440589784E-14</v>
      </c>
      <c r="F155" s="366">
        <f ca="1">INDEX(T_Merger!__IVA,_AmortizacionesTablaCliente)</f>
        <v>1.1732481652870774E-14</v>
      </c>
      <c r="G155" s="366">
        <f ca="1">INDEX(T_Merger!__Pago,_AmortizacionesTablaCliente)</f>
        <v>1.0950316209346055E-13</v>
      </c>
      <c r="H155" s="491">
        <v>0</v>
      </c>
      <c r="I155" s="367">
        <f ca="1">INDEX(T_Merger!__Saldo_Final,_AmortizacionesTablaCliente)</f>
        <v>9.0949470177292824E-12</v>
      </c>
    </row>
    <row r="156" spans="1:9" hidden="1">
      <c r="A156" s="364">
        <v>137</v>
      </c>
      <c r="B156" s="365">
        <f t="shared" ca="1" si="2"/>
        <v>46799</v>
      </c>
      <c r="C156" s="366">
        <f ca="1">INDEX(T_Merger!__Saldo_Inicial,_AmortizacionesTablaCliente)</f>
        <v>9.0949470177292824E-12</v>
      </c>
      <c r="D156" s="366">
        <f ca="1">INDEX(T_Merger!__Capital,_AmortizacionesTablaCliente)</f>
        <v>0</v>
      </c>
      <c r="E156" s="519">
        <f ca="1">INDEX(T_Merger!__Interes,_AmortizacionesTablaCliente)</f>
        <v>9.7770680440589784E-14</v>
      </c>
      <c r="F156" s="366">
        <f ca="1">INDEX(T_Merger!__IVA,_AmortizacionesTablaCliente)</f>
        <v>1.1732481652870774E-14</v>
      </c>
      <c r="G156" s="366">
        <f ca="1">INDEX(T_Merger!__Pago,_AmortizacionesTablaCliente)</f>
        <v>1.0950316209346055E-13</v>
      </c>
      <c r="H156" s="491">
        <v>0</v>
      </c>
      <c r="I156" s="367">
        <f ca="1">INDEX(T_Merger!__Saldo_Final,_AmortizacionesTablaCliente)</f>
        <v>9.0949470177292824E-12</v>
      </c>
    </row>
    <row r="157" spans="1:9" hidden="1">
      <c r="A157" s="364">
        <v>138</v>
      </c>
      <c r="B157" s="365">
        <f t="shared" ca="1" si="2"/>
        <v>46828</v>
      </c>
      <c r="C157" s="366">
        <f ca="1">INDEX(T_Merger!__Saldo_Inicial,_AmortizacionesTablaCliente)</f>
        <v>9.0949470177292824E-12</v>
      </c>
      <c r="D157" s="366">
        <f ca="1">INDEX(T_Merger!__Capital,_AmortizacionesTablaCliente)</f>
        <v>0</v>
      </c>
      <c r="E157" s="519">
        <f ca="1">INDEX(T_Merger!__Interes,_AmortizacionesTablaCliente)</f>
        <v>9.7770680440589784E-14</v>
      </c>
      <c r="F157" s="366">
        <f ca="1">INDEX(T_Merger!__IVA,_AmortizacionesTablaCliente)</f>
        <v>1.1732481652870774E-14</v>
      </c>
      <c r="G157" s="366">
        <f ca="1">INDEX(T_Merger!__Pago,_AmortizacionesTablaCliente)</f>
        <v>1.0950316209346055E-13</v>
      </c>
      <c r="H157" s="491">
        <v>0</v>
      </c>
      <c r="I157" s="367">
        <f ca="1">INDEX(T_Merger!__Saldo_Final,_AmortizacionesTablaCliente)</f>
        <v>9.0949470177292824E-12</v>
      </c>
    </row>
    <row r="158" spans="1:9" hidden="1">
      <c r="A158" s="364">
        <v>139</v>
      </c>
      <c r="B158" s="365">
        <f t="shared" ca="1" si="2"/>
        <v>46859</v>
      </c>
      <c r="C158" s="366">
        <f ca="1">INDEX(T_Merger!__Saldo_Inicial,_AmortizacionesTablaCliente)</f>
        <v>9.0949470177292824E-12</v>
      </c>
      <c r="D158" s="366">
        <f ca="1">INDEX(T_Merger!__Capital,_AmortizacionesTablaCliente)</f>
        <v>0</v>
      </c>
      <c r="E158" s="519">
        <f ca="1">INDEX(T_Merger!__Interes,_AmortizacionesTablaCliente)</f>
        <v>9.7770680440589784E-14</v>
      </c>
      <c r="F158" s="366">
        <f ca="1">INDEX(T_Merger!__IVA,_AmortizacionesTablaCliente)</f>
        <v>1.1732481652870774E-14</v>
      </c>
      <c r="G158" s="366">
        <f ca="1">INDEX(T_Merger!__Pago,_AmortizacionesTablaCliente)</f>
        <v>1.0950316209346055E-13</v>
      </c>
      <c r="H158" s="491">
        <v>0</v>
      </c>
      <c r="I158" s="367">
        <f ca="1">INDEX(T_Merger!__Saldo_Final,_AmortizacionesTablaCliente)</f>
        <v>9.0949470177292824E-12</v>
      </c>
    </row>
    <row r="159" spans="1:9" hidden="1">
      <c r="A159" s="364">
        <v>140</v>
      </c>
      <c r="B159" s="365">
        <f t="shared" ca="1" si="2"/>
        <v>46889</v>
      </c>
      <c r="C159" s="366">
        <f ca="1">INDEX(T_Merger!__Saldo_Inicial,_AmortizacionesTablaCliente)</f>
        <v>9.0949470177292824E-12</v>
      </c>
      <c r="D159" s="366">
        <f ca="1">INDEX(T_Merger!__Capital,_AmortizacionesTablaCliente)</f>
        <v>0</v>
      </c>
      <c r="E159" s="519">
        <f ca="1">INDEX(T_Merger!__Interes,_AmortizacionesTablaCliente)</f>
        <v>9.7770680440589784E-14</v>
      </c>
      <c r="F159" s="366">
        <f ca="1">INDEX(T_Merger!__IVA,_AmortizacionesTablaCliente)</f>
        <v>1.1732481652870774E-14</v>
      </c>
      <c r="G159" s="366">
        <f ca="1">INDEX(T_Merger!__Pago,_AmortizacionesTablaCliente)</f>
        <v>1.0950316209346055E-13</v>
      </c>
      <c r="H159" s="491">
        <v>0</v>
      </c>
      <c r="I159" s="367">
        <f ca="1">INDEX(T_Merger!__Saldo_Final,_AmortizacionesTablaCliente)</f>
        <v>9.0949470177292824E-12</v>
      </c>
    </row>
    <row r="160" spans="1:9" hidden="1">
      <c r="A160" s="364">
        <v>141</v>
      </c>
      <c r="B160" s="365">
        <f t="shared" ca="1" si="2"/>
        <v>46920</v>
      </c>
      <c r="C160" s="366">
        <f ca="1">INDEX(T_Merger!__Saldo_Inicial,_AmortizacionesTablaCliente)</f>
        <v>9.0949470177292824E-12</v>
      </c>
      <c r="D160" s="366">
        <f ca="1">INDEX(T_Merger!__Capital,_AmortizacionesTablaCliente)</f>
        <v>0</v>
      </c>
      <c r="E160" s="519">
        <f ca="1">INDEX(T_Merger!__Interes,_AmortizacionesTablaCliente)</f>
        <v>9.7770680440589784E-14</v>
      </c>
      <c r="F160" s="366">
        <f ca="1">INDEX(T_Merger!__IVA,_AmortizacionesTablaCliente)</f>
        <v>1.1732481652870774E-14</v>
      </c>
      <c r="G160" s="366">
        <f ca="1">INDEX(T_Merger!__Pago,_AmortizacionesTablaCliente)</f>
        <v>1.0950316209346055E-13</v>
      </c>
      <c r="H160" s="491">
        <v>0</v>
      </c>
      <c r="I160" s="367">
        <f ca="1">INDEX(T_Merger!__Saldo_Final,_AmortizacionesTablaCliente)</f>
        <v>9.0949470177292824E-12</v>
      </c>
    </row>
    <row r="161" spans="1:9" hidden="1">
      <c r="A161" s="364">
        <v>142</v>
      </c>
      <c r="B161" s="365">
        <f t="shared" ca="1" si="2"/>
        <v>46950</v>
      </c>
      <c r="C161" s="366">
        <f ca="1">INDEX(T_Merger!__Saldo_Inicial,_AmortizacionesTablaCliente)</f>
        <v>9.0949470177292824E-12</v>
      </c>
      <c r="D161" s="366">
        <f ca="1">INDEX(T_Merger!__Capital,_AmortizacionesTablaCliente)</f>
        <v>0</v>
      </c>
      <c r="E161" s="519">
        <f ca="1">INDEX(T_Merger!__Interes,_AmortizacionesTablaCliente)</f>
        <v>9.7770680440589784E-14</v>
      </c>
      <c r="F161" s="366">
        <f ca="1">INDEX(T_Merger!__IVA,_AmortizacionesTablaCliente)</f>
        <v>1.1732481652870774E-14</v>
      </c>
      <c r="G161" s="366">
        <f ca="1">INDEX(T_Merger!__Pago,_AmortizacionesTablaCliente)</f>
        <v>1.0950316209346055E-13</v>
      </c>
      <c r="H161" s="491">
        <v>0</v>
      </c>
      <c r="I161" s="367">
        <f ca="1">INDEX(T_Merger!__Saldo_Final,_AmortizacionesTablaCliente)</f>
        <v>9.0949470177292824E-12</v>
      </c>
    </row>
    <row r="162" spans="1:9" hidden="1">
      <c r="A162" s="364">
        <v>143</v>
      </c>
      <c r="B162" s="365">
        <f t="shared" ca="1" si="2"/>
        <v>46981</v>
      </c>
      <c r="C162" s="366">
        <f ca="1">INDEX(T_Merger!__Saldo_Inicial,_AmortizacionesTablaCliente)</f>
        <v>9.0949470177292824E-12</v>
      </c>
      <c r="D162" s="366">
        <f ca="1">INDEX(T_Merger!__Capital,_AmortizacionesTablaCliente)</f>
        <v>0</v>
      </c>
      <c r="E162" s="519">
        <f ca="1">INDEX(T_Merger!__Interes,_AmortizacionesTablaCliente)</f>
        <v>9.7770680440589784E-14</v>
      </c>
      <c r="F162" s="366">
        <f ca="1">INDEX(T_Merger!__IVA,_AmortizacionesTablaCliente)</f>
        <v>1.1732481652870774E-14</v>
      </c>
      <c r="G162" s="366">
        <f ca="1">INDEX(T_Merger!__Pago,_AmortizacionesTablaCliente)</f>
        <v>1.0950316209346055E-13</v>
      </c>
      <c r="H162" s="491">
        <v>0</v>
      </c>
      <c r="I162" s="367">
        <f ca="1">INDEX(T_Merger!__Saldo_Final,_AmortizacionesTablaCliente)</f>
        <v>9.0949470177292824E-12</v>
      </c>
    </row>
    <row r="163" spans="1:9" hidden="1">
      <c r="A163" s="364">
        <v>144</v>
      </c>
      <c r="B163" s="365">
        <f t="shared" ca="1" si="2"/>
        <v>47012</v>
      </c>
      <c r="C163" s="366">
        <f ca="1">INDEX(T_Merger!__Saldo_Inicial,_AmortizacionesTablaCliente)</f>
        <v>9.0949470177292824E-12</v>
      </c>
      <c r="D163" s="366">
        <f ca="1">INDEX(T_Merger!__Capital,_AmortizacionesTablaCliente)</f>
        <v>0</v>
      </c>
      <c r="E163" s="519">
        <f ca="1">INDEX(T_Merger!__Interes,_AmortizacionesTablaCliente)</f>
        <v>9.7770680440589784E-14</v>
      </c>
      <c r="F163" s="366">
        <f ca="1">INDEX(T_Merger!__IVA,_AmortizacionesTablaCliente)</f>
        <v>1.1732481652870774E-14</v>
      </c>
      <c r="G163" s="366">
        <f ca="1">INDEX(T_Merger!__Pago,_AmortizacionesTablaCliente)</f>
        <v>1.0950316209346055E-13</v>
      </c>
      <c r="H163" s="491">
        <v>0</v>
      </c>
      <c r="I163" s="367">
        <f ca="1">INDEX(T_Merger!__Saldo_Final,_AmortizacionesTablaCliente)</f>
        <v>9.0949470177292824E-12</v>
      </c>
    </row>
    <row r="164" spans="1:9" hidden="1">
      <c r="A164" s="364">
        <v>145</v>
      </c>
      <c r="B164" s="365">
        <f t="shared" ca="1" si="2"/>
        <v>47042</v>
      </c>
      <c r="C164" s="366">
        <f ca="1">INDEX(T_Merger!__Saldo_Inicial,_AmortizacionesTablaCliente)</f>
        <v>9.0949470177292824E-12</v>
      </c>
      <c r="D164" s="366">
        <f ca="1">INDEX(T_Merger!__Capital,_AmortizacionesTablaCliente)</f>
        <v>0</v>
      </c>
      <c r="E164" s="519">
        <f ca="1">INDEX(T_Merger!__Interes,_AmortizacionesTablaCliente)</f>
        <v>9.7770680440589784E-14</v>
      </c>
      <c r="F164" s="366">
        <f ca="1">INDEX(T_Merger!__IVA,_AmortizacionesTablaCliente)</f>
        <v>1.1732481652870774E-14</v>
      </c>
      <c r="G164" s="366">
        <f ca="1">INDEX(T_Merger!__Pago,_AmortizacionesTablaCliente)</f>
        <v>1.0950316209346055E-13</v>
      </c>
      <c r="H164" s="491">
        <v>0</v>
      </c>
      <c r="I164" s="367">
        <f ca="1">INDEX(T_Merger!__Saldo_Final,_AmortizacionesTablaCliente)</f>
        <v>9.0949470177292824E-12</v>
      </c>
    </row>
    <row r="165" spans="1:9" hidden="1">
      <c r="A165" s="364">
        <v>146</v>
      </c>
      <c r="B165" s="365">
        <f t="shared" ca="1" si="2"/>
        <v>47073</v>
      </c>
      <c r="C165" s="366">
        <f ca="1">INDEX(T_Merger!__Saldo_Inicial,_AmortizacionesTablaCliente)</f>
        <v>9.0949470177292824E-12</v>
      </c>
      <c r="D165" s="366">
        <f ca="1">INDEX(T_Merger!__Capital,_AmortizacionesTablaCliente)</f>
        <v>0</v>
      </c>
      <c r="E165" s="519">
        <f ca="1">INDEX(T_Merger!__Interes,_AmortizacionesTablaCliente)</f>
        <v>9.7770680440589784E-14</v>
      </c>
      <c r="F165" s="366">
        <f ca="1">INDEX(T_Merger!__IVA,_AmortizacionesTablaCliente)</f>
        <v>1.1732481652870774E-14</v>
      </c>
      <c r="G165" s="366">
        <f ca="1">INDEX(T_Merger!__Pago,_AmortizacionesTablaCliente)</f>
        <v>1.0950316209346055E-13</v>
      </c>
      <c r="H165" s="491">
        <v>0</v>
      </c>
      <c r="I165" s="367">
        <f ca="1">INDEX(T_Merger!__Saldo_Final,_AmortizacionesTablaCliente)</f>
        <v>9.0949470177292824E-12</v>
      </c>
    </row>
    <row r="166" spans="1:9" hidden="1">
      <c r="A166" s="364">
        <v>147</v>
      </c>
      <c r="B166" s="365">
        <f t="shared" ca="1" si="2"/>
        <v>47103</v>
      </c>
      <c r="C166" s="366">
        <f ca="1">INDEX(T_Merger!__Saldo_Inicial,_AmortizacionesTablaCliente)</f>
        <v>9.0949470177292824E-12</v>
      </c>
      <c r="D166" s="366">
        <f ca="1">INDEX(T_Merger!__Capital,_AmortizacionesTablaCliente)</f>
        <v>0</v>
      </c>
      <c r="E166" s="519">
        <f ca="1">INDEX(T_Merger!__Interes,_AmortizacionesTablaCliente)</f>
        <v>9.7770680440589784E-14</v>
      </c>
      <c r="F166" s="366">
        <f ca="1">INDEX(T_Merger!__IVA,_AmortizacionesTablaCliente)</f>
        <v>1.1732481652870774E-14</v>
      </c>
      <c r="G166" s="366">
        <f ca="1">INDEX(T_Merger!__Pago,_AmortizacionesTablaCliente)</f>
        <v>1.0950316209346055E-13</v>
      </c>
      <c r="H166" s="491">
        <v>0</v>
      </c>
      <c r="I166" s="367">
        <f ca="1">INDEX(T_Merger!__Saldo_Final,_AmortizacionesTablaCliente)</f>
        <v>9.0949470177292824E-12</v>
      </c>
    </row>
    <row r="167" spans="1:9" hidden="1">
      <c r="A167" s="364">
        <v>148</v>
      </c>
      <c r="B167" s="365">
        <f t="shared" ca="1" si="2"/>
        <v>47134</v>
      </c>
      <c r="C167" s="366">
        <f ca="1">INDEX(T_Merger!__Saldo_Inicial,_AmortizacionesTablaCliente)</f>
        <v>9.0949470177292824E-12</v>
      </c>
      <c r="D167" s="366">
        <f ca="1">INDEX(T_Merger!__Capital,_AmortizacionesTablaCliente)</f>
        <v>0</v>
      </c>
      <c r="E167" s="519">
        <f ca="1">INDEX(T_Merger!__Interes,_AmortizacionesTablaCliente)</f>
        <v>9.7770680440589784E-14</v>
      </c>
      <c r="F167" s="366">
        <f ca="1">INDEX(T_Merger!__IVA,_AmortizacionesTablaCliente)</f>
        <v>1.1732481652870774E-14</v>
      </c>
      <c r="G167" s="366">
        <f ca="1">INDEX(T_Merger!__Pago,_AmortizacionesTablaCliente)</f>
        <v>1.0950316209346055E-13</v>
      </c>
      <c r="H167" s="491">
        <v>0</v>
      </c>
      <c r="I167" s="367">
        <f ca="1">INDEX(T_Merger!__Saldo_Final,_AmortizacionesTablaCliente)</f>
        <v>9.0949470177292824E-12</v>
      </c>
    </row>
    <row r="168" spans="1:9" hidden="1">
      <c r="A168" s="364">
        <v>149</v>
      </c>
      <c r="B168" s="365">
        <f t="shared" ca="1" si="2"/>
        <v>47165</v>
      </c>
      <c r="C168" s="366">
        <f ca="1">INDEX(T_Merger!__Saldo_Inicial,_AmortizacionesTablaCliente)</f>
        <v>9.0949470177292824E-12</v>
      </c>
      <c r="D168" s="366">
        <f ca="1">INDEX(T_Merger!__Capital,_AmortizacionesTablaCliente)</f>
        <v>0</v>
      </c>
      <c r="E168" s="519">
        <f ca="1">INDEX(T_Merger!__Interes,_AmortizacionesTablaCliente)</f>
        <v>9.7770680440589784E-14</v>
      </c>
      <c r="F168" s="366">
        <f ca="1">INDEX(T_Merger!__IVA,_AmortizacionesTablaCliente)</f>
        <v>1.1732481652870774E-14</v>
      </c>
      <c r="G168" s="366">
        <f ca="1">INDEX(T_Merger!__Pago,_AmortizacionesTablaCliente)</f>
        <v>1.0950316209346055E-13</v>
      </c>
      <c r="H168" s="491">
        <v>0</v>
      </c>
      <c r="I168" s="367">
        <f ca="1">INDEX(T_Merger!__Saldo_Final,_AmortizacionesTablaCliente)</f>
        <v>9.0949470177292824E-12</v>
      </c>
    </row>
    <row r="169" spans="1:9" hidden="1">
      <c r="A169" s="364">
        <v>150</v>
      </c>
      <c r="B169" s="365">
        <f t="shared" ca="1" si="2"/>
        <v>47193</v>
      </c>
      <c r="C169" s="366">
        <f ca="1">INDEX(T_Merger!__Saldo_Inicial,_AmortizacionesTablaCliente)</f>
        <v>9.0949470177292824E-12</v>
      </c>
      <c r="D169" s="366">
        <f ca="1">INDEX(T_Merger!__Capital,_AmortizacionesTablaCliente)</f>
        <v>0</v>
      </c>
      <c r="E169" s="519">
        <f ca="1">INDEX(T_Merger!__Interes,_AmortizacionesTablaCliente)</f>
        <v>9.7770680440589784E-14</v>
      </c>
      <c r="F169" s="366">
        <f ca="1">INDEX(T_Merger!__IVA,_AmortizacionesTablaCliente)</f>
        <v>1.1732481652870774E-14</v>
      </c>
      <c r="G169" s="366">
        <f ca="1">INDEX(T_Merger!__Pago,_AmortizacionesTablaCliente)</f>
        <v>1.0950316209346055E-13</v>
      </c>
      <c r="H169" s="491">
        <v>0</v>
      </c>
      <c r="I169" s="367">
        <f ca="1">INDEX(T_Merger!__Saldo_Final,_AmortizacionesTablaCliente)</f>
        <v>9.0949470177292824E-12</v>
      </c>
    </row>
    <row r="170" spans="1:9" hidden="1">
      <c r="A170" s="364">
        <v>151</v>
      </c>
      <c r="B170" s="365">
        <f t="shared" ca="1" si="2"/>
        <v>47224</v>
      </c>
      <c r="C170" s="366">
        <f ca="1">INDEX(T_Merger!__Saldo_Inicial,_AmortizacionesTablaCliente)</f>
        <v>9.0949470177292824E-12</v>
      </c>
      <c r="D170" s="366">
        <f ca="1">INDEX(T_Merger!__Capital,_AmortizacionesTablaCliente)</f>
        <v>0</v>
      </c>
      <c r="E170" s="519">
        <f ca="1">INDEX(T_Merger!__Interes,_AmortizacionesTablaCliente)</f>
        <v>9.7770680440589784E-14</v>
      </c>
      <c r="F170" s="366">
        <f ca="1">INDEX(T_Merger!__IVA,_AmortizacionesTablaCliente)</f>
        <v>1.1732481652870774E-14</v>
      </c>
      <c r="G170" s="366">
        <f ca="1">INDEX(T_Merger!__Pago,_AmortizacionesTablaCliente)</f>
        <v>1.0950316209346055E-13</v>
      </c>
      <c r="H170" s="491">
        <v>0</v>
      </c>
      <c r="I170" s="367">
        <f ca="1">INDEX(T_Merger!__Saldo_Final,_AmortizacionesTablaCliente)</f>
        <v>9.0949470177292824E-12</v>
      </c>
    </row>
    <row r="171" spans="1:9" hidden="1">
      <c r="A171" s="364">
        <v>152</v>
      </c>
      <c r="B171" s="365">
        <f t="shared" ca="1" si="2"/>
        <v>47254</v>
      </c>
      <c r="C171" s="366">
        <f ca="1">INDEX(T_Merger!__Saldo_Inicial,_AmortizacionesTablaCliente)</f>
        <v>9.0949470177292824E-12</v>
      </c>
      <c r="D171" s="366">
        <f ca="1">INDEX(T_Merger!__Capital,_AmortizacionesTablaCliente)</f>
        <v>0</v>
      </c>
      <c r="E171" s="519">
        <f ca="1">INDEX(T_Merger!__Interes,_AmortizacionesTablaCliente)</f>
        <v>9.7770680440589784E-14</v>
      </c>
      <c r="F171" s="366">
        <f ca="1">INDEX(T_Merger!__IVA,_AmortizacionesTablaCliente)</f>
        <v>1.1732481652870774E-14</v>
      </c>
      <c r="G171" s="366">
        <f ca="1">INDEX(T_Merger!__Pago,_AmortizacionesTablaCliente)</f>
        <v>1.0950316209346055E-13</v>
      </c>
      <c r="H171" s="491">
        <v>0</v>
      </c>
      <c r="I171" s="367">
        <f ca="1">INDEX(T_Merger!__Saldo_Final,_AmortizacionesTablaCliente)</f>
        <v>9.0949470177292824E-12</v>
      </c>
    </row>
    <row r="172" spans="1:9" hidden="1">
      <c r="A172" s="364">
        <v>153</v>
      </c>
      <c r="B172" s="365">
        <f t="shared" ca="1" si="2"/>
        <v>47285</v>
      </c>
      <c r="C172" s="366">
        <f ca="1">INDEX(T_Merger!__Saldo_Inicial,_AmortizacionesTablaCliente)</f>
        <v>9.0949470177292824E-12</v>
      </c>
      <c r="D172" s="366">
        <f ca="1">INDEX(T_Merger!__Capital,_AmortizacionesTablaCliente)</f>
        <v>0</v>
      </c>
      <c r="E172" s="519">
        <f ca="1">INDEX(T_Merger!__Interes,_AmortizacionesTablaCliente)</f>
        <v>9.7770680440589784E-14</v>
      </c>
      <c r="F172" s="366">
        <f ca="1">INDEX(T_Merger!__IVA,_AmortizacionesTablaCliente)</f>
        <v>1.1732481652870774E-14</v>
      </c>
      <c r="G172" s="366">
        <f ca="1">INDEX(T_Merger!__Pago,_AmortizacionesTablaCliente)</f>
        <v>1.0950316209346055E-13</v>
      </c>
      <c r="H172" s="491">
        <v>0</v>
      </c>
      <c r="I172" s="367">
        <f ca="1">INDEX(T_Merger!__Saldo_Final,_AmortizacionesTablaCliente)</f>
        <v>9.0949470177292824E-12</v>
      </c>
    </row>
    <row r="173" spans="1:9" hidden="1">
      <c r="A173" s="364">
        <v>154</v>
      </c>
      <c r="B173" s="365">
        <f t="shared" ca="1" si="2"/>
        <v>47315</v>
      </c>
      <c r="C173" s="366">
        <f ca="1">INDEX(T_Merger!__Saldo_Inicial,_AmortizacionesTablaCliente)</f>
        <v>9.0949470177292824E-12</v>
      </c>
      <c r="D173" s="366">
        <f ca="1">INDEX(T_Merger!__Capital,_AmortizacionesTablaCliente)</f>
        <v>0</v>
      </c>
      <c r="E173" s="519">
        <f ca="1">INDEX(T_Merger!__Interes,_AmortizacionesTablaCliente)</f>
        <v>9.7770680440589784E-14</v>
      </c>
      <c r="F173" s="366">
        <f ca="1">INDEX(T_Merger!__IVA,_AmortizacionesTablaCliente)</f>
        <v>1.1732481652870774E-14</v>
      </c>
      <c r="G173" s="366">
        <f ca="1">INDEX(T_Merger!__Pago,_AmortizacionesTablaCliente)</f>
        <v>1.0950316209346055E-13</v>
      </c>
      <c r="H173" s="491">
        <v>0</v>
      </c>
      <c r="I173" s="367">
        <f ca="1">INDEX(T_Merger!__Saldo_Final,_AmortizacionesTablaCliente)</f>
        <v>9.0949470177292824E-12</v>
      </c>
    </row>
    <row r="174" spans="1:9" hidden="1">
      <c r="A174" s="364">
        <v>155</v>
      </c>
      <c r="B174" s="365">
        <f t="shared" ca="1" si="2"/>
        <v>47346</v>
      </c>
      <c r="C174" s="366">
        <f ca="1">INDEX(T_Merger!__Saldo_Inicial,_AmortizacionesTablaCliente)</f>
        <v>9.0949470177292824E-12</v>
      </c>
      <c r="D174" s="366">
        <f ca="1">INDEX(T_Merger!__Capital,_AmortizacionesTablaCliente)</f>
        <v>0</v>
      </c>
      <c r="E174" s="519">
        <f ca="1">INDEX(T_Merger!__Interes,_AmortizacionesTablaCliente)</f>
        <v>9.7770680440589784E-14</v>
      </c>
      <c r="F174" s="366">
        <f ca="1">INDEX(T_Merger!__IVA,_AmortizacionesTablaCliente)</f>
        <v>1.1732481652870774E-14</v>
      </c>
      <c r="G174" s="366">
        <f ca="1">INDEX(T_Merger!__Pago,_AmortizacionesTablaCliente)</f>
        <v>1.0950316209346055E-13</v>
      </c>
      <c r="H174" s="491">
        <v>0</v>
      </c>
      <c r="I174" s="367">
        <f ca="1">INDEX(T_Merger!__Saldo_Final,_AmortizacionesTablaCliente)</f>
        <v>9.0949470177292824E-12</v>
      </c>
    </row>
    <row r="175" spans="1:9" hidden="1">
      <c r="A175" s="364">
        <v>156</v>
      </c>
      <c r="B175" s="365">
        <f t="shared" ca="1" si="2"/>
        <v>47377</v>
      </c>
      <c r="C175" s="366">
        <f ca="1">INDEX(T_Merger!__Saldo_Inicial,_AmortizacionesTablaCliente)</f>
        <v>9.0949470177292824E-12</v>
      </c>
      <c r="D175" s="366">
        <f ca="1">INDEX(T_Merger!__Capital,_AmortizacionesTablaCliente)</f>
        <v>0</v>
      </c>
      <c r="E175" s="519">
        <f ca="1">INDEX(T_Merger!__Interes,_AmortizacionesTablaCliente)</f>
        <v>9.7770680440589784E-14</v>
      </c>
      <c r="F175" s="366">
        <f ca="1">INDEX(T_Merger!__IVA,_AmortizacionesTablaCliente)</f>
        <v>1.1732481652870774E-14</v>
      </c>
      <c r="G175" s="366">
        <f ca="1">INDEX(T_Merger!__Pago,_AmortizacionesTablaCliente)</f>
        <v>1.0950316209346055E-13</v>
      </c>
      <c r="H175" s="491">
        <v>0</v>
      </c>
      <c r="I175" s="367">
        <f ca="1">INDEX(T_Merger!__Saldo_Final,_AmortizacionesTablaCliente)</f>
        <v>9.0949470177292824E-12</v>
      </c>
    </row>
    <row r="176" spans="1:9" hidden="1">
      <c r="A176" s="364">
        <v>157</v>
      </c>
      <c r="B176" s="365">
        <f t="shared" ca="1" si="2"/>
        <v>47407</v>
      </c>
      <c r="C176" s="366">
        <f ca="1">INDEX(T_Merger!__Saldo_Inicial,_AmortizacionesTablaCliente)</f>
        <v>9.0949470177292824E-12</v>
      </c>
      <c r="D176" s="366">
        <f ca="1">INDEX(T_Merger!__Capital,_AmortizacionesTablaCliente)</f>
        <v>0</v>
      </c>
      <c r="E176" s="519">
        <f ca="1">INDEX(T_Merger!__Interes,_AmortizacionesTablaCliente)</f>
        <v>9.7770680440589784E-14</v>
      </c>
      <c r="F176" s="366">
        <f ca="1">INDEX(T_Merger!__IVA,_AmortizacionesTablaCliente)</f>
        <v>1.1732481652870774E-14</v>
      </c>
      <c r="G176" s="366">
        <f ca="1">INDEX(T_Merger!__Pago,_AmortizacionesTablaCliente)</f>
        <v>1.0950316209346055E-13</v>
      </c>
      <c r="H176" s="491">
        <v>0</v>
      </c>
      <c r="I176" s="367">
        <f ca="1">INDEX(T_Merger!__Saldo_Final,_AmortizacionesTablaCliente)</f>
        <v>9.0949470177292824E-12</v>
      </c>
    </row>
    <row r="177" spans="1:9" hidden="1">
      <c r="A177" s="364">
        <v>158</v>
      </c>
      <c r="B177" s="365">
        <f t="shared" ca="1" si="2"/>
        <v>47438</v>
      </c>
      <c r="C177" s="366">
        <f ca="1">INDEX(T_Merger!__Saldo_Inicial,_AmortizacionesTablaCliente)</f>
        <v>9.0949470177292824E-12</v>
      </c>
      <c r="D177" s="366">
        <f ca="1">INDEX(T_Merger!__Capital,_AmortizacionesTablaCliente)</f>
        <v>0</v>
      </c>
      <c r="E177" s="519">
        <f ca="1">INDEX(T_Merger!__Interes,_AmortizacionesTablaCliente)</f>
        <v>9.7770680440589784E-14</v>
      </c>
      <c r="F177" s="366">
        <f ca="1">INDEX(T_Merger!__IVA,_AmortizacionesTablaCliente)</f>
        <v>1.1732481652870774E-14</v>
      </c>
      <c r="G177" s="366">
        <f ca="1">INDEX(T_Merger!__Pago,_AmortizacionesTablaCliente)</f>
        <v>1.0950316209346055E-13</v>
      </c>
      <c r="H177" s="491">
        <v>0</v>
      </c>
      <c r="I177" s="367">
        <f ca="1">INDEX(T_Merger!__Saldo_Final,_AmortizacionesTablaCliente)</f>
        <v>9.0949470177292824E-12</v>
      </c>
    </row>
    <row r="178" spans="1:9" hidden="1">
      <c r="A178" s="364">
        <v>159</v>
      </c>
      <c r="B178" s="365">
        <f t="shared" ca="1" si="2"/>
        <v>47468</v>
      </c>
      <c r="C178" s="366">
        <f ca="1">INDEX(T_Merger!__Saldo_Inicial,_AmortizacionesTablaCliente)</f>
        <v>9.0949470177292824E-12</v>
      </c>
      <c r="D178" s="366">
        <f ca="1">INDEX(T_Merger!__Capital,_AmortizacionesTablaCliente)</f>
        <v>0</v>
      </c>
      <c r="E178" s="519">
        <f ca="1">INDEX(T_Merger!__Interes,_AmortizacionesTablaCliente)</f>
        <v>9.7770680440589784E-14</v>
      </c>
      <c r="F178" s="366">
        <f ca="1">INDEX(T_Merger!__IVA,_AmortizacionesTablaCliente)</f>
        <v>1.1732481652870774E-14</v>
      </c>
      <c r="G178" s="366">
        <f ca="1">INDEX(T_Merger!__Pago,_AmortizacionesTablaCliente)</f>
        <v>1.0950316209346055E-13</v>
      </c>
      <c r="H178" s="491">
        <v>0</v>
      </c>
      <c r="I178" s="367">
        <f ca="1">INDEX(T_Merger!__Saldo_Final,_AmortizacionesTablaCliente)</f>
        <v>9.0949470177292824E-12</v>
      </c>
    </row>
    <row r="179" spans="1:9" hidden="1">
      <c r="A179" s="364">
        <v>160</v>
      </c>
      <c r="B179" s="365">
        <f t="shared" ca="1" si="2"/>
        <v>47499</v>
      </c>
      <c r="C179" s="366">
        <f ca="1">INDEX(T_Merger!__Saldo_Inicial,_AmortizacionesTablaCliente)</f>
        <v>9.0949470177292824E-12</v>
      </c>
      <c r="D179" s="366">
        <f ca="1">INDEX(T_Merger!__Capital,_AmortizacionesTablaCliente)</f>
        <v>0</v>
      </c>
      <c r="E179" s="519">
        <f ca="1">INDEX(T_Merger!__Interes,_AmortizacionesTablaCliente)</f>
        <v>9.7770680440589784E-14</v>
      </c>
      <c r="F179" s="366">
        <f ca="1">INDEX(T_Merger!__IVA,_AmortizacionesTablaCliente)</f>
        <v>1.1732481652870774E-14</v>
      </c>
      <c r="G179" s="366">
        <f ca="1">INDEX(T_Merger!__Pago,_AmortizacionesTablaCliente)</f>
        <v>1.0950316209346055E-13</v>
      </c>
      <c r="H179" s="491">
        <v>0</v>
      </c>
      <c r="I179" s="367">
        <f ca="1">INDEX(T_Merger!__Saldo_Final,_AmortizacionesTablaCliente)</f>
        <v>9.0949470177292824E-12</v>
      </c>
    </row>
    <row r="180" spans="1:9" hidden="1">
      <c r="A180" s="364">
        <v>161</v>
      </c>
      <c r="B180" s="365">
        <f t="shared" ca="1" si="2"/>
        <v>47530</v>
      </c>
      <c r="C180" s="366">
        <f ca="1">INDEX(T_Merger!__Saldo_Inicial,_AmortizacionesTablaCliente)</f>
        <v>9.0949470177292824E-12</v>
      </c>
      <c r="D180" s="366">
        <f ca="1">INDEX(T_Merger!__Capital,_AmortizacionesTablaCliente)</f>
        <v>0</v>
      </c>
      <c r="E180" s="519">
        <f ca="1">INDEX(T_Merger!__Interes,_AmortizacionesTablaCliente)</f>
        <v>9.7770680440589784E-14</v>
      </c>
      <c r="F180" s="366">
        <f ca="1">INDEX(T_Merger!__IVA,_AmortizacionesTablaCliente)</f>
        <v>1.1732481652870774E-14</v>
      </c>
      <c r="G180" s="366">
        <f ca="1">INDEX(T_Merger!__Pago,_AmortizacionesTablaCliente)</f>
        <v>1.0950316209346055E-13</v>
      </c>
      <c r="H180" s="491">
        <v>0</v>
      </c>
      <c r="I180" s="367">
        <f ca="1">INDEX(T_Merger!__Saldo_Final,_AmortizacionesTablaCliente)</f>
        <v>9.0949470177292824E-12</v>
      </c>
    </row>
    <row r="181" spans="1:9" hidden="1">
      <c r="A181" s="364">
        <v>162</v>
      </c>
      <c r="B181" s="365">
        <f t="shared" ca="1" si="2"/>
        <v>47558</v>
      </c>
      <c r="C181" s="366">
        <f ca="1">INDEX(T_Merger!__Saldo_Inicial,_AmortizacionesTablaCliente)</f>
        <v>9.0949470177292824E-12</v>
      </c>
      <c r="D181" s="366">
        <f ca="1">INDEX(T_Merger!__Capital,_AmortizacionesTablaCliente)</f>
        <v>0</v>
      </c>
      <c r="E181" s="519">
        <f ca="1">INDEX(T_Merger!__Interes,_AmortizacionesTablaCliente)</f>
        <v>9.7770680440589784E-14</v>
      </c>
      <c r="F181" s="366">
        <f ca="1">INDEX(T_Merger!__IVA,_AmortizacionesTablaCliente)</f>
        <v>1.1732481652870774E-14</v>
      </c>
      <c r="G181" s="366">
        <f ca="1">INDEX(T_Merger!__Pago,_AmortizacionesTablaCliente)</f>
        <v>1.0950316209346055E-13</v>
      </c>
      <c r="H181" s="491">
        <v>0</v>
      </c>
      <c r="I181" s="367">
        <f ca="1">INDEX(T_Merger!__Saldo_Final,_AmortizacionesTablaCliente)</f>
        <v>9.0949470177292824E-12</v>
      </c>
    </row>
    <row r="182" spans="1:9" hidden="1">
      <c r="A182" s="364">
        <v>163</v>
      </c>
      <c r="B182" s="365">
        <f t="shared" ca="1" si="2"/>
        <v>47589</v>
      </c>
      <c r="C182" s="366">
        <f ca="1">INDEX(T_Merger!__Saldo_Inicial,_AmortizacionesTablaCliente)</f>
        <v>9.0949470177292824E-12</v>
      </c>
      <c r="D182" s="366">
        <f ca="1">INDEX(T_Merger!__Capital,_AmortizacionesTablaCliente)</f>
        <v>0</v>
      </c>
      <c r="E182" s="519">
        <f ca="1">INDEX(T_Merger!__Interes,_AmortizacionesTablaCliente)</f>
        <v>9.7770680440589784E-14</v>
      </c>
      <c r="F182" s="366">
        <f ca="1">INDEX(T_Merger!__IVA,_AmortizacionesTablaCliente)</f>
        <v>1.1732481652870774E-14</v>
      </c>
      <c r="G182" s="366">
        <f ca="1">INDEX(T_Merger!__Pago,_AmortizacionesTablaCliente)</f>
        <v>1.0950316209346055E-13</v>
      </c>
      <c r="H182" s="491">
        <v>0</v>
      </c>
      <c r="I182" s="367">
        <f ca="1">INDEX(T_Merger!__Saldo_Final,_AmortizacionesTablaCliente)</f>
        <v>9.0949470177292824E-12</v>
      </c>
    </row>
    <row r="183" spans="1:9" hidden="1">
      <c r="A183" s="364">
        <v>164</v>
      </c>
      <c r="B183" s="365">
        <f t="shared" ca="1" si="2"/>
        <v>47619</v>
      </c>
      <c r="C183" s="366">
        <f ca="1">INDEX(T_Merger!__Saldo_Inicial,_AmortizacionesTablaCliente)</f>
        <v>9.0949470177292824E-12</v>
      </c>
      <c r="D183" s="366">
        <f ca="1">INDEX(T_Merger!__Capital,_AmortizacionesTablaCliente)</f>
        <v>0</v>
      </c>
      <c r="E183" s="519">
        <f ca="1">INDEX(T_Merger!__Interes,_AmortizacionesTablaCliente)</f>
        <v>9.7770680440589784E-14</v>
      </c>
      <c r="F183" s="366">
        <f ca="1">INDEX(T_Merger!__IVA,_AmortizacionesTablaCliente)</f>
        <v>1.1732481652870774E-14</v>
      </c>
      <c r="G183" s="366">
        <f ca="1">INDEX(T_Merger!__Pago,_AmortizacionesTablaCliente)</f>
        <v>1.0950316209346055E-13</v>
      </c>
      <c r="H183" s="491">
        <v>0</v>
      </c>
      <c r="I183" s="367">
        <f ca="1">INDEX(T_Merger!__Saldo_Final,_AmortizacionesTablaCliente)</f>
        <v>9.0949470177292824E-12</v>
      </c>
    </row>
    <row r="184" spans="1:9" hidden="1">
      <c r="A184" s="364">
        <v>165</v>
      </c>
      <c r="B184" s="365">
        <f t="shared" ca="1" si="2"/>
        <v>47650</v>
      </c>
      <c r="C184" s="366">
        <f ca="1">INDEX(T_Merger!__Saldo_Inicial,_AmortizacionesTablaCliente)</f>
        <v>9.0949470177292824E-12</v>
      </c>
      <c r="D184" s="366">
        <f ca="1">INDEX(T_Merger!__Capital,_AmortizacionesTablaCliente)</f>
        <v>0</v>
      </c>
      <c r="E184" s="519">
        <f ca="1">INDEX(T_Merger!__Interes,_AmortizacionesTablaCliente)</f>
        <v>9.7770680440589784E-14</v>
      </c>
      <c r="F184" s="366">
        <f ca="1">INDEX(T_Merger!__IVA,_AmortizacionesTablaCliente)</f>
        <v>1.1732481652870774E-14</v>
      </c>
      <c r="G184" s="366">
        <f ca="1">INDEX(T_Merger!__Pago,_AmortizacionesTablaCliente)</f>
        <v>1.0950316209346055E-13</v>
      </c>
      <c r="H184" s="491">
        <v>0</v>
      </c>
      <c r="I184" s="367">
        <f ca="1">INDEX(T_Merger!__Saldo_Final,_AmortizacionesTablaCliente)</f>
        <v>9.0949470177292824E-12</v>
      </c>
    </row>
    <row r="185" spans="1:9" hidden="1">
      <c r="A185" s="364">
        <v>166</v>
      </c>
      <c r="B185" s="365">
        <f t="shared" ca="1" si="2"/>
        <v>47680</v>
      </c>
      <c r="C185" s="366">
        <f ca="1">INDEX(T_Merger!__Saldo_Inicial,_AmortizacionesTablaCliente)</f>
        <v>9.0949470177292824E-12</v>
      </c>
      <c r="D185" s="366">
        <f ca="1">INDEX(T_Merger!__Capital,_AmortizacionesTablaCliente)</f>
        <v>0</v>
      </c>
      <c r="E185" s="519">
        <f ca="1">INDEX(T_Merger!__Interes,_AmortizacionesTablaCliente)</f>
        <v>9.7770680440589784E-14</v>
      </c>
      <c r="F185" s="366">
        <f ca="1">INDEX(T_Merger!__IVA,_AmortizacionesTablaCliente)</f>
        <v>1.1732481652870774E-14</v>
      </c>
      <c r="G185" s="366">
        <f ca="1">INDEX(T_Merger!__Pago,_AmortizacionesTablaCliente)</f>
        <v>1.0950316209346055E-13</v>
      </c>
      <c r="H185" s="491">
        <v>0</v>
      </c>
      <c r="I185" s="367">
        <f ca="1">INDEX(T_Merger!__Saldo_Final,_AmortizacionesTablaCliente)</f>
        <v>9.0949470177292824E-12</v>
      </c>
    </row>
    <row r="186" spans="1:9" hidden="1">
      <c r="A186" s="364">
        <v>167</v>
      </c>
      <c r="B186" s="365">
        <f t="shared" ca="1" si="2"/>
        <v>47711</v>
      </c>
      <c r="C186" s="366">
        <f ca="1">INDEX(T_Merger!__Saldo_Inicial,_AmortizacionesTablaCliente)</f>
        <v>9.0949470177292824E-12</v>
      </c>
      <c r="D186" s="366">
        <f ca="1">INDEX(T_Merger!__Capital,_AmortizacionesTablaCliente)</f>
        <v>0</v>
      </c>
      <c r="E186" s="519">
        <f ca="1">INDEX(T_Merger!__Interes,_AmortizacionesTablaCliente)</f>
        <v>9.7770680440589784E-14</v>
      </c>
      <c r="F186" s="366">
        <f ca="1">INDEX(T_Merger!__IVA,_AmortizacionesTablaCliente)</f>
        <v>1.1732481652870774E-14</v>
      </c>
      <c r="G186" s="366">
        <f ca="1">INDEX(T_Merger!__Pago,_AmortizacionesTablaCliente)</f>
        <v>1.0950316209346055E-13</v>
      </c>
      <c r="H186" s="491">
        <v>0</v>
      </c>
      <c r="I186" s="367">
        <f ca="1">INDEX(T_Merger!__Saldo_Final,_AmortizacionesTablaCliente)</f>
        <v>9.0949470177292824E-12</v>
      </c>
    </row>
    <row r="187" spans="1:9" hidden="1">
      <c r="A187" s="364">
        <v>168</v>
      </c>
      <c r="B187" s="365">
        <f t="shared" ca="1" si="2"/>
        <v>47742</v>
      </c>
      <c r="C187" s="366">
        <f ca="1">INDEX(T_Merger!__Saldo_Inicial,_AmortizacionesTablaCliente)</f>
        <v>9.0949470177292824E-12</v>
      </c>
      <c r="D187" s="366">
        <f ca="1">INDEX(T_Merger!__Capital,_AmortizacionesTablaCliente)</f>
        <v>0</v>
      </c>
      <c r="E187" s="519">
        <f ca="1">INDEX(T_Merger!__Interes,_AmortizacionesTablaCliente)</f>
        <v>9.7770680440589784E-14</v>
      </c>
      <c r="F187" s="366">
        <f ca="1">INDEX(T_Merger!__IVA,_AmortizacionesTablaCliente)</f>
        <v>1.1732481652870774E-14</v>
      </c>
      <c r="G187" s="366">
        <f ca="1">INDEX(T_Merger!__Pago,_AmortizacionesTablaCliente)</f>
        <v>1.0950316209346055E-13</v>
      </c>
      <c r="H187" s="491">
        <v>0</v>
      </c>
      <c r="I187" s="367">
        <f ca="1">INDEX(T_Merger!__Saldo_Final,_AmortizacionesTablaCliente)</f>
        <v>9.0949470177292824E-12</v>
      </c>
    </row>
    <row r="188" spans="1:9" hidden="1">
      <c r="A188" s="364">
        <v>169</v>
      </c>
      <c r="B188" s="365">
        <f t="shared" ca="1" si="2"/>
        <v>47772</v>
      </c>
      <c r="C188" s="366">
        <f ca="1">INDEX(T_Merger!__Saldo_Inicial,_AmortizacionesTablaCliente)</f>
        <v>9.0949470177292824E-12</v>
      </c>
      <c r="D188" s="366">
        <f ca="1">INDEX(T_Merger!__Capital,_AmortizacionesTablaCliente)</f>
        <v>0</v>
      </c>
      <c r="E188" s="519">
        <f ca="1">INDEX(T_Merger!__Interes,_AmortizacionesTablaCliente)</f>
        <v>9.7770680440589784E-14</v>
      </c>
      <c r="F188" s="366">
        <f ca="1">INDEX(T_Merger!__IVA,_AmortizacionesTablaCliente)</f>
        <v>1.1732481652870774E-14</v>
      </c>
      <c r="G188" s="366">
        <f ca="1">INDEX(T_Merger!__Pago,_AmortizacionesTablaCliente)</f>
        <v>1.0950316209346055E-13</v>
      </c>
      <c r="H188" s="491">
        <v>0</v>
      </c>
      <c r="I188" s="367">
        <f ca="1">INDEX(T_Merger!__Saldo_Final,_AmortizacionesTablaCliente)</f>
        <v>9.0949470177292824E-12</v>
      </c>
    </row>
    <row r="189" spans="1:9" hidden="1">
      <c r="A189" s="364">
        <v>170</v>
      </c>
      <c r="B189" s="365">
        <f t="shared" ca="1" si="2"/>
        <v>47803</v>
      </c>
      <c r="C189" s="366">
        <f ca="1">INDEX(T_Merger!__Saldo_Inicial,_AmortizacionesTablaCliente)</f>
        <v>9.0949470177292824E-12</v>
      </c>
      <c r="D189" s="366">
        <f ca="1">INDEX(T_Merger!__Capital,_AmortizacionesTablaCliente)</f>
        <v>0</v>
      </c>
      <c r="E189" s="519">
        <f ca="1">INDEX(T_Merger!__Interes,_AmortizacionesTablaCliente)</f>
        <v>9.7770680440589784E-14</v>
      </c>
      <c r="F189" s="366">
        <f ca="1">INDEX(T_Merger!__IVA,_AmortizacionesTablaCliente)</f>
        <v>1.1732481652870774E-14</v>
      </c>
      <c r="G189" s="366">
        <f ca="1">INDEX(T_Merger!__Pago,_AmortizacionesTablaCliente)</f>
        <v>1.0950316209346055E-13</v>
      </c>
      <c r="H189" s="491">
        <v>0</v>
      </c>
      <c r="I189" s="367">
        <f ca="1">INDEX(T_Merger!__Saldo_Final,_AmortizacionesTablaCliente)</f>
        <v>9.0949470177292824E-12</v>
      </c>
    </row>
    <row r="190" spans="1:9" hidden="1">
      <c r="A190" s="364">
        <v>171</v>
      </c>
      <c r="B190" s="365">
        <f t="shared" ca="1" si="2"/>
        <v>47833</v>
      </c>
      <c r="C190" s="366">
        <f ca="1">INDEX(T_Merger!__Saldo_Inicial,_AmortizacionesTablaCliente)</f>
        <v>9.0949470177292824E-12</v>
      </c>
      <c r="D190" s="366">
        <f ca="1">INDEX(T_Merger!__Capital,_AmortizacionesTablaCliente)</f>
        <v>0</v>
      </c>
      <c r="E190" s="519">
        <f ca="1">INDEX(T_Merger!__Interes,_AmortizacionesTablaCliente)</f>
        <v>9.7770680440589784E-14</v>
      </c>
      <c r="F190" s="366">
        <f ca="1">INDEX(T_Merger!__IVA,_AmortizacionesTablaCliente)</f>
        <v>1.1732481652870774E-14</v>
      </c>
      <c r="G190" s="366">
        <f ca="1">INDEX(T_Merger!__Pago,_AmortizacionesTablaCliente)</f>
        <v>1.0950316209346055E-13</v>
      </c>
      <c r="H190" s="491">
        <v>0</v>
      </c>
      <c r="I190" s="367">
        <f ca="1">INDEX(T_Merger!__Saldo_Final,_AmortizacionesTablaCliente)</f>
        <v>9.0949470177292824E-12</v>
      </c>
    </row>
    <row r="191" spans="1:9" hidden="1">
      <c r="A191" s="364">
        <v>172</v>
      </c>
      <c r="B191" s="365">
        <f t="shared" ca="1" si="2"/>
        <v>47864</v>
      </c>
      <c r="C191" s="366">
        <f ca="1">INDEX(T_Merger!__Saldo_Inicial,_AmortizacionesTablaCliente)</f>
        <v>9.0949470177292824E-12</v>
      </c>
      <c r="D191" s="366">
        <f ca="1">INDEX(T_Merger!__Capital,_AmortizacionesTablaCliente)</f>
        <v>0</v>
      </c>
      <c r="E191" s="519">
        <f ca="1">INDEX(T_Merger!__Interes,_AmortizacionesTablaCliente)</f>
        <v>9.7770680440589784E-14</v>
      </c>
      <c r="F191" s="366">
        <f ca="1">INDEX(T_Merger!__IVA,_AmortizacionesTablaCliente)</f>
        <v>1.1732481652870774E-14</v>
      </c>
      <c r="G191" s="366">
        <f ca="1">INDEX(T_Merger!__Pago,_AmortizacionesTablaCliente)</f>
        <v>1.0950316209346055E-13</v>
      </c>
      <c r="H191" s="491">
        <v>0</v>
      </c>
      <c r="I191" s="367">
        <f ca="1">INDEX(T_Merger!__Saldo_Final,_AmortizacionesTablaCliente)</f>
        <v>9.0949470177292824E-12</v>
      </c>
    </row>
    <row r="192" spans="1:9" hidden="1">
      <c r="A192" s="364">
        <v>173</v>
      </c>
      <c r="B192" s="365">
        <f t="shared" ca="1" si="2"/>
        <v>47895</v>
      </c>
      <c r="C192" s="366">
        <f ca="1">INDEX(T_Merger!__Saldo_Inicial,_AmortizacionesTablaCliente)</f>
        <v>9.0949470177292824E-12</v>
      </c>
      <c r="D192" s="366">
        <f ca="1">INDEX(T_Merger!__Capital,_AmortizacionesTablaCliente)</f>
        <v>0</v>
      </c>
      <c r="E192" s="519">
        <f ca="1">INDEX(T_Merger!__Interes,_AmortizacionesTablaCliente)</f>
        <v>9.7770680440589784E-14</v>
      </c>
      <c r="F192" s="366">
        <f ca="1">INDEX(T_Merger!__IVA,_AmortizacionesTablaCliente)</f>
        <v>1.1732481652870774E-14</v>
      </c>
      <c r="G192" s="366">
        <f ca="1">INDEX(T_Merger!__Pago,_AmortizacionesTablaCliente)</f>
        <v>1.0950316209346055E-13</v>
      </c>
      <c r="H192" s="491">
        <v>0</v>
      </c>
      <c r="I192" s="367">
        <f ca="1">INDEX(T_Merger!__Saldo_Final,_AmortizacionesTablaCliente)</f>
        <v>9.0949470177292824E-12</v>
      </c>
    </row>
    <row r="193" spans="1:9" hidden="1">
      <c r="A193" s="364">
        <v>174</v>
      </c>
      <c r="B193" s="365">
        <f t="shared" ca="1" si="2"/>
        <v>47923</v>
      </c>
      <c r="C193" s="366">
        <f ca="1">INDEX(T_Merger!__Saldo_Inicial,_AmortizacionesTablaCliente)</f>
        <v>9.0949470177292824E-12</v>
      </c>
      <c r="D193" s="366">
        <f ca="1">INDEX(T_Merger!__Capital,_AmortizacionesTablaCliente)</f>
        <v>0</v>
      </c>
      <c r="E193" s="519">
        <f ca="1">INDEX(T_Merger!__Interes,_AmortizacionesTablaCliente)</f>
        <v>9.7770680440589784E-14</v>
      </c>
      <c r="F193" s="366">
        <f ca="1">INDEX(T_Merger!__IVA,_AmortizacionesTablaCliente)</f>
        <v>1.1732481652870774E-14</v>
      </c>
      <c r="G193" s="366">
        <f ca="1">INDEX(T_Merger!__Pago,_AmortizacionesTablaCliente)</f>
        <v>1.0950316209346055E-13</v>
      </c>
      <c r="H193" s="491">
        <v>0</v>
      </c>
      <c r="I193" s="367">
        <f ca="1">INDEX(T_Merger!__Saldo_Final,_AmortizacionesTablaCliente)</f>
        <v>9.0949470177292824E-12</v>
      </c>
    </row>
    <row r="194" spans="1:9" hidden="1">
      <c r="A194" s="364">
        <v>175</v>
      </c>
      <c r="B194" s="365">
        <f t="shared" ca="1" si="2"/>
        <v>47954</v>
      </c>
      <c r="C194" s="366">
        <f ca="1">INDEX(T_Merger!__Saldo_Inicial,_AmortizacionesTablaCliente)</f>
        <v>9.0949470177292824E-12</v>
      </c>
      <c r="D194" s="366">
        <f ca="1">INDEX(T_Merger!__Capital,_AmortizacionesTablaCliente)</f>
        <v>0</v>
      </c>
      <c r="E194" s="519">
        <f ca="1">INDEX(T_Merger!__Interes,_AmortizacionesTablaCliente)</f>
        <v>9.7770680440589784E-14</v>
      </c>
      <c r="F194" s="366">
        <f ca="1">INDEX(T_Merger!__IVA,_AmortizacionesTablaCliente)</f>
        <v>1.1732481652870774E-14</v>
      </c>
      <c r="G194" s="366">
        <f ca="1">INDEX(T_Merger!__Pago,_AmortizacionesTablaCliente)</f>
        <v>1.0950316209346055E-13</v>
      </c>
      <c r="H194" s="491">
        <v>0</v>
      </c>
      <c r="I194" s="367">
        <f ca="1">INDEX(T_Merger!__Saldo_Final,_AmortizacionesTablaCliente)</f>
        <v>9.0949470177292824E-12</v>
      </c>
    </row>
    <row r="195" spans="1:9" hidden="1">
      <c r="A195" s="364">
        <v>176</v>
      </c>
      <c r="B195" s="365">
        <f t="shared" ca="1" si="2"/>
        <v>47984</v>
      </c>
      <c r="C195" s="366">
        <f ca="1">INDEX(T_Merger!__Saldo_Inicial,_AmortizacionesTablaCliente)</f>
        <v>9.0949470177292824E-12</v>
      </c>
      <c r="D195" s="366">
        <f ca="1">INDEX(T_Merger!__Capital,_AmortizacionesTablaCliente)</f>
        <v>0</v>
      </c>
      <c r="E195" s="519">
        <f ca="1">INDEX(T_Merger!__Interes,_AmortizacionesTablaCliente)</f>
        <v>9.7770680440589784E-14</v>
      </c>
      <c r="F195" s="366">
        <f ca="1">INDEX(T_Merger!__IVA,_AmortizacionesTablaCliente)</f>
        <v>1.1732481652870774E-14</v>
      </c>
      <c r="G195" s="366">
        <f ca="1">INDEX(T_Merger!__Pago,_AmortizacionesTablaCliente)</f>
        <v>1.0950316209346055E-13</v>
      </c>
      <c r="H195" s="491">
        <v>0</v>
      </c>
      <c r="I195" s="367">
        <f ca="1">INDEX(T_Merger!__Saldo_Final,_AmortizacionesTablaCliente)</f>
        <v>9.0949470177292824E-12</v>
      </c>
    </row>
    <row r="196" spans="1:9" hidden="1">
      <c r="A196" s="364">
        <v>177</v>
      </c>
      <c r="B196" s="365">
        <f t="shared" ca="1" si="2"/>
        <v>48015</v>
      </c>
      <c r="C196" s="366">
        <f ca="1">INDEX(T_Merger!__Saldo_Inicial,_AmortizacionesTablaCliente)</f>
        <v>9.0949470177292824E-12</v>
      </c>
      <c r="D196" s="366">
        <f ca="1">INDEX(T_Merger!__Capital,_AmortizacionesTablaCliente)</f>
        <v>0</v>
      </c>
      <c r="E196" s="519">
        <f ca="1">INDEX(T_Merger!__Interes,_AmortizacionesTablaCliente)</f>
        <v>9.7770680440589784E-14</v>
      </c>
      <c r="F196" s="366">
        <f ca="1">INDEX(T_Merger!__IVA,_AmortizacionesTablaCliente)</f>
        <v>1.1732481652870774E-14</v>
      </c>
      <c r="G196" s="366">
        <f ca="1">INDEX(T_Merger!__Pago,_AmortizacionesTablaCliente)</f>
        <v>1.0950316209346055E-13</v>
      </c>
      <c r="H196" s="491">
        <v>0</v>
      </c>
      <c r="I196" s="367">
        <f ca="1">INDEX(T_Merger!__Saldo_Final,_AmortizacionesTablaCliente)</f>
        <v>9.0949470177292824E-12</v>
      </c>
    </row>
    <row r="197" spans="1:9" hidden="1">
      <c r="A197" s="364">
        <v>178</v>
      </c>
      <c r="B197" s="365">
        <f t="shared" ca="1" si="2"/>
        <v>48045</v>
      </c>
      <c r="C197" s="366">
        <f ca="1">INDEX(T_Merger!__Saldo_Inicial,_AmortizacionesTablaCliente)</f>
        <v>9.0949470177292824E-12</v>
      </c>
      <c r="D197" s="366">
        <f ca="1">INDEX(T_Merger!__Capital,_AmortizacionesTablaCliente)</f>
        <v>0</v>
      </c>
      <c r="E197" s="519">
        <f ca="1">INDEX(T_Merger!__Interes,_AmortizacionesTablaCliente)</f>
        <v>9.7770680440589784E-14</v>
      </c>
      <c r="F197" s="366">
        <f ca="1">INDEX(T_Merger!__IVA,_AmortizacionesTablaCliente)</f>
        <v>1.1732481652870774E-14</v>
      </c>
      <c r="G197" s="366">
        <f ca="1">INDEX(T_Merger!__Pago,_AmortizacionesTablaCliente)</f>
        <v>1.0950316209346055E-13</v>
      </c>
      <c r="H197" s="491">
        <v>0</v>
      </c>
      <c r="I197" s="367">
        <f ca="1">INDEX(T_Merger!__Saldo_Final,_AmortizacionesTablaCliente)</f>
        <v>9.0949470177292824E-12</v>
      </c>
    </row>
    <row r="198" spans="1:9" hidden="1">
      <c r="A198" s="364">
        <v>179</v>
      </c>
      <c r="B198" s="365">
        <f t="shared" ca="1" si="2"/>
        <v>48076</v>
      </c>
      <c r="C198" s="366">
        <f ca="1">INDEX(T_Merger!__Saldo_Inicial,_AmortizacionesTablaCliente)</f>
        <v>9.0949470177292824E-12</v>
      </c>
      <c r="D198" s="366">
        <f ca="1">INDEX(T_Merger!__Capital,_AmortizacionesTablaCliente)</f>
        <v>0</v>
      </c>
      <c r="E198" s="519">
        <f ca="1">INDEX(T_Merger!__Interes,_AmortizacionesTablaCliente)</f>
        <v>9.7770680440589784E-14</v>
      </c>
      <c r="F198" s="366">
        <f ca="1">INDEX(T_Merger!__IVA,_AmortizacionesTablaCliente)</f>
        <v>1.1732481652870774E-14</v>
      </c>
      <c r="G198" s="366">
        <f ca="1">INDEX(T_Merger!__Pago,_AmortizacionesTablaCliente)</f>
        <v>1.0950316209346055E-13</v>
      </c>
      <c r="H198" s="491">
        <v>0</v>
      </c>
      <c r="I198" s="367">
        <f ca="1">INDEX(T_Merger!__Saldo_Final,_AmortizacionesTablaCliente)</f>
        <v>9.0949470177292824E-12</v>
      </c>
    </row>
    <row r="199" spans="1:9" hidden="1">
      <c r="A199" s="364">
        <v>180</v>
      </c>
      <c r="B199" s="365">
        <f t="shared" ca="1" si="2"/>
        <v>48107</v>
      </c>
      <c r="C199" s="366">
        <f ca="1">INDEX(T_Merger!__Saldo_Inicial,_AmortizacionesTablaCliente)</f>
        <v>9.0949470177292824E-12</v>
      </c>
      <c r="D199" s="366">
        <f ca="1">INDEX(T_Merger!__Capital,_AmortizacionesTablaCliente)</f>
        <v>0</v>
      </c>
      <c r="E199" s="519">
        <f ca="1">INDEX(T_Merger!__Interes,_AmortizacionesTablaCliente)</f>
        <v>9.7770680440589784E-14</v>
      </c>
      <c r="F199" s="366">
        <f ca="1">INDEX(T_Merger!__IVA,_AmortizacionesTablaCliente)</f>
        <v>1.1732481652870774E-14</v>
      </c>
      <c r="G199" s="366">
        <f ca="1">INDEX(T_Merger!__Pago,_AmortizacionesTablaCliente)</f>
        <v>1.0950316209346055E-13</v>
      </c>
      <c r="H199" s="491">
        <v>0</v>
      </c>
      <c r="I199" s="367">
        <f ca="1">INDEX(T_Merger!__Saldo_Final,_AmortizacionesTablaCliente)</f>
        <v>9.0949470177292824E-12</v>
      </c>
    </row>
    <row r="200" spans="1:9" hidden="1">
      <c r="A200" s="364">
        <v>181</v>
      </c>
      <c r="B200" s="365">
        <f t="shared" ca="1" si="2"/>
        <v>48137</v>
      </c>
      <c r="C200" s="366">
        <f ca="1">INDEX(T_Merger!__Saldo_Inicial,_AmortizacionesTablaCliente)</f>
        <v>9.0949470177292824E-12</v>
      </c>
      <c r="D200" s="366">
        <f ca="1">INDEX(T_Merger!__Capital,_AmortizacionesTablaCliente)</f>
        <v>0</v>
      </c>
      <c r="E200" s="519">
        <f ca="1">INDEX(T_Merger!__Interes,_AmortizacionesTablaCliente)</f>
        <v>9.7770680440589784E-14</v>
      </c>
      <c r="F200" s="366">
        <f ca="1">INDEX(T_Merger!__IVA,_AmortizacionesTablaCliente)</f>
        <v>1.1732481652870774E-14</v>
      </c>
      <c r="G200" s="366">
        <f ca="1">INDEX(T_Merger!__Pago,_AmortizacionesTablaCliente)</f>
        <v>1.0950316209346055E-13</v>
      </c>
      <c r="H200" s="491">
        <v>0</v>
      </c>
      <c r="I200" s="367">
        <f ca="1">INDEX(T_Merger!__Saldo_Final,_AmortizacionesTablaCliente)</f>
        <v>9.0949470177292824E-12</v>
      </c>
    </row>
    <row r="201" spans="1:9" hidden="1">
      <c r="A201" s="364">
        <v>182</v>
      </c>
      <c r="B201" s="365">
        <f t="shared" ca="1" si="2"/>
        <v>48168</v>
      </c>
      <c r="C201" s="366">
        <f ca="1">INDEX(T_Merger!__Saldo_Inicial,_AmortizacionesTablaCliente)</f>
        <v>9.0949470177292824E-12</v>
      </c>
      <c r="D201" s="366">
        <f ca="1">INDEX(T_Merger!__Capital,_AmortizacionesTablaCliente)</f>
        <v>0</v>
      </c>
      <c r="E201" s="519">
        <f ca="1">INDEX(T_Merger!__Interes,_AmortizacionesTablaCliente)</f>
        <v>9.7770680440589784E-14</v>
      </c>
      <c r="F201" s="366">
        <f ca="1">INDEX(T_Merger!__IVA,_AmortizacionesTablaCliente)</f>
        <v>1.1732481652870774E-14</v>
      </c>
      <c r="G201" s="366">
        <f ca="1">INDEX(T_Merger!__Pago,_AmortizacionesTablaCliente)</f>
        <v>1.0950316209346055E-13</v>
      </c>
      <c r="H201" s="491">
        <v>0</v>
      </c>
      <c r="I201" s="367">
        <f ca="1">INDEX(T_Merger!__Saldo_Final,_AmortizacionesTablaCliente)</f>
        <v>9.0949470177292824E-12</v>
      </c>
    </row>
    <row r="202" spans="1:9" hidden="1">
      <c r="A202" s="364">
        <v>183</v>
      </c>
      <c r="B202" s="365">
        <f t="shared" ca="1" si="2"/>
        <v>48198</v>
      </c>
      <c r="C202" s="366">
        <f ca="1">INDEX(T_Merger!__Saldo_Inicial,_AmortizacionesTablaCliente)</f>
        <v>9.0949470177292824E-12</v>
      </c>
      <c r="D202" s="366">
        <f ca="1">INDEX(T_Merger!__Capital,_AmortizacionesTablaCliente)</f>
        <v>0</v>
      </c>
      <c r="E202" s="519">
        <f ca="1">INDEX(T_Merger!__Interes,_AmortizacionesTablaCliente)</f>
        <v>9.7770680440589784E-14</v>
      </c>
      <c r="F202" s="366">
        <f ca="1">INDEX(T_Merger!__IVA,_AmortizacionesTablaCliente)</f>
        <v>1.1732481652870774E-14</v>
      </c>
      <c r="G202" s="366">
        <f ca="1">INDEX(T_Merger!__Pago,_AmortizacionesTablaCliente)</f>
        <v>1.0950316209346055E-13</v>
      </c>
      <c r="H202" s="491">
        <v>0</v>
      </c>
      <c r="I202" s="367">
        <f ca="1">INDEX(T_Merger!__Saldo_Final,_AmortizacionesTablaCliente)</f>
        <v>9.0949470177292824E-12</v>
      </c>
    </row>
    <row r="203" spans="1:9" hidden="1">
      <c r="A203" s="364">
        <v>184</v>
      </c>
      <c r="B203" s="365">
        <f t="shared" ca="1" si="2"/>
        <v>48229</v>
      </c>
      <c r="C203" s="366">
        <f ca="1">INDEX(T_Merger!__Saldo_Inicial,_AmortizacionesTablaCliente)</f>
        <v>9.0949470177292824E-12</v>
      </c>
      <c r="D203" s="366">
        <f ca="1">INDEX(T_Merger!__Capital,_AmortizacionesTablaCliente)</f>
        <v>0</v>
      </c>
      <c r="E203" s="519">
        <f ca="1">INDEX(T_Merger!__Interes,_AmortizacionesTablaCliente)</f>
        <v>9.7770680440589784E-14</v>
      </c>
      <c r="F203" s="366">
        <f ca="1">INDEX(T_Merger!__IVA,_AmortizacionesTablaCliente)</f>
        <v>1.1732481652870774E-14</v>
      </c>
      <c r="G203" s="366">
        <f ca="1">INDEX(T_Merger!__Pago,_AmortizacionesTablaCliente)</f>
        <v>1.0950316209346055E-13</v>
      </c>
      <c r="H203" s="491">
        <v>0</v>
      </c>
      <c r="I203" s="367">
        <f ca="1">INDEX(T_Merger!__Saldo_Final,_AmortizacionesTablaCliente)</f>
        <v>9.0949470177292824E-12</v>
      </c>
    </row>
    <row r="204" spans="1:9" hidden="1">
      <c r="A204" s="364">
        <v>185</v>
      </c>
      <c r="B204" s="365">
        <f t="shared" ca="1" si="2"/>
        <v>48260</v>
      </c>
      <c r="C204" s="366">
        <f ca="1">INDEX(T_Merger!__Saldo_Inicial,_AmortizacionesTablaCliente)</f>
        <v>9.0949470177292824E-12</v>
      </c>
      <c r="D204" s="366">
        <f ca="1">INDEX(T_Merger!__Capital,_AmortizacionesTablaCliente)</f>
        <v>0</v>
      </c>
      <c r="E204" s="519">
        <f ca="1">INDEX(T_Merger!__Interes,_AmortizacionesTablaCliente)</f>
        <v>9.7770680440589784E-14</v>
      </c>
      <c r="F204" s="366">
        <f ca="1">INDEX(T_Merger!__IVA,_AmortizacionesTablaCliente)</f>
        <v>1.1732481652870774E-14</v>
      </c>
      <c r="G204" s="366">
        <f ca="1">INDEX(T_Merger!__Pago,_AmortizacionesTablaCliente)</f>
        <v>1.0950316209346055E-13</v>
      </c>
      <c r="H204" s="491">
        <v>0</v>
      </c>
      <c r="I204" s="367">
        <f ca="1">INDEX(T_Merger!__Saldo_Final,_AmortizacionesTablaCliente)</f>
        <v>9.0949470177292824E-12</v>
      </c>
    </row>
    <row r="205" spans="1:9" hidden="1">
      <c r="A205" s="364">
        <v>186</v>
      </c>
      <c r="B205" s="365">
        <f t="shared" ca="1" si="2"/>
        <v>48289</v>
      </c>
      <c r="C205" s="366">
        <f ca="1">INDEX(T_Merger!__Saldo_Inicial,_AmortizacionesTablaCliente)</f>
        <v>9.0949470177292824E-12</v>
      </c>
      <c r="D205" s="366">
        <f ca="1">INDEX(T_Merger!__Capital,_AmortizacionesTablaCliente)</f>
        <v>0</v>
      </c>
      <c r="E205" s="519">
        <f ca="1">INDEX(T_Merger!__Interes,_AmortizacionesTablaCliente)</f>
        <v>9.7770680440589784E-14</v>
      </c>
      <c r="F205" s="366">
        <f ca="1">INDEX(T_Merger!__IVA,_AmortizacionesTablaCliente)</f>
        <v>1.1732481652870774E-14</v>
      </c>
      <c r="G205" s="366">
        <f ca="1">INDEX(T_Merger!__Pago,_AmortizacionesTablaCliente)</f>
        <v>1.0950316209346055E-13</v>
      </c>
      <c r="H205" s="491">
        <v>0</v>
      </c>
      <c r="I205" s="367">
        <f ca="1">INDEX(T_Merger!__Saldo_Final,_AmortizacionesTablaCliente)</f>
        <v>9.0949470177292824E-12</v>
      </c>
    </row>
    <row r="206" spans="1:9" hidden="1">
      <c r="A206" s="364">
        <v>187</v>
      </c>
      <c r="B206" s="365">
        <f t="shared" ca="1" si="2"/>
        <v>48320</v>
      </c>
      <c r="C206" s="366">
        <f ca="1">INDEX(T_Merger!__Saldo_Inicial,_AmortizacionesTablaCliente)</f>
        <v>9.0949470177292824E-12</v>
      </c>
      <c r="D206" s="366">
        <f ca="1">INDEX(T_Merger!__Capital,_AmortizacionesTablaCliente)</f>
        <v>0</v>
      </c>
      <c r="E206" s="519">
        <f ca="1">INDEX(T_Merger!__Interes,_AmortizacionesTablaCliente)</f>
        <v>9.7770680440589784E-14</v>
      </c>
      <c r="F206" s="366">
        <f ca="1">INDEX(T_Merger!__IVA,_AmortizacionesTablaCliente)</f>
        <v>1.1732481652870774E-14</v>
      </c>
      <c r="G206" s="366">
        <f ca="1">INDEX(T_Merger!__Pago,_AmortizacionesTablaCliente)</f>
        <v>1.0950316209346055E-13</v>
      </c>
      <c r="H206" s="491">
        <v>0</v>
      </c>
      <c r="I206" s="367">
        <f ca="1">INDEX(T_Merger!__Saldo_Final,_AmortizacionesTablaCliente)</f>
        <v>9.0949470177292824E-12</v>
      </c>
    </row>
    <row r="207" spans="1:9" hidden="1">
      <c r="A207" s="364">
        <v>188</v>
      </c>
      <c r="B207" s="365">
        <f t="shared" ca="1" si="2"/>
        <v>48350</v>
      </c>
      <c r="C207" s="366">
        <f ca="1">INDEX(T_Merger!__Saldo_Inicial,_AmortizacionesTablaCliente)</f>
        <v>9.0949470177292824E-12</v>
      </c>
      <c r="D207" s="366">
        <f ca="1">INDEX(T_Merger!__Capital,_AmortizacionesTablaCliente)</f>
        <v>0</v>
      </c>
      <c r="E207" s="519">
        <f ca="1">INDEX(T_Merger!__Interes,_AmortizacionesTablaCliente)</f>
        <v>9.7770680440589784E-14</v>
      </c>
      <c r="F207" s="366">
        <f ca="1">INDEX(T_Merger!__IVA,_AmortizacionesTablaCliente)</f>
        <v>1.1732481652870774E-14</v>
      </c>
      <c r="G207" s="366">
        <f ca="1">INDEX(T_Merger!__Pago,_AmortizacionesTablaCliente)</f>
        <v>1.0950316209346055E-13</v>
      </c>
      <c r="H207" s="491">
        <v>0</v>
      </c>
      <c r="I207" s="367">
        <f ca="1">INDEX(T_Merger!__Saldo_Final,_AmortizacionesTablaCliente)</f>
        <v>9.0949470177292824E-12</v>
      </c>
    </row>
    <row r="208" spans="1:9" hidden="1">
      <c r="A208" s="364">
        <v>189</v>
      </c>
      <c r="B208" s="365">
        <f t="shared" ca="1" si="2"/>
        <v>48381</v>
      </c>
      <c r="C208" s="366">
        <f ca="1">INDEX(T_Merger!__Saldo_Inicial,_AmortizacionesTablaCliente)</f>
        <v>9.0949470177292824E-12</v>
      </c>
      <c r="D208" s="366">
        <f ca="1">INDEX(T_Merger!__Capital,_AmortizacionesTablaCliente)</f>
        <v>0</v>
      </c>
      <c r="E208" s="519">
        <f ca="1">INDEX(T_Merger!__Interes,_AmortizacionesTablaCliente)</f>
        <v>9.7770680440589784E-14</v>
      </c>
      <c r="F208" s="366">
        <f ca="1">INDEX(T_Merger!__IVA,_AmortizacionesTablaCliente)</f>
        <v>1.1732481652870774E-14</v>
      </c>
      <c r="G208" s="366">
        <f ca="1">INDEX(T_Merger!__Pago,_AmortizacionesTablaCliente)</f>
        <v>1.0950316209346055E-13</v>
      </c>
      <c r="H208" s="491">
        <v>0</v>
      </c>
      <c r="I208" s="367">
        <f ca="1">INDEX(T_Merger!__Saldo_Final,_AmortizacionesTablaCliente)</f>
        <v>9.0949470177292824E-12</v>
      </c>
    </row>
    <row r="209" spans="1:9" hidden="1">
      <c r="A209" s="364">
        <v>190</v>
      </c>
      <c r="B209" s="365">
        <f t="shared" ca="1" si="2"/>
        <v>48411</v>
      </c>
      <c r="C209" s="366">
        <f ca="1">INDEX(T_Merger!__Saldo_Inicial,_AmortizacionesTablaCliente)</f>
        <v>9.0949470177292824E-12</v>
      </c>
      <c r="D209" s="366">
        <f ca="1">INDEX(T_Merger!__Capital,_AmortizacionesTablaCliente)</f>
        <v>0</v>
      </c>
      <c r="E209" s="519">
        <f ca="1">INDEX(T_Merger!__Interes,_AmortizacionesTablaCliente)</f>
        <v>9.7770680440589784E-14</v>
      </c>
      <c r="F209" s="366">
        <f ca="1">INDEX(T_Merger!__IVA,_AmortizacionesTablaCliente)</f>
        <v>1.1732481652870774E-14</v>
      </c>
      <c r="G209" s="366">
        <f ca="1">INDEX(T_Merger!__Pago,_AmortizacionesTablaCliente)</f>
        <v>1.0950316209346055E-13</v>
      </c>
      <c r="H209" s="491">
        <v>0</v>
      </c>
      <c r="I209" s="367">
        <f ca="1">INDEX(T_Merger!__Saldo_Final,_AmortizacionesTablaCliente)</f>
        <v>9.0949470177292824E-12</v>
      </c>
    </row>
    <row r="210" spans="1:9" hidden="1">
      <c r="A210" s="364">
        <v>191</v>
      </c>
      <c r="B210" s="365">
        <f t="shared" ca="1" si="2"/>
        <v>48442</v>
      </c>
      <c r="C210" s="366">
        <f ca="1">INDEX(T_Merger!__Saldo_Inicial,_AmortizacionesTablaCliente)</f>
        <v>9.0949470177292824E-12</v>
      </c>
      <c r="D210" s="366">
        <f ca="1">INDEX(T_Merger!__Capital,_AmortizacionesTablaCliente)</f>
        <v>0</v>
      </c>
      <c r="E210" s="519">
        <f ca="1">INDEX(T_Merger!__Interes,_AmortizacionesTablaCliente)</f>
        <v>9.7770680440589784E-14</v>
      </c>
      <c r="F210" s="366">
        <f ca="1">INDEX(T_Merger!__IVA,_AmortizacionesTablaCliente)</f>
        <v>1.1732481652870774E-14</v>
      </c>
      <c r="G210" s="366">
        <f ca="1">INDEX(T_Merger!__Pago,_AmortizacionesTablaCliente)</f>
        <v>1.0950316209346055E-13</v>
      </c>
      <c r="H210" s="491">
        <v>0</v>
      </c>
      <c r="I210" s="367">
        <f ca="1">INDEX(T_Merger!__Saldo_Final,_AmortizacionesTablaCliente)</f>
        <v>9.0949470177292824E-12</v>
      </c>
    </row>
    <row r="211" spans="1:9" hidden="1">
      <c r="A211" s="364">
        <v>192</v>
      </c>
      <c r="B211" s="365">
        <f t="shared" ca="1" si="2"/>
        <v>48473</v>
      </c>
      <c r="C211" s="366">
        <f ca="1">INDEX(T_Merger!__Saldo_Inicial,_AmortizacionesTablaCliente)</f>
        <v>9.0949470177292824E-12</v>
      </c>
      <c r="D211" s="366">
        <f ca="1">INDEX(T_Merger!__Capital,_AmortizacionesTablaCliente)</f>
        <v>0</v>
      </c>
      <c r="E211" s="519">
        <f ca="1">INDEX(T_Merger!__Interes,_AmortizacionesTablaCliente)</f>
        <v>9.7770680440589784E-14</v>
      </c>
      <c r="F211" s="366">
        <f ca="1">INDEX(T_Merger!__IVA,_AmortizacionesTablaCliente)</f>
        <v>1.1732481652870774E-14</v>
      </c>
      <c r="G211" s="366">
        <f ca="1">INDEX(T_Merger!__Pago,_AmortizacionesTablaCliente)</f>
        <v>1.0950316209346055E-13</v>
      </c>
      <c r="H211" s="491">
        <v>0</v>
      </c>
      <c r="I211" s="367">
        <f ca="1">INDEX(T_Merger!__Saldo_Final,_AmortizacionesTablaCliente)</f>
        <v>9.0949470177292824E-12</v>
      </c>
    </row>
    <row r="212" spans="1:9" hidden="1">
      <c r="A212" s="364">
        <v>193</v>
      </c>
      <c r="B212" s="365">
        <f t="shared" ref="B212:B279" ca="1" si="3">INDEX(Fechas_Pago,_AmortizacionesTablaCliente)</f>
        <v>48503</v>
      </c>
      <c r="C212" s="366">
        <f ca="1">INDEX(T_Merger!__Saldo_Inicial,_AmortizacionesTablaCliente)</f>
        <v>9.0949470177292824E-12</v>
      </c>
      <c r="D212" s="366">
        <f ca="1">INDEX(T_Merger!__Capital,_AmortizacionesTablaCliente)</f>
        <v>0</v>
      </c>
      <c r="E212" s="519">
        <f ca="1">INDEX(T_Merger!__Interes,_AmortizacionesTablaCliente)</f>
        <v>9.7770680440589784E-14</v>
      </c>
      <c r="F212" s="366">
        <f ca="1">INDEX(T_Merger!__IVA,_AmortizacionesTablaCliente)</f>
        <v>1.1732481652870774E-14</v>
      </c>
      <c r="G212" s="366">
        <f ca="1">INDEX(T_Merger!__Pago,_AmortizacionesTablaCliente)</f>
        <v>1.0950316209346055E-13</v>
      </c>
      <c r="H212" s="491">
        <v>0</v>
      </c>
      <c r="I212" s="367">
        <f ca="1">INDEX(T_Merger!__Saldo_Final,_AmortizacionesTablaCliente)</f>
        <v>9.0949470177292824E-12</v>
      </c>
    </row>
    <row r="213" spans="1:9" hidden="1">
      <c r="A213" s="364">
        <v>194</v>
      </c>
      <c r="B213" s="365">
        <f t="shared" ca="1" si="3"/>
        <v>48534</v>
      </c>
      <c r="C213" s="366">
        <f ca="1">INDEX(T_Merger!__Saldo_Inicial,_AmortizacionesTablaCliente)</f>
        <v>9.0949470177292824E-12</v>
      </c>
      <c r="D213" s="366">
        <f ca="1">INDEX(T_Merger!__Capital,_AmortizacionesTablaCliente)</f>
        <v>0</v>
      </c>
      <c r="E213" s="519">
        <f ca="1">INDEX(T_Merger!__Interes,_AmortizacionesTablaCliente)</f>
        <v>9.7770680440589784E-14</v>
      </c>
      <c r="F213" s="366">
        <f ca="1">INDEX(T_Merger!__IVA,_AmortizacionesTablaCliente)</f>
        <v>1.1732481652870774E-14</v>
      </c>
      <c r="G213" s="366">
        <f ca="1">INDEX(T_Merger!__Pago,_AmortizacionesTablaCliente)</f>
        <v>1.0950316209346055E-13</v>
      </c>
      <c r="H213" s="491">
        <v>0</v>
      </c>
      <c r="I213" s="367">
        <f ca="1">INDEX(T_Merger!__Saldo_Final,_AmortizacionesTablaCliente)</f>
        <v>9.0949470177292824E-12</v>
      </c>
    </row>
    <row r="214" spans="1:9" hidden="1">
      <c r="A214" s="364">
        <v>195</v>
      </c>
      <c r="B214" s="365">
        <f t="shared" ca="1" si="3"/>
        <v>48564</v>
      </c>
      <c r="C214" s="366">
        <f ca="1">INDEX(T_Merger!__Saldo_Inicial,_AmortizacionesTablaCliente)</f>
        <v>9.0949470177292824E-12</v>
      </c>
      <c r="D214" s="366">
        <f ca="1">INDEX(T_Merger!__Capital,_AmortizacionesTablaCliente)</f>
        <v>0</v>
      </c>
      <c r="E214" s="519">
        <f ca="1">INDEX(T_Merger!__Interes,_AmortizacionesTablaCliente)</f>
        <v>9.7770680440589784E-14</v>
      </c>
      <c r="F214" s="366">
        <f ca="1">INDEX(T_Merger!__IVA,_AmortizacionesTablaCliente)</f>
        <v>1.1732481652870774E-14</v>
      </c>
      <c r="G214" s="366">
        <f ca="1">INDEX(T_Merger!__Pago,_AmortizacionesTablaCliente)</f>
        <v>1.0950316209346055E-13</v>
      </c>
      <c r="H214" s="491">
        <v>0</v>
      </c>
      <c r="I214" s="367">
        <f ca="1">INDEX(T_Merger!__Saldo_Final,_AmortizacionesTablaCliente)</f>
        <v>9.0949470177292824E-12</v>
      </c>
    </row>
    <row r="215" spans="1:9" hidden="1">
      <c r="A215" s="364">
        <v>196</v>
      </c>
      <c r="B215" s="365">
        <f t="shared" ca="1" si="3"/>
        <v>48595</v>
      </c>
      <c r="C215" s="366">
        <f ca="1">INDEX(T_Merger!__Saldo_Inicial,_AmortizacionesTablaCliente)</f>
        <v>9.0949470177292824E-12</v>
      </c>
      <c r="D215" s="366">
        <f ca="1">INDEX(T_Merger!__Capital,_AmortizacionesTablaCliente)</f>
        <v>0</v>
      </c>
      <c r="E215" s="519">
        <f ca="1">INDEX(T_Merger!__Interes,_AmortizacionesTablaCliente)</f>
        <v>9.7770680440589784E-14</v>
      </c>
      <c r="F215" s="366">
        <f ca="1">INDEX(T_Merger!__IVA,_AmortizacionesTablaCliente)</f>
        <v>1.1732481652870774E-14</v>
      </c>
      <c r="G215" s="366">
        <f ca="1">INDEX(T_Merger!__Pago,_AmortizacionesTablaCliente)</f>
        <v>1.0950316209346055E-13</v>
      </c>
      <c r="H215" s="491">
        <v>0</v>
      </c>
      <c r="I215" s="367">
        <f ca="1">INDEX(T_Merger!__Saldo_Final,_AmortizacionesTablaCliente)</f>
        <v>9.0949470177292824E-12</v>
      </c>
    </row>
    <row r="216" spans="1:9" hidden="1">
      <c r="A216" s="364">
        <v>197</v>
      </c>
      <c r="B216" s="365">
        <f t="shared" ca="1" si="3"/>
        <v>48626</v>
      </c>
      <c r="C216" s="366">
        <f ca="1">INDEX(T_Merger!__Saldo_Inicial,_AmortizacionesTablaCliente)</f>
        <v>9.0949470177292824E-12</v>
      </c>
      <c r="D216" s="366">
        <f ca="1">INDEX(T_Merger!__Capital,_AmortizacionesTablaCliente)</f>
        <v>0</v>
      </c>
      <c r="E216" s="519">
        <f ca="1">INDEX(T_Merger!__Interes,_AmortizacionesTablaCliente)</f>
        <v>9.7770680440589784E-14</v>
      </c>
      <c r="F216" s="366">
        <f ca="1">INDEX(T_Merger!__IVA,_AmortizacionesTablaCliente)</f>
        <v>1.1732481652870774E-14</v>
      </c>
      <c r="G216" s="366">
        <f ca="1">INDEX(T_Merger!__Pago,_AmortizacionesTablaCliente)</f>
        <v>1.0950316209346055E-13</v>
      </c>
      <c r="H216" s="491">
        <v>0</v>
      </c>
      <c r="I216" s="367">
        <f ca="1">INDEX(T_Merger!__Saldo_Final,_AmortizacionesTablaCliente)</f>
        <v>9.0949470177292824E-12</v>
      </c>
    </row>
    <row r="217" spans="1:9" hidden="1">
      <c r="A217" s="364">
        <v>198</v>
      </c>
      <c r="B217" s="365">
        <f t="shared" ca="1" si="3"/>
        <v>48654</v>
      </c>
      <c r="C217" s="366">
        <f ca="1">INDEX(T_Merger!__Saldo_Inicial,_AmortizacionesTablaCliente)</f>
        <v>9.0949470177292824E-12</v>
      </c>
      <c r="D217" s="366">
        <f ca="1">INDEX(T_Merger!__Capital,_AmortizacionesTablaCliente)</f>
        <v>0</v>
      </c>
      <c r="E217" s="519">
        <f ca="1">INDEX(T_Merger!__Interes,_AmortizacionesTablaCliente)</f>
        <v>9.7770680440589784E-14</v>
      </c>
      <c r="F217" s="366">
        <f ca="1">INDEX(T_Merger!__IVA,_AmortizacionesTablaCliente)</f>
        <v>1.1732481652870774E-14</v>
      </c>
      <c r="G217" s="366">
        <f ca="1">INDEX(T_Merger!__Pago,_AmortizacionesTablaCliente)</f>
        <v>1.0950316209346055E-13</v>
      </c>
      <c r="H217" s="491">
        <v>0</v>
      </c>
      <c r="I217" s="367">
        <f ca="1">INDEX(T_Merger!__Saldo_Final,_AmortizacionesTablaCliente)</f>
        <v>9.0949470177292824E-12</v>
      </c>
    </row>
    <row r="218" spans="1:9" hidden="1">
      <c r="A218" s="364">
        <v>199</v>
      </c>
      <c r="B218" s="365">
        <f t="shared" ca="1" si="3"/>
        <v>48685</v>
      </c>
      <c r="C218" s="366">
        <f ca="1">INDEX(T_Merger!__Saldo_Inicial,_AmortizacionesTablaCliente)</f>
        <v>9.0949470177292824E-12</v>
      </c>
      <c r="D218" s="366">
        <f ca="1">INDEX(T_Merger!__Capital,_AmortizacionesTablaCliente)</f>
        <v>0</v>
      </c>
      <c r="E218" s="519">
        <f ca="1">INDEX(T_Merger!__Interes,_AmortizacionesTablaCliente)</f>
        <v>9.7770680440589784E-14</v>
      </c>
      <c r="F218" s="366">
        <f ca="1">INDEX(T_Merger!__IVA,_AmortizacionesTablaCliente)</f>
        <v>1.1732481652870774E-14</v>
      </c>
      <c r="G218" s="366">
        <f ca="1">INDEX(T_Merger!__Pago,_AmortizacionesTablaCliente)</f>
        <v>1.0950316209346055E-13</v>
      </c>
      <c r="H218" s="491">
        <v>0</v>
      </c>
      <c r="I218" s="367">
        <f ca="1">INDEX(T_Merger!__Saldo_Final,_AmortizacionesTablaCliente)</f>
        <v>9.0949470177292824E-12</v>
      </c>
    </row>
    <row r="219" spans="1:9" hidden="1">
      <c r="A219" s="364">
        <v>200</v>
      </c>
      <c r="B219" s="365">
        <f t="shared" ca="1" si="3"/>
        <v>48715</v>
      </c>
      <c r="C219" s="366">
        <f ca="1">INDEX(T_Merger!__Saldo_Inicial,_AmortizacionesTablaCliente)</f>
        <v>9.0949470177292824E-12</v>
      </c>
      <c r="D219" s="366">
        <f ca="1">INDEX(T_Merger!__Capital,_AmortizacionesTablaCliente)</f>
        <v>0</v>
      </c>
      <c r="E219" s="519">
        <f ca="1">INDEX(T_Merger!__Interes,_AmortizacionesTablaCliente)</f>
        <v>9.7770680440589784E-14</v>
      </c>
      <c r="F219" s="366">
        <f ca="1">INDEX(T_Merger!__IVA,_AmortizacionesTablaCliente)</f>
        <v>1.1732481652870774E-14</v>
      </c>
      <c r="G219" s="366">
        <f ca="1">INDEX(T_Merger!__Pago,_AmortizacionesTablaCliente)</f>
        <v>1.0950316209346055E-13</v>
      </c>
      <c r="H219" s="491">
        <v>0</v>
      </c>
      <c r="I219" s="367">
        <f ca="1">INDEX(T_Merger!__Saldo_Final,_AmortizacionesTablaCliente)</f>
        <v>9.0949470177292824E-12</v>
      </c>
    </row>
    <row r="220" spans="1:9" hidden="1">
      <c r="A220" s="364">
        <v>201</v>
      </c>
      <c r="B220" s="365">
        <f t="shared" ca="1" si="3"/>
        <v>48746</v>
      </c>
      <c r="C220" s="366">
        <f ca="1">INDEX(T_Merger!__Saldo_Inicial,_AmortizacionesTablaCliente)</f>
        <v>9.0949470177292824E-12</v>
      </c>
      <c r="D220" s="366">
        <f ca="1">INDEX(T_Merger!__Capital,_AmortizacionesTablaCliente)</f>
        <v>0</v>
      </c>
      <c r="E220" s="519">
        <f ca="1">INDEX(T_Merger!__Interes,_AmortizacionesTablaCliente)</f>
        <v>9.7770680440589784E-14</v>
      </c>
      <c r="F220" s="366">
        <f ca="1">INDEX(T_Merger!__IVA,_AmortizacionesTablaCliente)</f>
        <v>1.1732481652870774E-14</v>
      </c>
      <c r="G220" s="366">
        <f ca="1">INDEX(T_Merger!__Pago,_AmortizacionesTablaCliente)</f>
        <v>1.0950316209346055E-13</v>
      </c>
      <c r="H220" s="491">
        <v>0</v>
      </c>
      <c r="I220" s="367">
        <f ca="1">INDEX(T_Merger!__Saldo_Final,_AmortizacionesTablaCliente)</f>
        <v>9.0949470177292824E-12</v>
      </c>
    </row>
    <row r="221" spans="1:9" hidden="1">
      <c r="A221" s="364">
        <v>202</v>
      </c>
      <c r="B221" s="365">
        <f t="shared" ca="1" si="3"/>
        <v>48776</v>
      </c>
      <c r="C221" s="366">
        <f ca="1">INDEX(T_Merger!__Saldo_Inicial,_AmortizacionesTablaCliente)</f>
        <v>9.0949470177292824E-12</v>
      </c>
      <c r="D221" s="366">
        <f ca="1">INDEX(T_Merger!__Capital,_AmortizacionesTablaCliente)</f>
        <v>0</v>
      </c>
      <c r="E221" s="519">
        <f ca="1">INDEX(T_Merger!__Interes,_AmortizacionesTablaCliente)</f>
        <v>9.7770680440589784E-14</v>
      </c>
      <c r="F221" s="366">
        <f ca="1">INDEX(T_Merger!__IVA,_AmortizacionesTablaCliente)</f>
        <v>1.1732481652870774E-14</v>
      </c>
      <c r="G221" s="366">
        <f ca="1">INDEX(T_Merger!__Pago,_AmortizacionesTablaCliente)</f>
        <v>1.0950316209346055E-13</v>
      </c>
      <c r="H221" s="491">
        <v>0</v>
      </c>
      <c r="I221" s="367">
        <f ca="1">INDEX(T_Merger!__Saldo_Final,_AmortizacionesTablaCliente)</f>
        <v>9.0949470177292824E-12</v>
      </c>
    </row>
    <row r="222" spans="1:9" hidden="1">
      <c r="A222" s="364">
        <v>203</v>
      </c>
      <c r="B222" s="365">
        <f t="shared" ca="1" si="3"/>
        <v>48807</v>
      </c>
      <c r="C222" s="366">
        <f ca="1">INDEX(T_Merger!__Saldo_Inicial,_AmortizacionesTablaCliente)</f>
        <v>9.0949470177292824E-12</v>
      </c>
      <c r="D222" s="366">
        <f ca="1">INDEX(T_Merger!__Capital,_AmortizacionesTablaCliente)</f>
        <v>0</v>
      </c>
      <c r="E222" s="519">
        <f ca="1">INDEX(T_Merger!__Interes,_AmortizacionesTablaCliente)</f>
        <v>9.7770680440589784E-14</v>
      </c>
      <c r="F222" s="366">
        <f ca="1">INDEX(T_Merger!__IVA,_AmortizacionesTablaCliente)</f>
        <v>1.1732481652870774E-14</v>
      </c>
      <c r="G222" s="366">
        <f ca="1">INDEX(T_Merger!__Pago,_AmortizacionesTablaCliente)</f>
        <v>1.0950316209346055E-13</v>
      </c>
      <c r="H222" s="491">
        <v>0</v>
      </c>
      <c r="I222" s="367">
        <f ca="1">INDEX(T_Merger!__Saldo_Final,_AmortizacionesTablaCliente)</f>
        <v>9.0949470177292824E-12</v>
      </c>
    </row>
    <row r="223" spans="1:9" hidden="1">
      <c r="A223" s="364">
        <v>204</v>
      </c>
      <c r="B223" s="365">
        <f t="shared" ca="1" si="3"/>
        <v>48838</v>
      </c>
      <c r="C223" s="366">
        <f ca="1">INDEX(T_Merger!__Saldo_Inicial,_AmortizacionesTablaCliente)</f>
        <v>9.0949470177292824E-12</v>
      </c>
      <c r="D223" s="366">
        <f ca="1">INDEX(T_Merger!__Capital,_AmortizacionesTablaCliente)</f>
        <v>0</v>
      </c>
      <c r="E223" s="519">
        <f ca="1">INDEX(T_Merger!__Interes,_AmortizacionesTablaCliente)</f>
        <v>9.7770680440589784E-14</v>
      </c>
      <c r="F223" s="366">
        <f ca="1">INDEX(T_Merger!__IVA,_AmortizacionesTablaCliente)</f>
        <v>1.1732481652870774E-14</v>
      </c>
      <c r="G223" s="366">
        <f ca="1">INDEX(T_Merger!__Pago,_AmortizacionesTablaCliente)</f>
        <v>1.0950316209346055E-13</v>
      </c>
      <c r="H223" s="491">
        <v>0</v>
      </c>
      <c r="I223" s="367">
        <f ca="1">INDEX(T_Merger!__Saldo_Final,_AmortizacionesTablaCliente)</f>
        <v>9.0949470177292824E-12</v>
      </c>
    </row>
    <row r="224" spans="1:9" hidden="1">
      <c r="A224" s="364">
        <v>205</v>
      </c>
      <c r="B224" s="365">
        <f t="shared" ca="1" si="3"/>
        <v>48868</v>
      </c>
      <c r="C224" s="366">
        <f ca="1">INDEX(T_Merger!__Saldo_Inicial,_AmortizacionesTablaCliente)</f>
        <v>9.0949470177292824E-12</v>
      </c>
      <c r="D224" s="366">
        <f ca="1">INDEX(T_Merger!__Capital,_AmortizacionesTablaCliente)</f>
        <v>0</v>
      </c>
      <c r="E224" s="519">
        <f ca="1">INDEX(T_Merger!__Interes,_AmortizacionesTablaCliente)</f>
        <v>9.7770680440589784E-14</v>
      </c>
      <c r="F224" s="366">
        <f ca="1">INDEX(T_Merger!__IVA,_AmortizacionesTablaCliente)</f>
        <v>1.1732481652870774E-14</v>
      </c>
      <c r="G224" s="366">
        <f ca="1">INDEX(T_Merger!__Pago,_AmortizacionesTablaCliente)</f>
        <v>1.0950316209346055E-13</v>
      </c>
      <c r="H224" s="491">
        <v>0</v>
      </c>
      <c r="I224" s="367">
        <f ca="1">INDEX(T_Merger!__Saldo_Final,_AmortizacionesTablaCliente)</f>
        <v>9.0949470177292824E-12</v>
      </c>
    </row>
    <row r="225" spans="1:9" hidden="1">
      <c r="A225" s="364">
        <v>206</v>
      </c>
      <c r="B225" s="365">
        <f t="shared" ca="1" si="3"/>
        <v>48899</v>
      </c>
      <c r="C225" s="366">
        <f ca="1">INDEX(T_Merger!__Saldo_Inicial,_AmortizacionesTablaCliente)</f>
        <v>9.0949470177292824E-12</v>
      </c>
      <c r="D225" s="366">
        <f ca="1">INDEX(T_Merger!__Capital,_AmortizacionesTablaCliente)</f>
        <v>0</v>
      </c>
      <c r="E225" s="519">
        <f ca="1">INDEX(T_Merger!__Interes,_AmortizacionesTablaCliente)</f>
        <v>9.7770680440589784E-14</v>
      </c>
      <c r="F225" s="366">
        <f ca="1">INDEX(T_Merger!__IVA,_AmortizacionesTablaCliente)</f>
        <v>1.1732481652870774E-14</v>
      </c>
      <c r="G225" s="366">
        <f ca="1">INDEX(T_Merger!__Pago,_AmortizacionesTablaCliente)</f>
        <v>1.0950316209346055E-13</v>
      </c>
      <c r="H225" s="491">
        <v>0</v>
      </c>
      <c r="I225" s="367">
        <f ca="1">INDEX(T_Merger!__Saldo_Final,_AmortizacionesTablaCliente)</f>
        <v>9.0949470177292824E-12</v>
      </c>
    </row>
    <row r="226" spans="1:9" hidden="1">
      <c r="A226" s="364">
        <v>207</v>
      </c>
      <c r="B226" s="365">
        <f t="shared" ca="1" si="3"/>
        <v>48929</v>
      </c>
      <c r="C226" s="366">
        <f ca="1">INDEX(T_Merger!__Saldo_Inicial,_AmortizacionesTablaCliente)</f>
        <v>9.0949470177292824E-12</v>
      </c>
      <c r="D226" s="366">
        <f ca="1">INDEX(T_Merger!__Capital,_AmortizacionesTablaCliente)</f>
        <v>0</v>
      </c>
      <c r="E226" s="519">
        <f ca="1">INDEX(T_Merger!__Interes,_AmortizacionesTablaCliente)</f>
        <v>9.7770680440589784E-14</v>
      </c>
      <c r="F226" s="366">
        <f ca="1">INDEX(T_Merger!__IVA,_AmortizacionesTablaCliente)</f>
        <v>1.1732481652870774E-14</v>
      </c>
      <c r="G226" s="366">
        <f ca="1">INDEX(T_Merger!__Pago,_AmortizacionesTablaCliente)</f>
        <v>1.0950316209346055E-13</v>
      </c>
      <c r="H226" s="491">
        <v>0</v>
      </c>
      <c r="I226" s="367">
        <f ca="1">INDEX(T_Merger!__Saldo_Final,_AmortizacionesTablaCliente)</f>
        <v>9.0949470177292824E-12</v>
      </c>
    </row>
    <row r="227" spans="1:9" hidden="1">
      <c r="A227" s="364">
        <v>208</v>
      </c>
      <c r="B227" s="365">
        <f t="shared" ca="1" si="3"/>
        <v>48960</v>
      </c>
      <c r="C227" s="366">
        <f ca="1">INDEX(T_Merger!__Saldo_Inicial,_AmortizacionesTablaCliente)</f>
        <v>9.0949470177292824E-12</v>
      </c>
      <c r="D227" s="366">
        <f ca="1">INDEX(T_Merger!__Capital,_AmortizacionesTablaCliente)</f>
        <v>0</v>
      </c>
      <c r="E227" s="519">
        <f ca="1">INDEX(T_Merger!__Interes,_AmortizacionesTablaCliente)</f>
        <v>9.7770680440589784E-14</v>
      </c>
      <c r="F227" s="366">
        <f ca="1">INDEX(T_Merger!__IVA,_AmortizacionesTablaCliente)</f>
        <v>1.1732481652870774E-14</v>
      </c>
      <c r="G227" s="366">
        <f ca="1">INDEX(T_Merger!__Pago,_AmortizacionesTablaCliente)</f>
        <v>1.0950316209346055E-13</v>
      </c>
      <c r="H227" s="491">
        <v>0</v>
      </c>
      <c r="I227" s="367">
        <f ca="1">INDEX(T_Merger!__Saldo_Final,_AmortizacionesTablaCliente)</f>
        <v>9.0949470177292824E-12</v>
      </c>
    </row>
    <row r="228" spans="1:9" hidden="1">
      <c r="A228" s="364">
        <v>209</v>
      </c>
      <c r="B228" s="365">
        <f t="shared" ca="1" si="3"/>
        <v>48991</v>
      </c>
      <c r="C228" s="366">
        <f ca="1">INDEX(T_Merger!__Saldo_Inicial,_AmortizacionesTablaCliente)</f>
        <v>9.0949470177292824E-12</v>
      </c>
      <c r="D228" s="366">
        <f ca="1">INDEX(T_Merger!__Capital,_AmortizacionesTablaCliente)</f>
        <v>0</v>
      </c>
      <c r="E228" s="519">
        <f ca="1">INDEX(T_Merger!__Interes,_AmortizacionesTablaCliente)</f>
        <v>9.7770680440589784E-14</v>
      </c>
      <c r="F228" s="366">
        <f ca="1">INDEX(T_Merger!__IVA,_AmortizacionesTablaCliente)</f>
        <v>1.1732481652870774E-14</v>
      </c>
      <c r="G228" s="366">
        <f ca="1">INDEX(T_Merger!__Pago,_AmortizacionesTablaCliente)</f>
        <v>1.0950316209346055E-13</v>
      </c>
      <c r="H228" s="491">
        <v>0</v>
      </c>
      <c r="I228" s="367">
        <f ca="1">INDEX(T_Merger!__Saldo_Final,_AmortizacionesTablaCliente)</f>
        <v>9.0949470177292824E-12</v>
      </c>
    </row>
    <row r="229" spans="1:9" hidden="1">
      <c r="A229" s="364">
        <v>210</v>
      </c>
      <c r="B229" s="365">
        <f t="shared" ca="1" si="3"/>
        <v>49019</v>
      </c>
      <c r="C229" s="366">
        <f ca="1">INDEX(T_Merger!__Saldo_Inicial,_AmortizacionesTablaCliente)</f>
        <v>9.0949470177292824E-12</v>
      </c>
      <c r="D229" s="366">
        <f ca="1">INDEX(T_Merger!__Capital,_AmortizacionesTablaCliente)</f>
        <v>0</v>
      </c>
      <c r="E229" s="519">
        <f ca="1">INDEX(T_Merger!__Interes,_AmortizacionesTablaCliente)</f>
        <v>9.7770680440589784E-14</v>
      </c>
      <c r="F229" s="366">
        <f ca="1">INDEX(T_Merger!__IVA,_AmortizacionesTablaCliente)</f>
        <v>1.1732481652870774E-14</v>
      </c>
      <c r="G229" s="366">
        <f ca="1">INDEX(T_Merger!__Pago,_AmortizacionesTablaCliente)</f>
        <v>1.0950316209346055E-13</v>
      </c>
      <c r="H229" s="491">
        <v>0</v>
      </c>
      <c r="I229" s="367">
        <f ca="1">INDEX(T_Merger!__Saldo_Final,_AmortizacionesTablaCliente)</f>
        <v>9.0949470177292824E-12</v>
      </c>
    </row>
    <row r="230" spans="1:9" hidden="1">
      <c r="A230" s="364">
        <v>211</v>
      </c>
      <c r="B230" s="365">
        <f t="shared" ca="1" si="3"/>
        <v>49050</v>
      </c>
      <c r="C230" s="366">
        <f ca="1">INDEX(T_Merger!__Saldo_Inicial,_AmortizacionesTablaCliente)</f>
        <v>9.0949470177292824E-12</v>
      </c>
      <c r="D230" s="366">
        <f ca="1">INDEX(T_Merger!__Capital,_AmortizacionesTablaCliente)</f>
        <v>0</v>
      </c>
      <c r="E230" s="519">
        <f ca="1">INDEX(T_Merger!__Interes,_AmortizacionesTablaCliente)</f>
        <v>9.7770680440589784E-14</v>
      </c>
      <c r="F230" s="366">
        <f ca="1">INDEX(T_Merger!__IVA,_AmortizacionesTablaCliente)</f>
        <v>1.1732481652870774E-14</v>
      </c>
      <c r="G230" s="366">
        <f ca="1">INDEX(T_Merger!__Pago,_AmortizacionesTablaCliente)</f>
        <v>1.0950316209346055E-13</v>
      </c>
      <c r="H230" s="491">
        <v>0</v>
      </c>
      <c r="I230" s="367">
        <f ca="1">INDEX(T_Merger!__Saldo_Final,_AmortizacionesTablaCliente)</f>
        <v>9.0949470177292824E-12</v>
      </c>
    </row>
    <row r="231" spans="1:9" hidden="1">
      <c r="A231" s="364">
        <v>212</v>
      </c>
      <c r="B231" s="365">
        <f t="shared" ca="1" si="3"/>
        <v>49080</v>
      </c>
      <c r="C231" s="366">
        <f ca="1">INDEX(T_Merger!__Saldo_Inicial,_AmortizacionesTablaCliente)</f>
        <v>9.0949470177292824E-12</v>
      </c>
      <c r="D231" s="366">
        <f ca="1">INDEX(T_Merger!__Capital,_AmortizacionesTablaCliente)</f>
        <v>0</v>
      </c>
      <c r="E231" s="519">
        <f ca="1">INDEX(T_Merger!__Interes,_AmortizacionesTablaCliente)</f>
        <v>9.7770680440589784E-14</v>
      </c>
      <c r="F231" s="366">
        <f ca="1">INDEX(T_Merger!__IVA,_AmortizacionesTablaCliente)</f>
        <v>1.1732481652870774E-14</v>
      </c>
      <c r="G231" s="366">
        <f ca="1">INDEX(T_Merger!__Pago,_AmortizacionesTablaCliente)</f>
        <v>1.0950316209346055E-13</v>
      </c>
      <c r="H231" s="491">
        <v>0</v>
      </c>
      <c r="I231" s="367">
        <f ca="1">INDEX(T_Merger!__Saldo_Final,_AmortizacionesTablaCliente)</f>
        <v>9.0949470177292824E-12</v>
      </c>
    </row>
    <row r="232" spans="1:9" hidden="1">
      <c r="A232" s="364">
        <v>213</v>
      </c>
      <c r="B232" s="365">
        <f t="shared" ca="1" si="3"/>
        <v>49111</v>
      </c>
      <c r="C232" s="366">
        <f ca="1">INDEX(T_Merger!__Saldo_Inicial,_AmortizacionesTablaCliente)</f>
        <v>9.0949470177292824E-12</v>
      </c>
      <c r="D232" s="366">
        <f ca="1">INDEX(T_Merger!__Capital,_AmortizacionesTablaCliente)</f>
        <v>0</v>
      </c>
      <c r="E232" s="519">
        <f ca="1">INDEX(T_Merger!__Interes,_AmortizacionesTablaCliente)</f>
        <v>9.7770680440589784E-14</v>
      </c>
      <c r="F232" s="366">
        <f ca="1">INDEX(T_Merger!__IVA,_AmortizacionesTablaCliente)</f>
        <v>1.1732481652870774E-14</v>
      </c>
      <c r="G232" s="366">
        <f ca="1">INDEX(T_Merger!__Pago,_AmortizacionesTablaCliente)</f>
        <v>1.0950316209346055E-13</v>
      </c>
      <c r="H232" s="491">
        <v>0</v>
      </c>
      <c r="I232" s="367">
        <f ca="1">INDEX(T_Merger!__Saldo_Final,_AmortizacionesTablaCliente)</f>
        <v>9.0949470177292824E-12</v>
      </c>
    </row>
    <row r="233" spans="1:9" hidden="1">
      <c r="A233" s="364">
        <v>214</v>
      </c>
      <c r="B233" s="365">
        <f t="shared" ca="1" si="3"/>
        <v>49141</v>
      </c>
      <c r="C233" s="366">
        <f ca="1">INDEX(T_Merger!__Saldo_Inicial,_AmortizacionesTablaCliente)</f>
        <v>9.0949470177292824E-12</v>
      </c>
      <c r="D233" s="366">
        <f ca="1">INDEX(T_Merger!__Capital,_AmortizacionesTablaCliente)</f>
        <v>0</v>
      </c>
      <c r="E233" s="519">
        <f ca="1">INDEX(T_Merger!__Interes,_AmortizacionesTablaCliente)</f>
        <v>9.7770680440589784E-14</v>
      </c>
      <c r="F233" s="366">
        <f ca="1">INDEX(T_Merger!__IVA,_AmortizacionesTablaCliente)</f>
        <v>1.1732481652870774E-14</v>
      </c>
      <c r="G233" s="366">
        <f ca="1">INDEX(T_Merger!__Pago,_AmortizacionesTablaCliente)</f>
        <v>1.0950316209346055E-13</v>
      </c>
      <c r="H233" s="491">
        <v>0</v>
      </c>
      <c r="I233" s="367">
        <f ca="1">INDEX(T_Merger!__Saldo_Final,_AmortizacionesTablaCliente)</f>
        <v>9.0949470177292824E-12</v>
      </c>
    </row>
    <row r="234" spans="1:9" hidden="1">
      <c r="A234" s="364">
        <v>215</v>
      </c>
      <c r="B234" s="365">
        <f t="shared" ca="1" si="3"/>
        <v>49172</v>
      </c>
      <c r="C234" s="366">
        <f ca="1">INDEX(T_Merger!__Saldo_Inicial,_AmortizacionesTablaCliente)</f>
        <v>9.0949470177292824E-12</v>
      </c>
      <c r="D234" s="366">
        <f ca="1">INDEX(T_Merger!__Capital,_AmortizacionesTablaCliente)</f>
        <v>0</v>
      </c>
      <c r="E234" s="519">
        <f ca="1">INDEX(T_Merger!__Interes,_AmortizacionesTablaCliente)</f>
        <v>9.7770680440589784E-14</v>
      </c>
      <c r="F234" s="366">
        <f ca="1">INDEX(T_Merger!__IVA,_AmortizacionesTablaCliente)</f>
        <v>1.1732481652870774E-14</v>
      </c>
      <c r="G234" s="366">
        <f ca="1">INDEX(T_Merger!__Pago,_AmortizacionesTablaCliente)</f>
        <v>1.0950316209346055E-13</v>
      </c>
      <c r="H234" s="491">
        <v>0</v>
      </c>
      <c r="I234" s="367">
        <f ca="1">INDEX(T_Merger!__Saldo_Final,_AmortizacionesTablaCliente)</f>
        <v>9.0949470177292824E-12</v>
      </c>
    </row>
    <row r="235" spans="1:9" hidden="1">
      <c r="A235" s="364">
        <v>216</v>
      </c>
      <c r="B235" s="365">
        <f t="shared" ca="1" si="3"/>
        <v>49203</v>
      </c>
      <c r="C235" s="366">
        <f ca="1">INDEX(T_Merger!__Saldo_Inicial,_AmortizacionesTablaCliente)</f>
        <v>9.0949470177292824E-12</v>
      </c>
      <c r="D235" s="366">
        <f ca="1">INDEX(T_Merger!__Capital,_AmortizacionesTablaCliente)</f>
        <v>0</v>
      </c>
      <c r="E235" s="519">
        <f ca="1">INDEX(T_Merger!__Interes,_AmortizacionesTablaCliente)</f>
        <v>9.7770680440589784E-14</v>
      </c>
      <c r="F235" s="366">
        <f ca="1">INDEX(T_Merger!__IVA,_AmortizacionesTablaCliente)</f>
        <v>1.1732481652870774E-14</v>
      </c>
      <c r="G235" s="366">
        <f ca="1">INDEX(T_Merger!__Pago,_AmortizacionesTablaCliente)</f>
        <v>1.0950316209346055E-13</v>
      </c>
      <c r="H235" s="491">
        <v>0</v>
      </c>
      <c r="I235" s="367">
        <f ca="1">INDEX(T_Merger!__Saldo_Final,_AmortizacionesTablaCliente)</f>
        <v>9.0949470177292824E-12</v>
      </c>
    </row>
    <row r="236" spans="1:9" hidden="1">
      <c r="A236" s="364">
        <v>217</v>
      </c>
      <c r="B236" s="365">
        <f t="shared" ca="1" si="3"/>
        <v>49233</v>
      </c>
      <c r="C236" s="366">
        <f ca="1">INDEX(T_Merger!__Saldo_Inicial,_AmortizacionesTablaCliente)</f>
        <v>9.0949470177292824E-12</v>
      </c>
      <c r="D236" s="366">
        <f ca="1">INDEX(T_Merger!__Capital,_AmortizacionesTablaCliente)</f>
        <v>0</v>
      </c>
      <c r="E236" s="519">
        <f ca="1">INDEX(T_Merger!__Interes,_AmortizacionesTablaCliente)</f>
        <v>9.7770680440589784E-14</v>
      </c>
      <c r="F236" s="366">
        <f ca="1">INDEX(T_Merger!__IVA,_AmortizacionesTablaCliente)</f>
        <v>1.1732481652870774E-14</v>
      </c>
      <c r="G236" s="366">
        <f ca="1">INDEX(T_Merger!__Pago,_AmortizacionesTablaCliente)</f>
        <v>1.0950316209346055E-13</v>
      </c>
      <c r="H236" s="491">
        <v>0</v>
      </c>
      <c r="I236" s="367">
        <f ca="1">INDEX(T_Merger!__Saldo_Final,_AmortizacionesTablaCliente)</f>
        <v>9.0949470177292824E-12</v>
      </c>
    </row>
    <row r="237" spans="1:9" hidden="1">
      <c r="A237" s="364">
        <v>218</v>
      </c>
      <c r="B237" s="365">
        <f t="shared" ca="1" si="3"/>
        <v>49264</v>
      </c>
      <c r="C237" s="366">
        <f ca="1">INDEX(T_Merger!__Saldo_Inicial,_AmortizacionesTablaCliente)</f>
        <v>9.0949470177292824E-12</v>
      </c>
      <c r="D237" s="366">
        <f ca="1">INDEX(T_Merger!__Capital,_AmortizacionesTablaCliente)</f>
        <v>0</v>
      </c>
      <c r="E237" s="519">
        <f ca="1">INDEX(T_Merger!__Interes,_AmortizacionesTablaCliente)</f>
        <v>9.7770680440589784E-14</v>
      </c>
      <c r="F237" s="366">
        <f ca="1">INDEX(T_Merger!__IVA,_AmortizacionesTablaCliente)</f>
        <v>1.1732481652870774E-14</v>
      </c>
      <c r="G237" s="366">
        <f ca="1">INDEX(T_Merger!__Pago,_AmortizacionesTablaCliente)</f>
        <v>1.0950316209346055E-13</v>
      </c>
      <c r="H237" s="491">
        <v>0</v>
      </c>
      <c r="I237" s="367">
        <f ca="1">INDEX(T_Merger!__Saldo_Final,_AmortizacionesTablaCliente)</f>
        <v>9.0949470177292824E-12</v>
      </c>
    </row>
    <row r="238" spans="1:9" hidden="1">
      <c r="A238" s="364">
        <v>219</v>
      </c>
      <c r="B238" s="365">
        <f t="shared" ca="1" si="3"/>
        <v>49294</v>
      </c>
      <c r="C238" s="366">
        <f ca="1">INDEX(T_Merger!__Saldo_Inicial,_AmortizacionesTablaCliente)</f>
        <v>9.0949470177292824E-12</v>
      </c>
      <c r="D238" s="366">
        <f ca="1">INDEX(T_Merger!__Capital,_AmortizacionesTablaCliente)</f>
        <v>0</v>
      </c>
      <c r="E238" s="519">
        <f ca="1">INDEX(T_Merger!__Interes,_AmortizacionesTablaCliente)</f>
        <v>9.7770680440589784E-14</v>
      </c>
      <c r="F238" s="366">
        <f ca="1">INDEX(T_Merger!__IVA,_AmortizacionesTablaCliente)</f>
        <v>1.1732481652870774E-14</v>
      </c>
      <c r="G238" s="366">
        <f ca="1">INDEX(T_Merger!__Pago,_AmortizacionesTablaCliente)</f>
        <v>1.0950316209346055E-13</v>
      </c>
      <c r="H238" s="491">
        <v>0</v>
      </c>
      <c r="I238" s="367">
        <f ca="1">INDEX(T_Merger!__Saldo_Final,_AmortizacionesTablaCliente)</f>
        <v>9.0949470177292824E-12</v>
      </c>
    </row>
    <row r="239" spans="1:9" hidden="1">
      <c r="A239" s="364">
        <v>220</v>
      </c>
      <c r="B239" s="365">
        <f t="shared" ca="1" si="3"/>
        <v>49325</v>
      </c>
      <c r="C239" s="366">
        <f ca="1">INDEX(T_Merger!__Saldo_Inicial,_AmortizacionesTablaCliente)</f>
        <v>9.0949470177292824E-12</v>
      </c>
      <c r="D239" s="366">
        <f ca="1">INDEX(T_Merger!__Capital,_AmortizacionesTablaCliente)</f>
        <v>0</v>
      </c>
      <c r="E239" s="519">
        <f ca="1">INDEX(T_Merger!__Interes,_AmortizacionesTablaCliente)</f>
        <v>9.7770680440589784E-14</v>
      </c>
      <c r="F239" s="366">
        <f ca="1">INDEX(T_Merger!__IVA,_AmortizacionesTablaCliente)</f>
        <v>1.1732481652870774E-14</v>
      </c>
      <c r="G239" s="366">
        <f ca="1">INDEX(T_Merger!__Pago,_AmortizacionesTablaCliente)</f>
        <v>1.0950316209346055E-13</v>
      </c>
      <c r="H239" s="491">
        <v>0</v>
      </c>
      <c r="I239" s="367">
        <f ca="1">INDEX(T_Merger!__Saldo_Final,_AmortizacionesTablaCliente)</f>
        <v>9.0949470177292824E-12</v>
      </c>
    </row>
    <row r="240" spans="1:9" hidden="1">
      <c r="A240" s="364">
        <v>221</v>
      </c>
      <c r="B240" s="365">
        <f t="shared" ca="1" si="3"/>
        <v>49356</v>
      </c>
      <c r="C240" s="366">
        <f ca="1">INDEX(T_Merger!__Saldo_Inicial,_AmortizacionesTablaCliente)</f>
        <v>9.0949470177292824E-12</v>
      </c>
      <c r="D240" s="366">
        <f ca="1">INDEX(T_Merger!__Capital,_AmortizacionesTablaCliente)</f>
        <v>0</v>
      </c>
      <c r="E240" s="519">
        <f ca="1">INDEX(T_Merger!__Interes,_AmortizacionesTablaCliente)</f>
        <v>9.7770680440589784E-14</v>
      </c>
      <c r="F240" s="366">
        <f ca="1">INDEX(T_Merger!__IVA,_AmortizacionesTablaCliente)</f>
        <v>1.1732481652870774E-14</v>
      </c>
      <c r="G240" s="366">
        <f ca="1">INDEX(T_Merger!__Pago,_AmortizacionesTablaCliente)</f>
        <v>1.0950316209346055E-13</v>
      </c>
      <c r="H240" s="491">
        <v>0</v>
      </c>
      <c r="I240" s="367">
        <f ca="1">INDEX(T_Merger!__Saldo_Final,_AmortizacionesTablaCliente)</f>
        <v>9.0949470177292824E-12</v>
      </c>
    </row>
    <row r="241" spans="1:9" hidden="1">
      <c r="A241" s="364">
        <v>222</v>
      </c>
      <c r="B241" s="365">
        <f t="shared" ca="1" si="3"/>
        <v>49384</v>
      </c>
      <c r="C241" s="366">
        <f ca="1">INDEX(T_Merger!__Saldo_Inicial,_AmortizacionesTablaCliente)</f>
        <v>9.0949470177292824E-12</v>
      </c>
      <c r="D241" s="366">
        <f ca="1">INDEX(T_Merger!__Capital,_AmortizacionesTablaCliente)</f>
        <v>0</v>
      </c>
      <c r="E241" s="519">
        <f ca="1">INDEX(T_Merger!__Interes,_AmortizacionesTablaCliente)</f>
        <v>9.7770680440589784E-14</v>
      </c>
      <c r="F241" s="366">
        <f ca="1">INDEX(T_Merger!__IVA,_AmortizacionesTablaCliente)</f>
        <v>1.1732481652870774E-14</v>
      </c>
      <c r="G241" s="366">
        <f ca="1">INDEX(T_Merger!__Pago,_AmortizacionesTablaCliente)</f>
        <v>1.0950316209346055E-13</v>
      </c>
      <c r="H241" s="491">
        <v>0</v>
      </c>
      <c r="I241" s="367">
        <f ca="1">INDEX(T_Merger!__Saldo_Final,_AmortizacionesTablaCliente)</f>
        <v>9.0949470177292824E-12</v>
      </c>
    </row>
    <row r="242" spans="1:9" hidden="1">
      <c r="A242" s="364">
        <v>223</v>
      </c>
      <c r="B242" s="365">
        <f t="shared" ca="1" si="3"/>
        <v>49415</v>
      </c>
      <c r="C242" s="366">
        <f ca="1">INDEX(T_Merger!__Saldo_Inicial,_AmortizacionesTablaCliente)</f>
        <v>9.0949470177292824E-12</v>
      </c>
      <c r="D242" s="366">
        <f ca="1">INDEX(T_Merger!__Capital,_AmortizacionesTablaCliente)</f>
        <v>0</v>
      </c>
      <c r="E242" s="519">
        <f ca="1">INDEX(T_Merger!__Interes,_AmortizacionesTablaCliente)</f>
        <v>9.7770680440589784E-14</v>
      </c>
      <c r="F242" s="366">
        <f ca="1">INDEX(T_Merger!__IVA,_AmortizacionesTablaCliente)</f>
        <v>1.1732481652870774E-14</v>
      </c>
      <c r="G242" s="366">
        <f ca="1">INDEX(T_Merger!__Pago,_AmortizacionesTablaCliente)</f>
        <v>1.0950316209346055E-13</v>
      </c>
      <c r="H242" s="491">
        <v>0</v>
      </c>
      <c r="I242" s="367">
        <f ca="1">INDEX(T_Merger!__Saldo_Final,_AmortizacionesTablaCliente)</f>
        <v>9.0949470177292824E-12</v>
      </c>
    </row>
    <row r="243" spans="1:9" hidden="1">
      <c r="A243" s="364">
        <v>224</v>
      </c>
      <c r="B243" s="365">
        <f t="shared" ca="1" si="3"/>
        <v>49445</v>
      </c>
      <c r="C243" s="366">
        <f ca="1">INDEX(T_Merger!__Saldo_Inicial,_AmortizacionesTablaCliente)</f>
        <v>9.0949470177292824E-12</v>
      </c>
      <c r="D243" s="366">
        <f ca="1">INDEX(T_Merger!__Capital,_AmortizacionesTablaCliente)</f>
        <v>0</v>
      </c>
      <c r="E243" s="519">
        <f ca="1">INDEX(T_Merger!__Interes,_AmortizacionesTablaCliente)</f>
        <v>9.7770680440589784E-14</v>
      </c>
      <c r="F243" s="366">
        <f ca="1">INDEX(T_Merger!__IVA,_AmortizacionesTablaCliente)</f>
        <v>1.1732481652870774E-14</v>
      </c>
      <c r="G243" s="366">
        <f ca="1">INDEX(T_Merger!__Pago,_AmortizacionesTablaCliente)</f>
        <v>1.0950316209346055E-13</v>
      </c>
      <c r="H243" s="491">
        <v>0</v>
      </c>
      <c r="I243" s="367">
        <f ca="1">INDEX(T_Merger!__Saldo_Final,_AmortizacionesTablaCliente)</f>
        <v>9.0949470177292824E-12</v>
      </c>
    </row>
    <row r="244" spans="1:9" hidden="1">
      <c r="A244" s="364">
        <v>225</v>
      </c>
      <c r="B244" s="365">
        <f t="shared" ca="1" si="3"/>
        <v>49476</v>
      </c>
      <c r="C244" s="366">
        <f ca="1">INDEX(T_Merger!__Saldo_Inicial,_AmortizacionesTablaCliente)</f>
        <v>9.0949470177292824E-12</v>
      </c>
      <c r="D244" s="366">
        <f ca="1">INDEX(T_Merger!__Capital,_AmortizacionesTablaCliente)</f>
        <v>0</v>
      </c>
      <c r="E244" s="519">
        <f ca="1">INDEX(T_Merger!__Interes,_AmortizacionesTablaCliente)</f>
        <v>9.7770680440589784E-14</v>
      </c>
      <c r="F244" s="366">
        <f ca="1">INDEX(T_Merger!__IVA,_AmortizacionesTablaCliente)</f>
        <v>1.1732481652870774E-14</v>
      </c>
      <c r="G244" s="366">
        <f ca="1">INDEX(T_Merger!__Pago,_AmortizacionesTablaCliente)</f>
        <v>1.0950316209346055E-13</v>
      </c>
      <c r="H244" s="491">
        <v>0</v>
      </c>
      <c r="I244" s="367">
        <f ca="1">INDEX(T_Merger!__Saldo_Final,_AmortizacionesTablaCliente)</f>
        <v>9.0949470177292824E-12</v>
      </c>
    </row>
    <row r="245" spans="1:9" hidden="1">
      <c r="A245" s="364">
        <v>226</v>
      </c>
      <c r="B245" s="365">
        <f t="shared" ca="1" si="3"/>
        <v>49506</v>
      </c>
      <c r="C245" s="366">
        <f ca="1">INDEX(T_Merger!__Saldo_Inicial,_AmortizacionesTablaCliente)</f>
        <v>9.0949470177292824E-12</v>
      </c>
      <c r="D245" s="366">
        <f ca="1">INDEX(T_Merger!__Capital,_AmortizacionesTablaCliente)</f>
        <v>0</v>
      </c>
      <c r="E245" s="519">
        <f ca="1">INDEX(T_Merger!__Interes,_AmortizacionesTablaCliente)</f>
        <v>9.7770680440589784E-14</v>
      </c>
      <c r="F245" s="366">
        <f ca="1">INDEX(T_Merger!__IVA,_AmortizacionesTablaCliente)</f>
        <v>1.1732481652870774E-14</v>
      </c>
      <c r="G245" s="366">
        <f ca="1">INDEX(T_Merger!__Pago,_AmortizacionesTablaCliente)</f>
        <v>1.0950316209346055E-13</v>
      </c>
      <c r="H245" s="491">
        <v>0</v>
      </c>
      <c r="I245" s="367">
        <f ca="1">INDEX(T_Merger!__Saldo_Final,_AmortizacionesTablaCliente)</f>
        <v>9.0949470177292824E-12</v>
      </c>
    </row>
    <row r="246" spans="1:9" hidden="1">
      <c r="A246" s="364">
        <v>227</v>
      </c>
      <c r="B246" s="365">
        <f t="shared" ca="1" si="3"/>
        <v>49537</v>
      </c>
      <c r="C246" s="366">
        <f ca="1">INDEX(T_Merger!__Saldo_Inicial,_AmortizacionesTablaCliente)</f>
        <v>9.0949470177292824E-12</v>
      </c>
      <c r="D246" s="366">
        <f ca="1">INDEX(T_Merger!__Capital,_AmortizacionesTablaCliente)</f>
        <v>0</v>
      </c>
      <c r="E246" s="519">
        <f ca="1">INDEX(T_Merger!__Interes,_AmortizacionesTablaCliente)</f>
        <v>9.7770680440589784E-14</v>
      </c>
      <c r="F246" s="366">
        <f ca="1">INDEX(T_Merger!__IVA,_AmortizacionesTablaCliente)</f>
        <v>1.1732481652870774E-14</v>
      </c>
      <c r="G246" s="366">
        <f ca="1">INDEX(T_Merger!__Pago,_AmortizacionesTablaCliente)</f>
        <v>1.0950316209346055E-13</v>
      </c>
      <c r="H246" s="491">
        <v>0</v>
      </c>
      <c r="I246" s="367">
        <f ca="1">INDEX(T_Merger!__Saldo_Final,_AmortizacionesTablaCliente)</f>
        <v>9.0949470177292824E-12</v>
      </c>
    </row>
    <row r="247" spans="1:9" hidden="1">
      <c r="A247" s="364">
        <v>228</v>
      </c>
      <c r="B247" s="365">
        <f t="shared" ca="1" si="3"/>
        <v>49568</v>
      </c>
      <c r="C247" s="366">
        <f ca="1">INDEX(T_Merger!__Saldo_Inicial,_AmortizacionesTablaCliente)</f>
        <v>9.0949470177292824E-12</v>
      </c>
      <c r="D247" s="366">
        <f ca="1">INDEX(T_Merger!__Capital,_AmortizacionesTablaCliente)</f>
        <v>0</v>
      </c>
      <c r="E247" s="519">
        <f ca="1">INDEX(T_Merger!__Interes,_AmortizacionesTablaCliente)</f>
        <v>9.7770680440589784E-14</v>
      </c>
      <c r="F247" s="366">
        <f ca="1">INDEX(T_Merger!__IVA,_AmortizacionesTablaCliente)</f>
        <v>1.1732481652870774E-14</v>
      </c>
      <c r="G247" s="366">
        <f ca="1">INDEX(T_Merger!__Pago,_AmortizacionesTablaCliente)</f>
        <v>1.0950316209346055E-13</v>
      </c>
      <c r="H247" s="491">
        <v>0</v>
      </c>
      <c r="I247" s="367">
        <f ca="1">INDEX(T_Merger!__Saldo_Final,_AmortizacionesTablaCliente)</f>
        <v>9.0949470177292824E-12</v>
      </c>
    </row>
    <row r="248" spans="1:9" hidden="1">
      <c r="A248" s="364">
        <v>229</v>
      </c>
      <c r="B248" s="365">
        <f t="shared" ca="1" si="3"/>
        <v>49598</v>
      </c>
      <c r="C248" s="366">
        <f ca="1">INDEX(T_Merger!__Saldo_Inicial,_AmortizacionesTablaCliente)</f>
        <v>9.0949470177292824E-12</v>
      </c>
      <c r="D248" s="366">
        <f ca="1">INDEX(T_Merger!__Capital,_AmortizacionesTablaCliente)</f>
        <v>0</v>
      </c>
      <c r="E248" s="519">
        <f ca="1">INDEX(T_Merger!__Interes,_AmortizacionesTablaCliente)</f>
        <v>9.7770680440589784E-14</v>
      </c>
      <c r="F248" s="366">
        <f ca="1">INDEX(T_Merger!__IVA,_AmortizacionesTablaCliente)</f>
        <v>1.1732481652870774E-14</v>
      </c>
      <c r="G248" s="366">
        <f ca="1">INDEX(T_Merger!__Pago,_AmortizacionesTablaCliente)</f>
        <v>1.0950316209346055E-13</v>
      </c>
      <c r="H248" s="491">
        <v>0</v>
      </c>
      <c r="I248" s="367">
        <f ca="1">INDEX(T_Merger!__Saldo_Final,_AmortizacionesTablaCliente)</f>
        <v>9.0949470177292824E-12</v>
      </c>
    </row>
    <row r="249" spans="1:9" hidden="1">
      <c r="A249" s="364">
        <v>230</v>
      </c>
      <c r="B249" s="365">
        <f t="shared" ca="1" si="3"/>
        <v>49629</v>
      </c>
      <c r="C249" s="366">
        <f ca="1">INDEX(T_Merger!__Saldo_Inicial,_AmortizacionesTablaCliente)</f>
        <v>9.0949470177292824E-12</v>
      </c>
      <c r="D249" s="366">
        <f ca="1">INDEX(T_Merger!__Capital,_AmortizacionesTablaCliente)</f>
        <v>0</v>
      </c>
      <c r="E249" s="519">
        <f ca="1">INDEX(T_Merger!__Interes,_AmortizacionesTablaCliente)</f>
        <v>9.7770680440589784E-14</v>
      </c>
      <c r="F249" s="366">
        <f ca="1">INDEX(T_Merger!__IVA,_AmortizacionesTablaCliente)</f>
        <v>1.1732481652870774E-14</v>
      </c>
      <c r="G249" s="366">
        <f ca="1">INDEX(T_Merger!__Pago,_AmortizacionesTablaCliente)</f>
        <v>1.0950316209346055E-13</v>
      </c>
      <c r="H249" s="491">
        <v>0</v>
      </c>
      <c r="I249" s="367">
        <f ca="1">INDEX(T_Merger!__Saldo_Final,_AmortizacionesTablaCliente)</f>
        <v>9.0949470177292824E-12</v>
      </c>
    </row>
    <row r="250" spans="1:9" hidden="1">
      <c r="A250" s="364">
        <v>231</v>
      </c>
      <c r="B250" s="365">
        <f t="shared" ca="1" si="3"/>
        <v>49659</v>
      </c>
      <c r="C250" s="366">
        <f ca="1">INDEX(T_Merger!__Saldo_Inicial,_AmortizacionesTablaCliente)</f>
        <v>9.0949470177292824E-12</v>
      </c>
      <c r="D250" s="366">
        <f ca="1">INDEX(T_Merger!__Capital,_AmortizacionesTablaCliente)</f>
        <v>0</v>
      </c>
      <c r="E250" s="519">
        <f ca="1">INDEX(T_Merger!__Interes,_AmortizacionesTablaCliente)</f>
        <v>9.7770680440589784E-14</v>
      </c>
      <c r="F250" s="366">
        <f ca="1">INDEX(T_Merger!__IVA,_AmortizacionesTablaCliente)</f>
        <v>1.1732481652870774E-14</v>
      </c>
      <c r="G250" s="366">
        <f ca="1">INDEX(T_Merger!__Pago,_AmortizacionesTablaCliente)</f>
        <v>1.0950316209346055E-13</v>
      </c>
      <c r="H250" s="491">
        <v>0</v>
      </c>
      <c r="I250" s="367">
        <f ca="1">INDEX(T_Merger!__Saldo_Final,_AmortizacionesTablaCliente)</f>
        <v>9.0949470177292824E-12</v>
      </c>
    </row>
    <row r="251" spans="1:9" hidden="1">
      <c r="A251" s="364">
        <v>232</v>
      </c>
      <c r="B251" s="365">
        <f t="shared" ca="1" si="3"/>
        <v>49690</v>
      </c>
      <c r="C251" s="366">
        <f ca="1">INDEX(T_Merger!__Saldo_Inicial,_AmortizacionesTablaCliente)</f>
        <v>9.0949470177292824E-12</v>
      </c>
      <c r="D251" s="366">
        <f ca="1">INDEX(T_Merger!__Capital,_AmortizacionesTablaCliente)</f>
        <v>0</v>
      </c>
      <c r="E251" s="519">
        <f ca="1">INDEX(T_Merger!__Interes,_AmortizacionesTablaCliente)</f>
        <v>9.7770680440589784E-14</v>
      </c>
      <c r="F251" s="366">
        <f ca="1">INDEX(T_Merger!__IVA,_AmortizacionesTablaCliente)</f>
        <v>1.1732481652870774E-14</v>
      </c>
      <c r="G251" s="366">
        <f ca="1">INDEX(T_Merger!__Pago,_AmortizacionesTablaCliente)</f>
        <v>1.0950316209346055E-13</v>
      </c>
      <c r="H251" s="491">
        <v>0</v>
      </c>
      <c r="I251" s="367">
        <f ca="1">INDEX(T_Merger!__Saldo_Final,_AmortizacionesTablaCliente)</f>
        <v>9.0949470177292824E-12</v>
      </c>
    </row>
    <row r="252" spans="1:9" hidden="1">
      <c r="A252" s="364">
        <v>233</v>
      </c>
      <c r="B252" s="365">
        <f t="shared" ca="1" si="3"/>
        <v>49721</v>
      </c>
      <c r="C252" s="366">
        <f ca="1">INDEX(T_Merger!__Saldo_Inicial,_AmortizacionesTablaCliente)</f>
        <v>9.0949470177292824E-12</v>
      </c>
      <c r="D252" s="366">
        <f ca="1">INDEX(T_Merger!__Capital,_AmortizacionesTablaCliente)</f>
        <v>0</v>
      </c>
      <c r="E252" s="519">
        <f ca="1">INDEX(T_Merger!__Interes,_AmortizacionesTablaCliente)</f>
        <v>9.7770680440589784E-14</v>
      </c>
      <c r="F252" s="366">
        <f ca="1">INDEX(T_Merger!__IVA,_AmortizacionesTablaCliente)</f>
        <v>1.1732481652870774E-14</v>
      </c>
      <c r="G252" s="366">
        <f ca="1">INDEX(T_Merger!__Pago,_AmortizacionesTablaCliente)</f>
        <v>1.0950316209346055E-13</v>
      </c>
      <c r="H252" s="491">
        <v>0</v>
      </c>
      <c r="I252" s="367">
        <f ca="1">INDEX(T_Merger!__Saldo_Final,_AmortizacionesTablaCliente)</f>
        <v>9.0949470177292824E-12</v>
      </c>
    </row>
    <row r="253" spans="1:9" hidden="1">
      <c r="A253" s="364">
        <v>234</v>
      </c>
      <c r="B253" s="365">
        <f t="shared" ca="1" si="3"/>
        <v>49750</v>
      </c>
      <c r="C253" s="366">
        <f ca="1">INDEX(T_Merger!__Saldo_Inicial,_AmortizacionesTablaCliente)</f>
        <v>9.0949470177292824E-12</v>
      </c>
      <c r="D253" s="366">
        <f ca="1">INDEX(T_Merger!__Capital,_AmortizacionesTablaCliente)</f>
        <v>0</v>
      </c>
      <c r="E253" s="519">
        <f ca="1">INDEX(T_Merger!__Interes,_AmortizacionesTablaCliente)</f>
        <v>9.7770680440589784E-14</v>
      </c>
      <c r="F253" s="366">
        <f ca="1">INDEX(T_Merger!__IVA,_AmortizacionesTablaCliente)</f>
        <v>1.1732481652870774E-14</v>
      </c>
      <c r="G253" s="366">
        <f ca="1">INDEX(T_Merger!__Pago,_AmortizacionesTablaCliente)</f>
        <v>1.0950316209346055E-13</v>
      </c>
      <c r="H253" s="491">
        <v>0</v>
      </c>
      <c r="I253" s="367">
        <f ca="1">INDEX(T_Merger!__Saldo_Final,_AmortizacionesTablaCliente)</f>
        <v>9.0949470177292824E-12</v>
      </c>
    </row>
    <row r="254" spans="1:9" hidden="1">
      <c r="A254" s="364">
        <v>235</v>
      </c>
      <c r="B254" s="365">
        <f t="shared" ca="1" si="3"/>
        <v>49781</v>
      </c>
      <c r="C254" s="366">
        <f ca="1">INDEX(T_Merger!__Saldo_Inicial,_AmortizacionesTablaCliente)</f>
        <v>9.0949470177292824E-12</v>
      </c>
      <c r="D254" s="366">
        <f ca="1">INDEX(T_Merger!__Capital,_AmortizacionesTablaCliente)</f>
        <v>0</v>
      </c>
      <c r="E254" s="519">
        <f ca="1">INDEX(T_Merger!__Interes,_AmortizacionesTablaCliente)</f>
        <v>9.7770680440589784E-14</v>
      </c>
      <c r="F254" s="366">
        <f ca="1">INDEX(T_Merger!__IVA,_AmortizacionesTablaCliente)</f>
        <v>1.1732481652870774E-14</v>
      </c>
      <c r="G254" s="366">
        <f ca="1">INDEX(T_Merger!__Pago,_AmortizacionesTablaCliente)</f>
        <v>1.0950316209346055E-13</v>
      </c>
      <c r="H254" s="491">
        <v>0</v>
      </c>
      <c r="I254" s="367">
        <f ca="1">INDEX(T_Merger!__Saldo_Final,_AmortizacionesTablaCliente)</f>
        <v>9.0949470177292824E-12</v>
      </c>
    </row>
    <row r="255" spans="1:9" hidden="1">
      <c r="A255" s="364">
        <v>236</v>
      </c>
      <c r="B255" s="365">
        <f t="shared" ca="1" si="3"/>
        <v>49811</v>
      </c>
      <c r="C255" s="366">
        <f ca="1">INDEX(T_Merger!__Saldo_Inicial,_AmortizacionesTablaCliente)</f>
        <v>9.0949470177292824E-12</v>
      </c>
      <c r="D255" s="366">
        <f ca="1">INDEX(T_Merger!__Capital,_AmortizacionesTablaCliente)</f>
        <v>0</v>
      </c>
      <c r="E255" s="519">
        <f ca="1">INDEX(T_Merger!__Interes,_AmortizacionesTablaCliente)</f>
        <v>9.7770680440589784E-14</v>
      </c>
      <c r="F255" s="366">
        <f ca="1">INDEX(T_Merger!__IVA,_AmortizacionesTablaCliente)</f>
        <v>1.1732481652870774E-14</v>
      </c>
      <c r="G255" s="366">
        <f ca="1">INDEX(T_Merger!__Pago,_AmortizacionesTablaCliente)</f>
        <v>1.0950316209346055E-13</v>
      </c>
      <c r="H255" s="491">
        <v>0</v>
      </c>
      <c r="I255" s="367">
        <f ca="1">INDEX(T_Merger!__Saldo_Final,_AmortizacionesTablaCliente)</f>
        <v>9.0949470177292824E-12</v>
      </c>
    </row>
    <row r="256" spans="1:9" hidden="1">
      <c r="A256" s="364">
        <v>237</v>
      </c>
      <c r="B256" s="365">
        <f t="shared" ca="1" si="3"/>
        <v>49842</v>
      </c>
      <c r="C256" s="366">
        <f ca="1">INDEX(T_Merger!__Saldo_Inicial,_AmortizacionesTablaCliente)</f>
        <v>9.0949470177292824E-12</v>
      </c>
      <c r="D256" s="366">
        <f ca="1">INDEX(T_Merger!__Capital,_AmortizacionesTablaCliente)</f>
        <v>0</v>
      </c>
      <c r="E256" s="519">
        <f ca="1">INDEX(T_Merger!__Interes,_AmortizacionesTablaCliente)</f>
        <v>9.7770680440589784E-14</v>
      </c>
      <c r="F256" s="366">
        <f ca="1">INDEX(T_Merger!__IVA,_AmortizacionesTablaCliente)</f>
        <v>1.1732481652870774E-14</v>
      </c>
      <c r="G256" s="366">
        <f ca="1">INDEX(T_Merger!__Pago,_AmortizacionesTablaCliente)</f>
        <v>1.0950316209346055E-13</v>
      </c>
      <c r="H256" s="491">
        <v>0</v>
      </c>
      <c r="I256" s="367">
        <f ca="1">INDEX(T_Merger!__Saldo_Final,_AmortizacionesTablaCliente)</f>
        <v>9.0949470177292824E-12</v>
      </c>
    </row>
    <row r="257" spans="1:9" hidden="1">
      <c r="A257" s="364">
        <v>238</v>
      </c>
      <c r="B257" s="365">
        <f t="shared" ca="1" si="3"/>
        <v>49872</v>
      </c>
      <c r="C257" s="366">
        <f ca="1">INDEX(T_Merger!__Saldo_Inicial,_AmortizacionesTablaCliente)</f>
        <v>9.0949470177292824E-12</v>
      </c>
      <c r="D257" s="366">
        <f ca="1">INDEX(T_Merger!__Capital,_AmortizacionesTablaCliente)</f>
        <v>0</v>
      </c>
      <c r="E257" s="519">
        <f ca="1">INDEX(T_Merger!__Interes,_AmortizacionesTablaCliente)</f>
        <v>9.7770680440589784E-14</v>
      </c>
      <c r="F257" s="366">
        <f ca="1">INDEX(T_Merger!__IVA,_AmortizacionesTablaCliente)</f>
        <v>1.1732481652870774E-14</v>
      </c>
      <c r="G257" s="366">
        <f ca="1">INDEX(T_Merger!__Pago,_AmortizacionesTablaCliente)</f>
        <v>1.0950316209346055E-13</v>
      </c>
      <c r="H257" s="491">
        <v>0</v>
      </c>
      <c r="I257" s="367">
        <f ca="1">INDEX(T_Merger!__Saldo_Final,_AmortizacionesTablaCliente)</f>
        <v>9.0949470177292824E-12</v>
      </c>
    </row>
    <row r="258" spans="1:9" hidden="1">
      <c r="A258" s="364">
        <v>239</v>
      </c>
      <c r="B258" s="365">
        <f t="shared" ca="1" si="3"/>
        <v>49903</v>
      </c>
      <c r="C258" s="366">
        <f ca="1">INDEX(T_Merger!__Saldo_Inicial,_AmortizacionesTablaCliente)</f>
        <v>9.0949470177292824E-12</v>
      </c>
      <c r="D258" s="366">
        <f ca="1">INDEX(T_Merger!__Capital,_AmortizacionesTablaCliente)</f>
        <v>0</v>
      </c>
      <c r="E258" s="519">
        <f ca="1">INDEX(T_Merger!__Interes,_AmortizacionesTablaCliente)</f>
        <v>9.7770680440589784E-14</v>
      </c>
      <c r="F258" s="366">
        <f ca="1">INDEX(T_Merger!__IVA,_AmortizacionesTablaCliente)</f>
        <v>1.1732481652870774E-14</v>
      </c>
      <c r="G258" s="366">
        <f ca="1">INDEX(T_Merger!__Pago,_AmortizacionesTablaCliente)</f>
        <v>1.0950316209346055E-13</v>
      </c>
      <c r="H258" s="491">
        <v>0</v>
      </c>
      <c r="I258" s="367">
        <f ca="1">INDEX(T_Merger!__Saldo_Final,_AmortizacionesTablaCliente)</f>
        <v>9.0949470177292824E-12</v>
      </c>
    </row>
    <row r="259" spans="1:9" hidden="1">
      <c r="A259" s="364">
        <v>240</v>
      </c>
      <c r="B259" s="365">
        <f t="shared" ca="1" si="3"/>
        <v>49934</v>
      </c>
      <c r="C259" s="366">
        <f ca="1">INDEX(T_Merger!__Saldo_Inicial,_AmortizacionesTablaCliente)</f>
        <v>9.0949470177292824E-12</v>
      </c>
      <c r="D259" s="366">
        <f ca="1">INDEX(T_Merger!__Capital,_AmortizacionesTablaCliente)</f>
        <v>0</v>
      </c>
      <c r="E259" s="519">
        <f ca="1">INDEX(T_Merger!__Interes,_AmortizacionesTablaCliente)</f>
        <v>9.7770680440589784E-14</v>
      </c>
      <c r="F259" s="366">
        <f ca="1">INDEX(T_Merger!__IVA,_AmortizacionesTablaCliente)</f>
        <v>1.1732481652870774E-14</v>
      </c>
      <c r="G259" s="366">
        <f ca="1">INDEX(T_Merger!__Pago,_AmortizacionesTablaCliente)</f>
        <v>1.0950316209346055E-13</v>
      </c>
      <c r="H259" s="491">
        <v>0</v>
      </c>
      <c r="I259" s="367">
        <f ca="1">INDEX(T_Merger!__Saldo_Final,_AmortizacionesTablaCliente)</f>
        <v>9.0949470177292824E-12</v>
      </c>
    </row>
    <row r="260" spans="1:9" hidden="1">
      <c r="A260" s="364">
        <v>241</v>
      </c>
      <c r="B260" s="365">
        <f t="shared" ca="1" si="3"/>
        <v>49964</v>
      </c>
      <c r="C260" s="366">
        <f ca="1">INDEX(T_Merger!__Saldo_Inicial,_AmortizacionesTablaCliente)</f>
        <v>9.0949470177292824E-12</v>
      </c>
      <c r="D260" s="366">
        <f ca="1">INDEX(T_Merger!__Capital,_AmortizacionesTablaCliente)</f>
        <v>0</v>
      </c>
      <c r="E260" s="519">
        <f ca="1">INDEX(T_Merger!__Interes,_AmortizacionesTablaCliente)</f>
        <v>9.7770680440589784E-14</v>
      </c>
      <c r="F260" s="366">
        <f ca="1">INDEX(T_Merger!__IVA,_AmortizacionesTablaCliente)</f>
        <v>1.1732481652870774E-14</v>
      </c>
      <c r="G260" s="366">
        <f ca="1">INDEX(T_Merger!__Pago,_AmortizacionesTablaCliente)</f>
        <v>1.0950316209346055E-13</v>
      </c>
      <c r="H260" s="491">
        <v>0</v>
      </c>
      <c r="I260" s="367">
        <f ca="1">INDEX(T_Merger!__Saldo_Final,_AmortizacionesTablaCliente)</f>
        <v>9.0949470177292824E-12</v>
      </c>
    </row>
    <row r="261" spans="1:9" hidden="1">
      <c r="A261" s="364">
        <v>242</v>
      </c>
      <c r="B261" s="365">
        <f t="shared" ca="1" si="3"/>
        <v>49995</v>
      </c>
      <c r="C261" s="366">
        <f ca="1">INDEX(T_Merger!__Saldo_Inicial,_AmortizacionesTablaCliente)</f>
        <v>9.0949470177292824E-12</v>
      </c>
      <c r="D261" s="366">
        <f ca="1">INDEX(T_Merger!__Capital,_AmortizacionesTablaCliente)</f>
        <v>0</v>
      </c>
      <c r="E261" s="519">
        <f ca="1">INDEX(T_Merger!__Interes,_AmortizacionesTablaCliente)</f>
        <v>9.7770680440589784E-14</v>
      </c>
      <c r="F261" s="366">
        <f ca="1">INDEX(T_Merger!__IVA,_AmortizacionesTablaCliente)</f>
        <v>1.1732481652870774E-14</v>
      </c>
      <c r="G261" s="366">
        <f ca="1">INDEX(T_Merger!__Pago,_AmortizacionesTablaCliente)</f>
        <v>1.0950316209346055E-13</v>
      </c>
      <c r="H261" s="491">
        <v>0</v>
      </c>
      <c r="I261" s="367">
        <f ca="1">INDEX(T_Merger!__Saldo_Final,_AmortizacionesTablaCliente)</f>
        <v>9.0949470177292824E-12</v>
      </c>
    </row>
    <row r="262" spans="1:9" hidden="1">
      <c r="A262" s="364">
        <v>243</v>
      </c>
      <c r="B262" s="365">
        <f t="shared" ca="1" si="3"/>
        <v>50025</v>
      </c>
      <c r="C262" s="366">
        <f ca="1">INDEX(T_Merger!__Saldo_Inicial,_AmortizacionesTablaCliente)</f>
        <v>9.0949470177292824E-12</v>
      </c>
      <c r="D262" s="366">
        <f ca="1">INDEX(T_Merger!__Capital,_AmortizacionesTablaCliente)</f>
        <v>0</v>
      </c>
      <c r="E262" s="519">
        <f ca="1">INDEX(T_Merger!__Interes,_AmortizacionesTablaCliente)</f>
        <v>9.7770680440589784E-14</v>
      </c>
      <c r="F262" s="366">
        <f ca="1">INDEX(T_Merger!__IVA,_AmortizacionesTablaCliente)</f>
        <v>1.1732481652870774E-14</v>
      </c>
      <c r="G262" s="366">
        <f ca="1">INDEX(T_Merger!__Pago,_AmortizacionesTablaCliente)</f>
        <v>1.0950316209346055E-13</v>
      </c>
      <c r="H262" s="491">
        <v>0</v>
      </c>
      <c r="I262" s="367">
        <f ca="1">INDEX(T_Merger!__Saldo_Final,_AmortizacionesTablaCliente)</f>
        <v>9.0949470177292824E-12</v>
      </c>
    </row>
    <row r="263" spans="1:9" hidden="1">
      <c r="A263" s="364">
        <v>244</v>
      </c>
      <c r="B263" s="365">
        <f t="shared" ca="1" si="3"/>
        <v>50056</v>
      </c>
      <c r="C263" s="366">
        <f ca="1">INDEX(T_Merger!__Saldo_Inicial,_AmortizacionesTablaCliente)</f>
        <v>9.0949470177292824E-12</v>
      </c>
      <c r="D263" s="366">
        <f ca="1">INDEX(T_Merger!__Capital,_AmortizacionesTablaCliente)</f>
        <v>0</v>
      </c>
      <c r="E263" s="519">
        <f ca="1">INDEX(T_Merger!__Interes,_AmortizacionesTablaCliente)</f>
        <v>9.7770680440589784E-14</v>
      </c>
      <c r="F263" s="366">
        <f ca="1">INDEX(T_Merger!__IVA,_AmortizacionesTablaCliente)</f>
        <v>1.1732481652870774E-14</v>
      </c>
      <c r="G263" s="366">
        <f ca="1">INDEX(T_Merger!__Pago,_AmortizacionesTablaCliente)</f>
        <v>1.0950316209346055E-13</v>
      </c>
      <c r="H263" s="491">
        <v>0</v>
      </c>
      <c r="I263" s="367">
        <f ca="1">INDEX(T_Merger!__Saldo_Final,_AmortizacionesTablaCliente)</f>
        <v>9.0949470177292824E-12</v>
      </c>
    </row>
    <row r="264" spans="1:9" hidden="1">
      <c r="A264" s="364">
        <v>245</v>
      </c>
      <c r="B264" s="365">
        <f t="shared" ca="1" si="3"/>
        <v>50087</v>
      </c>
      <c r="C264" s="366">
        <f ca="1">INDEX(T_Merger!__Saldo_Inicial,_AmortizacionesTablaCliente)</f>
        <v>9.0949470177292824E-12</v>
      </c>
      <c r="D264" s="366">
        <f ca="1">INDEX(T_Merger!__Capital,_AmortizacionesTablaCliente)</f>
        <v>0</v>
      </c>
      <c r="E264" s="519">
        <f ca="1">INDEX(T_Merger!__Interes,_AmortizacionesTablaCliente)</f>
        <v>9.7770680440589784E-14</v>
      </c>
      <c r="F264" s="366">
        <f ca="1">INDEX(T_Merger!__IVA,_AmortizacionesTablaCliente)</f>
        <v>1.1732481652870774E-14</v>
      </c>
      <c r="G264" s="366">
        <f ca="1">INDEX(T_Merger!__Pago,_AmortizacionesTablaCliente)</f>
        <v>1.0950316209346055E-13</v>
      </c>
      <c r="H264" s="491">
        <v>0</v>
      </c>
      <c r="I264" s="367">
        <f ca="1">INDEX(T_Merger!__Saldo_Final,_AmortizacionesTablaCliente)</f>
        <v>9.0949470177292824E-12</v>
      </c>
    </row>
    <row r="265" spans="1:9" hidden="1">
      <c r="A265" s="364">
        <v>246</v>
      </c>
      <c r="B265" s="365">
        <f t="shared" ca="1" si="3"/>
        <v>50115</v>
      </c>
      <c r="C265" s="366">
        <f ca="1">INDEX(T_Merger!__Saldo_Inicial,_AmortizacionesTablaCliente)</f>
        <v>9.0949470177292824E-12</v>
      </c>
      <c r="D265" s="366">
        <f ca="1">INDEX(T_Merger!__Capital,_AmortizacionesTablaCliente)</f>
        <v>0</v>
      </c>
      <c r="E265" s="519">
        <f ca="1">INDEX(T_Merger!__Interes,_AmortizacionesTablaCliente)</f>
        <v>9.7770680440589784E-14</v>
      </c>
      <c r="F265" s="366">
        <f ca="1">INDEX(T_Merger!__IVA,_AmortizacionesTablaCliente)</f>
        <v>1.1732481652870774E-14</v>
      </c>
      <c r="G265" s="366">
        <f ca="1">INDEX(T_Merger!__Pago,_AmortizacionesTablaCliente)</f>
        <v>1.0950316209346055E-13</v>
      </c>
      <c r="H265" s="491">
        <v>0</v>
      </c>
      <c r="I265" s="367">
        <f ca="1">INDEX(T_Merger!__Saldo_Final,_AmortizacionesTablaCliente)</f>
        <v>9.0949470177292824E-12</v>
      </c>
    </row>
    <row r="266" spans="1:9" hidden="1">
      <c r="A266" s="364">
        <v>247</v>
      </c>
      <c r="B266" s="365">
        <f t="shared" ca="1" si="3"/>
        <v>50146</v>
      </c>
      <c r="C266" s="366">
        <f ca="1">INDEX(T_Merger!__Saldo_Inicial,_AmortizacionesTablaCliente)</f>
        <v>9.0949470177292824E-12</v>
      </c>
      <c r="D266" s="366">
        <f ca="1">INDEX(T_Merger!__Capital,_AmortizacionesTablaCliente)</f>
        <v>0</v>
      </c>
      <c r="E266" s="519">
        <f ca="1">INDEX(T_Merger!__Interes,_AmortizacionesTablaCliente)</f>
        <v>9.7770680440589784E-14</v>
      </c>
      <c r="F266" s="366">
        <f ca="1">INDEX(T_Merger!__IVA,_AmortizacionesTablaCliente)</f>
        <v>1.1732481652870774E-14</v>
      </c>
      <c r="G266" s="366">
        <f ca="1">INDEX(T_Merger!__Pago,_AmortizacionesTablaCliente)</f>
        <v>1.0950316209346055E-13</v>
      </c>
      <c r="H266" s="491">
        <v>0</v>
      </c>
      <c r="I266" s="367">
        <f ca="1">INDEX(T_Merger!__Saldo_Final,_AmortizacionesTablaCliente)</f>
        <v>9.0949470177292824E-12</v>
      </c>
    </row>
    <row r="267" spans="1:9" hidden="1">
      <c r="A267" s="364">
        <v>248</v>
      </c>
      <c r="B267" s="365">
        <f t="shared" ca="1" si="3"/>
        <v>50176</v>
      </c>
      <c r="C267" s="366">
        <f ca="1">INDEX(T_Merger!__Saldo_Inicial,_AmortizacionesTablaCliente)</f>
        <v>9.0949470177292824E-12</v>
      </c>
      <c r="D267" s="366">
        <f ca="1">INDEX(T_Merger!__Capital,_AmortizacionesTablaCliente)</f>
        <v>0</v>
      </c>
      <c r="E267" s="519">
        <f ca="1">INDEX(T_Merger!__Interes,_AmortizacionesTablaCliente)</f>
        <v>9.7770680440589784E-14</v>
      </c>
      <c r="F267" s="366">
        <f ca="1">INDEX(T_Merger!__IVA,_AmortizacionesTablaCliente)</f>
        <v>1.1732481652870774E-14</v>
      </c>
      <c r="G267" s="366">
        <f ca="1">INDEX(T_Merger!__Pago,_AmortizacionesTablaCliente)</f>
        <v>1.0950316209346055E-13</v>
      </c>
      <c r="H267" s="491">
        <v>0</v>
      </c>
      <c r="I267" s="367">
        <f ca="1">INDEX(T_Merger!__Saldo_Final,_AmortizacionesTablaCliente)</f>
        <v>9.0949470177292824E-12</v>
      </c>
    </row>
    <row r="268" spans="1:9" hidden="1">
      <c r="A268" s="364">
        <v>249</v>
      </c>
      <c r="B268" s="365">
        <f t="shared" ca="1" si="3"/>
        <v>50207</v>
      </c>
      <c r="C268" s="366">
        <f ca="1">INDEX(T_Merger!__Saldo_Inicial,_AmortizacionesTablaCliente)</f>
        <v>9.0949470177292824E-12</v>
      </c>
      <c r="D268" s="366">
        <f ca="1">INDEX(T_Merger!__Capital,_AmortizacionesTablaCliente)</f>
        <v>0</v>
      </c>
      <c r="E268" s="519">
        <f ca="1">INDEX(T_Merger!__Interes,_AmortizacionesTablaCliente)</f>
        <v>9.7770680440589784E-14</v>
      </c>
      <c r="F268" s="366">
        <f ca="1">INDEX(T_Merger!__IVA,_AmortizacionesTablaCliente)</f>
        <v>1.1732481652870774E-14</v>
      </c>
      <c r="G268" s="366">
        <f ca="1">INDEX(T_Merger!__Pago,_AmortizacionesTablaCliente)</f>
        <v>1.0950316209346055E-13</v>
      </c>
      <c r="H268" s="491">
        <v>0</v>
      </c>
      <c r="I268" s="367">
        <f ca="1">INDEX(T_Merger!__Saldo_Final,_AmortizacionesTablaCliente)</f>
        <v>9.0949470177292824E-12</v>
      </c>
    </row>
    <row r="269" spans="1:9" hidden="1">
      <c r="A269" s="364">
        <v>250</v>
      </c>
      <c r="B269" s="365">
        <f t="shared" ca="1" si="3"/>
        <v>50237</v>
      </c>
      <c r="C269" s="366">
        <f ca="1">INDEX(T_Merger!__Saldo_Inicial,_AmortizacionesTablaCliente)</f>
        <v>9.0949470177292824E-12</v>
      </c>
      <c r="D269" s="366">
        <f ca="1">INDEX(T_Merger!__Capital,_AmortizacionesTablaCliente)</f>
        <v>0</v>
      </c>
      <c r="E269" s="519">
        <f ca="1">INDEX(T_Merger!__Interes,_AmortizacionesTablaCliente)</f>
        <v>9.7770680440589784E-14</v>
      </c>
      <c r="F269" s="366">
        <f ca="1">INDEX(T_Merger!__IVA,_AmortizacionesTablaCliente)</f>
        <v>1.1732481652870774E-14</v>
      </c>
      <c r="G269" s="366">
        <f ca="1">INDEX(T_Merger!__Pago,_AmortizacionesTablaCliente)</f>
        <v>1.0950316209346055E-13</v>
      </c>
      <c r="H269" s="491">
        <v>0</v>
      </c>
      <c r="I269" s="367">
        <f ca="1">INDEX(T_Merger!__Saldo_Final,_AmortizacionesTablaCliente)</f>
        <v>9.0949470177292824E-12</v>
      </c>
    </row>
    <row r="270" spans="1:9" hidden="1">
      <c r="A270" s="364">
        <v>251</v>
      </c>
      <c r="B270" s="365">
        <f t="shared" ca="1" si="3"/>
        <v>50268</v>
      </c>
      <c r="C270" s="366">
        <f ca="1">INDEX(T_Merger!__Saldo_Inicial,_AmortizacionesTablaCliente)</f>
        <v>9.0949470177292824E-12</v>
      </c>
      <c r="D270" s="366">
        <f ca="1">INDEX(T_Merger!__Capital,_AmortizacionesTablaCliente)</f>
        <v>0</v>
      </c>
      <c r="E270" s="519">
        <f ca="1">INDEX(T_Merger!__Interes,_AmortizacionesTablaCliente)</f>
        <v>9.7770680440589784E-14</v>
      </c>
      <c r="F270" s="366">
        <f ca="1">INDEX(T_Merger!__IVA,_AmortizacionesTablaCliente)</f>
        <v>1.1732481652870774E-14</v>
      </c>
      <c r="G270" s="366">
        <f ca="1">INDEX(T_Merger!__Pago,_AmortizacionesTablaCliente)</f>
        <v>1.0950316209346055E-13</v>
      </c>
      <c r="H270" s="491">
        <v>0</v>
      </c>
      <c r="I270" s="367">
        <f ca="1">INDEX(T_Merger!__Saldo_Final,_AmortizacionesTablaCliente)</f>
        <v>9.0949470177292824E-12</v>
      </c>
    </row>
    <row r="271" spans="1:9" hidden="1">
      <c r="A271" s="364">
        <v>252</v>
      </c>
      <c r="B271" s="365">
        <f t="shared" ca="1" si="3"/>
        <v>50299</v>
      </c>
      <c r="C271" s="366">
        <f ca="1">INDEX(T_Merger!__Saldo_Inicial,_AmortizacionesTablaCliente)</f>
        <v>9.0949470177292824E-12</v>
      </c>
      <c r="D271" s="366">
        <f ca="1">INDEX(T_Merger!__Capital,_AmortizacionesTablaCliente)</f>
        <v>0</v>
      </c>
      <c r="E271" s="519">
        <f ca="1">INDEX(T_Merger!__Interes,_AmortizacionesTablaCliente)</f>
        <v>9.7770680440589784E-14</v>
      </c>
      <c r="F271" s="366">
        <f ca="1">INDEX(T_Merger!__IVA,_AmortizacionesTablaCliente)</f>
        <v>1.1732481652870774E-14</v>
      </c>
      <c r="G271" s="366">
        <f ca="1">INDEX(T_Merger!__Pago,_AmortizacionesTablaCliente)</f>
        <v>1.0950316209346055E-13</v>
      </c>
      <c r="H271" s="491">
        <v>0</v>
      </c>
      <c r="I271" s="367">
        <f ca="1">INDEX(T_Merger!__Saldo_Final,_AmortizacionesTablaCliente)</f>
        <v>9.0949470177292824E-12</v>
      </c>
    </row>
    <row r="272" spans="1:9" hidden="1">
      <c r="A272" s="364">
        <v>253</v>
      </c>
      <c r="B272" s="365">
        <f t="shared" ca="1" si="3"/>
        <v>50329</v>
      </c>
      <c r="C272" s="366">
        <f ca="1">INDEX(T_Merger!__Saldo_Inicial,_AmortizacionesTablaCliente)</f>
        <v>9.0949470177292824E-12</v>
      </c>
      <c r="D272" s="366">
        <f ca="1">INDEX(T_Merger!__Capital,_AmortizacionesTablaCliente)</f>
        <v>0</v>
      </c>
      <c r="E272" s="519">
        <f ca="1">INDEX(T_Merger!__Interes,_AmortizacionesTablaCliente)</f>
        <v>9.7770680440589784E-14</v>
      </c>
      <c r="F272" s="366">
        <f ca="1">INDEX(T_Merger!__IVA,_AmortizacionesTablaCliente)</f>
        <v>1.1732481652870774E-14</v>
      </c>
      <c r="G272" s="366">
        <f ca="1">INDEX(T_Merger!__Pago,_AmortizacionesTablaCliente)</f>
        <v>1.0950316209346055E-13</v>
      </c>
      <c r="H272" s="491">
        <v>0</v>
      </c>
      <c r="I272" s="367">
        <f ca="1">INDEX(T_Merger!__Saldo_Final,_AmortizacionesTablaCliente)</f>
        <v>9.0949470177292824E-12</v>
      </c>
    </row>
    <row r="273" spans="1:10" hidden="1">
      <c r="A273" s="364">
        <v>254</v>
      </c>
      <c r="B273" s="365">
        <f t="shared" ca="1" si="3"/>
        <v>50360</v>
      </c>
      <c r="C273" s="366">
        <f ca="1">INDEX(T_Merger!__Saldo_Inicial,_AmortizacionesTablaCliente)</f>
        <v>9.0949470177292824E-12</v>
      </c>
      <c r="D273" s="366">
        <f ca="1">INDEX(T_Merger!__Capital,_AmortizacionesTablaCliente)</f>
        <v>0</v>
      </c>
      <c r="E273" s="519">
        <f ca="1">INDEX(T_Merger!__Interes,_AmortizacionesTablaCliente)</f>
        <v>9.7770680440589784E-14</v>
      </c>
      <c r="F273" s="366">
        <f ca="1">INDEX(T_Merger!__IVA,_AmortizacionesTablaCliente)</f>
        <v>1.1732481652870774E-14</v>
      </c>
      <c r="G273" s="366">
        <f ca="1">INDEX(T_Merger!__Pago,_AmortizacionesTablaCliente)</f>
        <v>1.0950316209346055E-13</v>
      </c>
      <c r="H273" s="491">
        <v>0</v>
      </c>
      <c r="I273" s="367">
        <f ca="1">INDEX(T_Merger!__Saldo_Final,_AmortizacionesTablaCliente)</f>
        <v>9.0949470177292824E-12</v>
      </c>
    </row>
    <row r="274" spans="1:10" hidden="1">
      <c r="A274" s="364">
        <v>255</v>
      </c>
      <c r="B274" s="365">
        <f t="shared" ca="1" si="3"/>
        <v>50390</v>
      </c>
      <c r="C274" s="366">
        <f ca="1">INDEX(T_Merger!__Saldo_Inicial,_AmortizacionesTablaCliente)</f>
        <v>9.0949470177292824E-12</v>
      </c>
      <c r="D274" s="366">
        <f ca="1">INDEX(T_Merger!__Capital,_AmortizacionesTablaCliente)</f>
        <v>0</v>
      </c>
      <c r="E274" s="519">
        <f ca="1">INDEX(T_Merger!__Interes,_AmortizacionesTablaCliente)</f>
        <v>9.7770680440589784E-14</v>
      </c>
      <c r="F274" s="366">
        <f ca="1">INDEX(T_Merger!__IVA,_AmortizacionesTablaCliente)</f>
        <v>1.1732481652870774E-14</v>
      </c>
      <c r="G274" s="366">
        <f ca="1">INDEX(T_Merger!__Pago,_AmortizacionesTablaCliente)</f>
        <v>1.0950316209346055E-13</v>
      </c>
      <c r="H274" s="491">
        <v>0</v>
      </c>
      <c r="I274" s="367">
        <f ca="1">INDEX(T_Merger!__Saldo_Final,_AmortizacionesTablaCliente)</f>
        <v>9.0949470177292824E-12</v>
      </c>
    </row>
    <row r="275" spans="1:10" hidden="1">
      <c r="A275" s="364">
        <v>256</v>
      </c>
      <c r="B275" s="365">
        <f t="shared" ca="1" si="3"/>
        <v>50421</v>
      </c>
      <c r="C275" s="366">
        <f ca="1">INDEX(T_Merger!__Saldo_Inicial,_AmortizacionesTablaCliente)</f>
        <v>9.0949470177292824E-12</v>
      </c>
      <c r="D275" s="366">
        <f ca="1">INDEX(T_Merger!__Capital,_AmortizacionesTablaCliente)</f>
        <v>0</v>
      </c>
      <c r="E275" s="519">
        <f ca="1">INDEX(T_Merger!__Interes,_AmortizacionesTablaCliente)</f>
        <v>9.7770680440589784E-14</v>
      </c>
      <c r="F275" s="366">
        <f ca="1">INDEX(T_Merger!__IVA,_AmortizacionesTablaCliente)</f>
        <v>1.1732481652870774E-14</v>
      </c>
      <c r="G275" s="366">
        <f ca="1">INDEX(T_Merger!__Pago,_AmortizacionesTablaCliente)</f>
        <v>1.0950316209346055E-13</v>
      </c>
      <c r="H275" s="491">
        <v>0</v>
      </c>
      <c r="I275" s="367">
        <f ca="1">INDEX(T_Merger!__Saldo_Final,_AmortizacionesTablaCliente)</f>
        <v>9.0949470177292824E-12</v>
      </c>
    </row>
    <row r="276" spans="1:10" hidden="1">
      <c r="A276" s="364">
        <v>257</v>
      </c>
      <c r="B276" s="365">
        <f t="shared" ca="1" si="3"/>
        <v>50452</v>
      </c>
      <c r="C276" s="366">
        <f ca="1">INDEX(T_Merger!__Saldo_Inicial,_AmortizacionesTablaCliente)</f>
        <v>9.0949470177292824E-12</v>
      </c>
      <c r="D276" s="366">
        <f ca="1">INDEX(T_Merger!__Capital,_AmortizacionesTablaCliente)</f>
        <v>0</v>
      </c>
      <c r="E276" s="519">
        <f ca="1">INDEX(T_Merger!__Interes,_AmortizacionesTablaCliente)</f>
        <v>9.7770680440589784E-14</v>
      </c>
      <c r="F276" s="366">
        <f ca="1">INDEX(T_Merger!__IVA,_AmortizacionesTablaCliente)</f>
        <v>1.1732481652870774E-14</v>
      </c>
      <c r="G276" s="366">
        <f ca="1">INDEX(T_Merger!__Pago,_AmortizacionesTablaCliente)</f>
        <v>1.0950316209346055E-13</v>
      </c>
      <c r="H276" s="491">
        <v>0</v>
      </c>
      <c r="I276" s="367">
        <f ca="1">INDEX(T_Merger!__Saldo_Final,_AmortizacionesTablaCliente)</f>
        <v>9.0949470177292824E-12</v>
      </c>
    </row>
    <row r="277" spans="1:10" hidden="1">
      <c r="A277" s="364">
        <v>258</v>
      </c>
      <c r="B277" s="365">
        <f t="shared" ca="1" si="3"/>
        <v>50480</v>
      </c>
      <c r="C277" s="366">
        <f ca="1">INDEX(T_Merger!__Saldo_Inicial,_AmortizacionesTablaCliente)</f>
        <v>9.0949470177292824E-12</v>
      </c>
      <c r="D277" s="366">
        <f ca="1">INDEX(T_Merger!__Capital,_AmortizacionesTablaCliente)</f>
        <v>0</v>
      </c>
      <c r="E277" s="519">
        <f ca="1">INDEX(T_Merger!__Interes,_AmortizacionesTablaCliente)</f>
        <v>9.7770680440589784E-14</v>
      </c>
      <c r="F277" s="366">
        <f ca="1">INDEX(T_Merger!__IVA,_AmortizacionesTablaCliente)</f>
        <v>1.1732481652870774E-14</v>
      </c>
      <c r="G277" s="366">
        <f ca="1">INDEX(T_Merger!__Pago,_AmortizacionesTablaCliente)</f>
        <v>1.0950316209346055E-13</v>
      </c>
      <c r="H277" s="491">
        <v>0</v>
      </c>
      <c r="I277" s="367">
        <f ca="1">INDEX(T_Merger!__Saldo_Final,_AmortizacionesTablaCliente)</f>
        <v>9.0949470177292824E-12</v>
      </c>
    </row>
    <row r="278" spans="1:10" hidden="1">
      <c r="A278" s="364">
        <v>259</v>
      </c>
      <c r="B278" s="365">
        <f t="shared" ca="1" si="3"/>
        <v>50511</v>
      </c>
      <c r="C278" s="366">
        <f ca="1">INDEX(T_Merger!__Saldo_Inicial,_AmortizacionesTablaCliente)</f>
        <v>9.0949470177292824E-12</v>
      </c>
      <c r="D278" s="366">
        <f ca="1">INDEX(T_Merger!__Capital,_AmortizacionesTablaCliente)</f>
        <v>0</v>
      </c>
      <c r="E278" s="519">
        <f ca="1">INDEX(T_Merger!__Interes,_AmortizacionesTablaCliente)</f>
        <v>9.7770680440589784E-14</v>
      </c>
      <c r="F278" s="366">
        <f ca="1">INDEX(T_Merger!__IVA,_AmortizacionesTablaCliente)</f>
        <v>1.1732481652870774E-14</v>
      </c>
      <c r="G278" s="366">
        <f ca="1">INDEX(T_Merger!__Pago,_AmortizacionesTablaCliente)</f>
        <v>1.0950316209346055E-13</v>
      </c>
      <c r="H278" s="491">
        <v>0</v>
      </c>
      <c r="I278" s="367">
        <f ca="1">INDEX(T_Merger!__Saldo_Final,_AmortizacionesTablaCliente)</f>
        <v>9.0949470177292824E-12</v>
      </c>
    </row>
    <row r="279" spans="1:10" hidden="1">
      <c r="A279" s="368">
        <v>260</v>
      </c>
      <c r="B279" s="369">
        <f t="shared" ca="1" si="3"/>
        <v>50541</v>
      </c>
      <c r="C279" s="370">
        <f ca="1">INDEX(T_Merger!__Saldo_Inicial,_AmortizacionesTablaCliente)</f>
        <v>9.0949470177292824E-12</v>
      </c>
      <c r="D279" s="370">
        <f ca="1">INDEX(T_Merger!__Capital,_AmortizacionesTablaCliente)</f>
        <v>0</v>
      </c>
      <c r="E279" s="518">
        <f ca="1">INDEX(T_Merger!__Interes,_AmortizacionesTablaCliente)</f>
        <v>9.7770680440589784E-14</v>
      </c>
      <c r="F279" s="370">
        <f ca="1">INDEX(T_Merger!__IVA,_AmortizacionesTablaCliente)</f>
        <v>1.1732481652870774E-14</v>
      </c>
      <c r="G279" s="370">
        <f ca="1">INDEX(T_Merger!__Pago,_AmortizacionesTablaCliente)</f>
        <v>1.0950316209346055E-13</v>
      </c>
      <c r="H279" s="492">
        <v>0</v>
      </c>
      <c r="I279" s="371">
        <f ca="1">INDEX(T_Merger!__Saldo_Final,_AmortizacionesTablaCliente)</f>
        <v>9.0949470177292824E-12</v>
      </c>
    </row>
    <row r="280" spans="1:10" ht="17.25" thickBot="1">
      <c r="A280" s="355"/>
      <c r="B280" s="356"/>
      <c r="C280" s="357" t="s">
        <v>1688</v>
      </c>
      <c r="D280" s="358">
        <f ca="1">SUM(D20:D279)</f>
        <v>148332.94226000001</v>
      </c>
      <c r="E280" s="358">
        <f ca="1">SUM(E20:E279)</f>
        <v>10379.493676344155</v>
      </c>
      <c r="F280" s="358">
        <f ca="1">SUM(F20:F279)</f>
        <v>1245.5392411612982</v>
      </c>
      <c r="G280" s="358">
        <f ca="1">SUM(G20:G279)</f>
        <v>159957.97517750549</v>
      </c>
      <c r="H280" s="358">
        <f>SUM(H20:H279)</f>
        <v>0</v>
      </c>
      <c r="I280" s="359"/>
    </row>
    <row r="281" spans="1:10">
      <c r="A281" s="985" t="s">
        <v>3637</v>
      </c>
      <c r="B281" s="986"/>
      <c r="C281" s="986"/>
      <c r="D281" s="986"/>
      <c r="E281" s="986"/>
      <c r="F281" s="986"/>
      <c r="G281" s="986"/>
      <c r="H281" s="986"/>
      <c r="I281" s="987"/>
    </row>
    <row r="282" spans="1:10">
      <c r="A282" s="957"/>
      <c r="B282" s="958"/>
      <c r="C282" s="958"/>
      <c r="D282" s="958"/>
      <c r="E282" s="958"/>
      <c r="F282" s="958"/>
      <c r="G282" s="958"/>
      <c r="H282" s="958"/>
      <c r="I282" s="959"/>
    </row>
    <row r="283" spans="1:10">
      <c r="A283" s="95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8"/>
      <c r="C283" s="958"/>
      <c r="D283" s="958"/>
      <c r="E283" s="958"/>
      <c r="F283" s="958"/>
      <c r="G283" s="958"/>
      <c r="H283" s="958"/>
      <c r="I283" s="959"/>
    </row>
    <row r="284" spans="1:10">
      <c r="A284" s="957"/>
      <c r="B284" s="958"/>
      <c r="C284" s="958"/>
      <c r="D284" s="958"/>
      <c r="E284" s="958"/>
      <c r="F284" s="958"/>
      <c r="G284" s="958"/>
      <c r="H284" s="958"/>
      <c r="I284" s="959"/>
    </row>
    <row r="285" spans="1:10" ht="17.25" thickBot="1">
      <c r="A285" s="960"/>
      <c r="B285" s="961"/>
      <c r="C285" s="961"/>
      <c r="D285" s="961"/>
      <c r="E285" s="961"/>
      <c r="F285" s="961"/>
      <c r="G285" s="961"/>
      <c r="H285" s="961"/>
      <c r="I285" s="962"/>
    </row>
    <row r="286" spans="1:10" ht="17.25" thickBot="1">
      <c r="J286" s="621"/>
    </row>
    <row r="288" spans="1:10">
      <c r="B288" s="980" t="s">
        <v>5004</v>
      </c>
      <c r="C288" s="980"/>
      <c r="D288" s="980"/>
      <c r="E288" s="980"/>
      <c r="F288" s="980"/>
      <c r="G288" s="980"/>
      <c r="H288" s="980"/>
      <c r="I288" s="980"/>
    </row>
    <row r="289" spans="2:9" ht="27">
      <c r="B289" s="354" t="s">
        <v>1682</v>
      </c>
      <c r="C289" s="354" t="s">
        <v>1631</v>
      </c>
      <c r="D289" s="354" t="s">
        <v>1683</v>
      </c>
      <c r="E289" s="354" t="s">
        <v>1633</v>
      </c>
      <c r="F289" s="354" t="s">
        <v>1684</v>
      </c>
      <c r="G289" s="354" t="s">
        <v>1634</v>
      </c>
      <c r="H289"/>
      <c r="I289" s="354" t="s">
        <v>1635</v>
      </c>
    </row>
    <row r="290" spans="2:9">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topLeftCell="P123" zoomScale="70" zoomScaleNormal="70" workbookViewId="0">
      <selection activeCell="Y157" sqref="Y157"/>
    </sheetView>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6.5" thickTop="1" thickBot="1">
      <c r="D4" s="108"/>
    </row>
    <row r="5" spans="1:27">
      <c r="A5" s="997" t="s">
        <v>1678</v>
      </c>
      <c r="B5" s="997"/>
      <c r="D5" s="16" t="s">
        <v>11020</v>
      </c>
      <c r="E5" s="35">
        <v>25000</v>
      </c>
      <c r="F5" s="892"/>
      <c r="G5" s="892"/>
      <c r="H5" s="893"/>
      <c r="J5" s="998" t="s">
        <v>419</v>
      </c>
      <c r="K5" s="999"/>
      <c r="L5" s="74" t="s">
        <v>1629</v>
      </c>
      <c r="O5" s="676" t="s">
        <v>2112</v>
      </c>
      <c r="P5" s="561" t="s">
        <v>4943</v>
      </c>
      <c r="Q5" s="674"/>
      <c r="V5" s="678" t="s">
        <v>4940</v>
      </c>
      <c r="W5" s="678"/>
      <c r="X5" s="678"/>
      <c r="Y5" s="678"/>
      <c r="Z5" s="678"/>
      <c r="AA5" s="678" t="s">
        <v>487</v>
      </c>
    </row>
    <row r="6" spans="1:27">
      <c r="A6" s="42" t="s">
        <v>420</v>
      </c>
      <c r="B6" s="42" t="s">
        <v>1677</v>
      </c>
      <c r="D6" s="16" t="s">
        <v>11022</v>
      </c>
      <c r="E6" s="908">
        <v>0.16</v>
      </c>
      <c r="F6" s="892"/>
      <c r="G6" s="892"/>
      <c r="H6" s="893"/>
      <c r="J6" s="57"/>
      <c r="K6" s="16"/>
      <c r="L6" s="58"/>
      <c r="O6" s="673" t="str">
        <f>CA_Servicios!CA.Branding</f>
        <v>Banorte</v>
      </c>
      <c r="P6" s="562" t="str">
        <f>DGET(C_MARCA,P5,$O$5:$O$6)</f>
        <v>BTE</v>
      </c>
      <c r="Q6" s="674"/>
      <c r="W6" s="702"/>
      <c r="X6" s="702"/>
      <c r="Y6" s="702"/>
      <c r="Z6" s="702"/>
      <c r="AA6" s="702"/>
    </row>
    <row r="7" spans="1:27">
      <c r="A7" s="32" t="s">
        <v>1669</v>
      </c>
      <c r="B7" s="495">
        <f ca="1">VLOOKUP(SELECCION_TIPO_PERSONA,C_TIPO_PERSONA_DESC,2,0)</f>
        <v>1</v>
      </c>
      <c r="D7" s="108"/>
      <c r="E7" s="892"/>
      <c r="F7" s="892"/>
      <c r="G7" s="892"/>
      <c r="H7" s="893"/>
      <c r="J7" s="995" t="s">
        <v>1619</v>
      </c>
      <c r="K7" s="996"/>
      <c r="L7" s="196">
        <f ca="1">MontoEnganche</f>
        <v>15000</v>
      </c>
      <c r="Y7" s="672"/>
      <c r="Z7" s="672"/>
      <c r="AA7" s="553" t="s">
        <v>4995</v>
      </c>
    </row>
    <row r="8" spans="1:27">
      <c r="A8" s="36" t="s">
        <v>1670</v>
      </c>
      <c r="B8" s="496">
        <f ca="1">VLOOKUP(SELECCION_ESTADO,C_ESTADO_DESC,2,0)</f>
        <v>1</v>
      </c>
      <c r="D8" s="148" t="s">
        <v>2218</v>
      </c>
      <c r="E8" s="118" t="s">
        <v>1570</v>
      </c>
      <c r="J8" s="995" t="s">
        <v>1622</v>
      </c>
      <c r="K8" s="996"/>
      <c r="L8" s="196" t="str">
        <f ca="1">MontoSeguroDeContado</f>
        <v>$0.00</v>
      </c>
      <c r="O8" s="560" t="s">
        <v>4940</v>
      </c>
      <c r="P8" s="561" t="s">
        <v>4943</v>
      </c>
      <c r="X8" s="672"/>
      <c r="Y8" s="672"/>
      <c r="Z8" s="672"/>
      <c r="AA8" s="673">
        <f t="array" ref="AA8">SUM(IF(COMBO_PRODUCTO&lt;&gt;0,1))</f>
        <v>2</v>
      </c>
    </row>
    <row r="9" spans="1:27">
      <c r="A9" s="198" t="s">
        <v>0</v>
      </c>
      <c r="B9" s="496">
        <f ca="1">VLOOKUP(SELECCION_CONDICION_AUTO,C_CONDICION_AUTO_DESC,2,0)</f>
        <v>1</v>
      </c>
      <c r="C9" s="39"/>
      <c r="D9" s="31" t="s">
        <v>429</v>
      </c>
      <c r="E9" s="115">
        <f ca="1">ID_CONDICION_AUTO</f>
        <v>1</v>
      </c>
      <c r="J9" s="995" t="s">
        <v>1620</v>
      </c>
      <c r="K9" s="996"/>
      <c r="L9" s="196">
        <f ca="1">MontoComisionPorAperturaConIva</f>
        <v>4301.6553255400004</v>
      </c>
      <c r="O9" s="555" t="str">
        <f>SELECCION_PRODUCTO</f>
        <v>AutoEstrene</v>
      </c>
      <c r="P9" s="562" t="str">
        <f>DGET(C_PRODUCTO,P8,$O$8:$O$9)</f>
        <v>AET</v>
      </c>
      <c r="X9" s="553" t="s">
        <v>5066</v>
      </c>
      <c r="Y9" s="606" t="s">
        <v>5067</v>
      </c>
      <c r="Z9" s="672"/>
      <c r="AA9" s="614" t="s">
        <v>4994</v>
      </c>
    </row>
    <row r="10" spans="1:27">
      <c r="A10" s="198" t="s">
        <v>2100</v>
      </c>
      <c r="B10" s="496">
        <f ca="1">VLOOKUP(SELECCION_MODELO,C_MODELO_AÑO_DESC,2,0)</f>
        <v>2</v>
      </c>
      <c r="D10" s="33" t="s">
        <v>430</v>
      </c>
      <c r="E10" s="168" t="str">
        <f ca="1">VLOOKUP(ID_CONDICION_AUTO,C_CONDICION_AUTO,2,0)</f>
        <v>Nuevo</v>
      </c>
      <c r="F10" s="33"/>
      <c r="G10" s="902"/>
      <c r="J10" s="995" t="s">
        <v>1621</v>
      </c>
      <c r="K10" s="996"/>
      <c r="L10" s="196">
        <f ca="1">AportacionAdicional</f>
        <v>0</v>
      </c>
      <c r="X10" s="673" t="str">
        <f>C.Otros!A10</f>
        <v>AutoEstrene</v>
      </c>
      <c r="Y10" s="673" t="str">
        <f>C.Otros!A10</f>
        <v>AutoEstrene</v>
      </c>
      <c r="Z10" s="672"/>
      <c r="AA10" s="673" t="str">
        <f t="array" ref="AA10">INDEX(X10:Y10,,MATCH(Marca.Código,$X$9:$Y$9,0))</f>
        <v>AutoEstrene</v>
      </c>
    </row>
    <row r="11" spans="1:27">
      <c r="A11" s="36" t="s">
        <v>4067</v>
      </c>
      <c r="B11" s="496">
        <f ca="1">VLOOKUP(SELECCION_CALCULO_SEGURO,C_CALCULO_SEGURO_DESC,2,0)</f>
        <v>1</v>
      </c>
      <c r="D11" s="33" t="s">
        <v>4956</v>
      </c>
      <c r="E11" s="71" t="b">
        <f ca="1">VLOOKUP(ID_CONDICION_AUTO,C_CONDICION_AUTO,4,0)</f>
        <v>1</v>
      </c>
      <c r="F11" s="33"/>
      <c r="G11" s="16"/>
      <c r="J11" s="993" t="s">
        <v>1623</v>
      </c>
      <c r="K11" s="994"/>
      <c r="L11" s="197">
        <f ca="1">SUM(L7:L10)</f>
        <v>19301.655325539999</v>
      </c>
      <c r="O11" s="560" t="s">
        <v>4947</v>
      </c>
      <c r="P11" s="561" t="s">
        <v>4943</v>
      </c>
      <c r="Q11" s="571" t="s">
        <v>3634</v>
      </c>
      <c r="R11" s="317" t="s">
        <v>11017</v>
      </c>
      <c r="X11" s="673" t="str">
        <f>C.Otros!A11</f>
        <v>AutoNómina</v>
      </c>
      <c r="Y11" s="673"/>
      <c r="Z11" s="672"/>
      <c r="AA11" s="673" t="str">
        <f>INDEX(X11:Y11,,MATCH(Marca.Código,$X$9:$Y$9,0))</f>
        <v>AutoNómina</v>
      </c>
    </row>
    <row r="12" spans="1:27">
      <c r="A12" s="36" t="s">
        <v>1671</v>
      </c>
      <c r="B12" s="200">
        <f ca="1">VLOOKUP(SELECCION_AUTO_SUST,C_SI_NO_DESC,2,0)</f>
        <v>1</v>
      </c>
      <c r="D12" s="33" t="s">
        <v>2217</v>
      </c>
      <c r="E12" s="71" t="b">
        <f ca="1">NOT(CondiciónAuto.EsNuevo?)</f>
        <v>0</v>
      </c>
      <c r="F12" s="33"/>
      <c r="G12" s="16"/>
      <c r="J12" s="57"/>
      <c r="K12" s="16"/>
      <c r="L12" s="58"/>
      <c r="O12" s="555" t="str">
        <f>SELECCION_TIPO_TARIFA</f>
        <v>Tradicional</v>
      </c>
      <c r="P12" s="562" t="str">
        <f>DGET(C_TIPO_TARIFA,P11,$O$11:$O$12)</f>
        <v>T.T.TRAD</v>
      </c>
      <c r="Q12" s="563">
        <f>DGET(C_TIPO_TARIFA,Q11,$O$11:$O$12)</f>
        <v>2.5000000000000001E-2</v>
      </c>
      <c r="R12" s="563" t="b">
        <f>DGET(C_TIPO_TARIFA,R11,$O$11:$O$12)</f>
        <v>0</v>
      </c>
    </row>
    <row r="13" spans="1:27">
      <c r="A13" s="36" t="s">
        <v>1672</v>
      </c>
      <c r="B13" s="200">
        <f ca="1">VLOOKUP(SELECCION_INCREMENTO_RC,C_ADIC_INCREMENTO_RC_DESC,2,0)</f>
        <v>0</v>
      </c>
      <c r="D13" s="903" t="s">
        <v>11011</v>
      </c>
      <c r="E13" s="901">
        <f ca="1">VLOOKUP(ID_CONDICION_AUTO,C_CONDICION_AUTO,5,0)</f>
        <v>0.3</v>
      </c>
      <c r="F13" s="498"/>
      <c r="G13" s="498"/>
      <c r="H13" s="564"/>
      <c r="J13" s="995" t="s">
        <v>1617</v>
      </c>
      <c r="K13" s="996"/>
      <c r="L13" s="196">
        <f ca="1">MontoFinanciarAuto</f>
        <v>135000</v>
      </c>
    </row>
    <row r="14" spans="1:27">
      <c r="A14" s="36" t="s">
        <v>1673</v>
      </c>
      <c r="B14" s="200">
        <f ca="1">VLOOKUP(SELECCION_INDEMN_AÑO1,C_Indem_Valor_Factura_Desc,2,0)</f>
        <v>1</v>
      </c>
      <c r="D14" s="899"/>
      <c r="E14" s="900"/>
      <c r="F14" s="892"/>
      <c r="G14" s="892"/>
      <c r="H14" s="893"/>
      <c r="J14" s="995" t="s">
        <v>1618</v>
      </c>
      <c r="K14" s="996"/>
      <c r="L14" s="196">
        <f ca="1">MontoFinanciarSeguros</f>
        <v>7332.9422599999998</v>
      </c>
      <c r="O14" s="560" t="s">
        <v>430</v>
      </c>
      <c r="P14" s="571" t="s">
        <v>1598</v>
      </c>
      <c r="Q14" s="571" t="s">
        <v>1599</v>
      </c>
      <c r="V14" s="678" t="s">
        <v>1608</v>
      </c>
      <c r="W14" s="678"/>
      <c r="X14" s="678"/>
      <c r="Y14" s="678"/>
      <c r="Z14" s="678"/>
      <c r="AA14" s="678"/>
    </row>
    <row r="15" spans="1:27">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c r="A17" s="199" t="s">
        <v>1675</v>
      </c>
      <c r="B17" s="201">
        <f ca="1">VLOOKUP(SELECCION_FRECUENCIA,C_FRECUENCIA_DESC,2,0)</f>
        <v>1</v>
      </c>
      <c r="J17" s="195">
        <v>12</v>
      </c>
      <c r="K17" s="64">
        <v>0.129</v>
      </c>
      <c r="L17" s="59">
        <v>13349.67</v>
      </c>
      <c r="O17" s="674" t="s">
        <v>5074</v>
      </c>
      <c r="W17" s="498"/>
      <c r="AA17" s="610">
        <f t="array" ref="AA17">SUM(IF(COMBO_FRECUENCIA&lt;&gt;0,1))</f>
        <v>1</v>
      </c>
    </row>
    <row r="18" spans="1:27">
      <c r="A18" s="38" t="s">
        <v>1676</v>
      </c>
      <c r="B18" s="202">
        <f ca="1">VLOOKUP(Seleccion_Abono_Anticipado,C_OPCION_ABONO_ANTICIPADO_DESC,2,0)</f>
        <v>1</v>
      </c>
      <c r="D18" s="148" t="s">
        <v>2097</v>
      </c>
      <c r="E18" s="118" t="s">
        <v>1570</v>
      </c>
      <c r="J18" s="195">
        <v>24</v>
      </c>
      <c r="K18" s="64">
        <v>0.129</v>
      </c>
      <c r="L18" s="59">
        <v>7459.65</v>
      </c>
      <c r="O18" s="676" t="s">
        <v>2112</v>
      </c>
      <c r="P18" s="676" t="s">
        <v>4940</v>
      </c>
      <c r="Q18" s="676" t="s">
        <v>1545</v>
      </c>
      <c r="R18" s="676" t="s">
        <v>4953</v>
      </c>
      <c r="S18" s="676" t="s">
        <v>1573</v>
      </c>
      <c r="T18" s="571" t="s">
        <v>5072</v>
      </c>
      <c r="X18" s="553" t="s">
        <v>4944</v>
      </c>
      <c r="Y18" s="606" t="s">
        <v>4945</v>
      </c>
      <c r="Z18" s="672" t="s">
        <v>487</v>
      </c>
      <c r="AA18" s="614" t="s">
        <v>4994</v>
      </c>
    </row>
    <row r="19" spans="1:27">
      <c r="D19" s="31" t="s">
        <v>429</v>
      </c>
      <c r="E19" s="115">
        <f ca="1">ID_MODELO</f>
        <v>2</v>
      </c>
      <c r="J19" s="195">
        <v>36</v>
      </c>
      <c r="K19" s="64">
        <v>0.129</v>
      </c>
      <c r="L19" s="59">
        <v>5509.73</v>
      </c>
      <c r="O19" s="675" t="str">
        <f>Marca.Código</f>
        <v>BTE</v>
      </c>
      <c r="P19" s="675" t="str">
        <f>PROD.Código</f>
        <v>AET</v>
      </c>
      <c r="Q19" s="675" t="str">
        <f>TTAR.Código</f>
        <v>T.T.TRAD</v>
      </c>
      <c r="R19" s="675" t="str">
        <f ca="1">CondiciónAuto.Descripcion</f>
        <v>Nuevo</v>
      </c>
      <c r="S19" s="675"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5"/>
      <c r="W19" s="315"/>
      <c r="X19" s="590" t="str">
        <f>'C. Comunes'!B5</f>
        <v>Mensual</v>
      </c>
      <c r="Y19" s="590" t="str">
        <f>'C. Comunes'!B5</f>
        <v>Mensual</v>
      </c>
      <c r="AA19" s="610" t="str">
        <f>INDEX(X19:Y19,, MATCH(PROD.Código,$X$18:$Y$18,0))</f>
        <v>Mensual</v>
      </c>
    </row>
    <row r="20" spans="1:27">
      <c r="D20" s="33" t="s">
        <v>430</v>
      </c>
      <c r="E20" s="71">
        <f ca="1">VLOOKUP(ID_MODELO,C_MODELO_AÑO,2,0)</f>
        <v>2016</v>
      </c>
      <c r="J20" s="195">
        <v>48</v>
      </c>
      <c r="K20" s="64">
        <v>0.129</v>
      </c>
      <c r="L20" s="59">
        <v>4544.75</v>
      </c>
      <c r="X20" s="590"/>
      <c r="Y20" s="590" t="str">
        <f>'C. Comunes'!B6</f>
        <v>Quincenal</v>
      </c>
      <c r="AA20" s="610">
        <f>INDEX(X20:Y20,, MATCH(PROD.Código,$X$18:$Y$18,0))</f>
        <v>0</v>
      </c>
    </row>
    <row r="21" spans="1:27" ht="15.75" thickBot="1">
      <c r="D21" s="127" t="s">
        <v>2103</v>
      </c>
      <c r="E21" s="71">
        <f ca="1">VLOOKUP(ID_MODELO,C_MODELO_AÑO,5,0)</f>
        <v>0</v>
      </c>
      <c r="J21" s="236">
        <v>60</v>
      </c>
      <c r="K21" s="194">
        <v>0.129</v>
      </c>
      <c r="L21" s="60">
        <v>3973.61</v>
      </c>
      <c r="O21" s="688" t="s">
        <v>5078</v>
      </c>
      <c r="T21"/>
      <c r="X21" s="590"/>
      <c r="Y21" s="590" t="str">
        <f>'C. Comunes'!B7</f>
        <v>Catorcenal</v>
      </c>
      <c r="AA21" s="610">
        <f>INDEX(X21:Y21,, MATCH(PROD.Código,$X$18:$Y$18,0))</f>
        <v>0</v>
      </c>
    </row>
    <row r="22" spans="1:27">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c r="D24" s="75" t="s">
        <v>2233</v>
      </c>
      <c r="E24" s="119" t="str">
        <f ca="1">VLOOKUP(ID_CONDICION_MODELO,C_CONDICION_MODELO,2,0)</f>
        <v>Reciente</v>
      </c>
      <c r="G24" s="693"/>
    </row>
    <row r="25" spans="1:27">
      <c r="I25" s="125"/>
      <c r="K25" s="64"/>
      <c r="L25" s="35"/>
      <c r="O25" s="688" t="s">
        <v>5086</v>
      </c>
      <c r="X25" s="672"/>
      <c r="Y25" s="672"/>
      <c r="Z25" s="672"/>
      <c r="AA25" s="672"/>
    </row>
    <row r="26" spans="1:27">
      <c r="D26" s="65" t="s">
        <v>11021</v>
      </c>
      <c r="E26" s="907">
        <f ca="1">IF(AND(CondiciónAuto.EsSeminuevo?, Modelo.EsAnterior?), Seminuevo, Nuevo)</f>
        <v>1</v>
      </c>
      <c r="F26" s="892"/>
      <c r="G26" s="892"/>
      <c r="H26" s="893"/>
      <c r="O26" s="676" t="s">
        <v>4940</v>
      </c>
      <c r="P26" s="676" t="s">
        <v>4947</v>
      </c>
      <c r="Q26" s="571" t="s">
        <v>5083</v>
      </c>
      <c r="V26" s="678" t="s">
        <v>1573</v>
      </c>
      <c r="W26" s="678"/>
      <c r="X26" s="678"/>
      <c r="Y26" s="678"/>
      <c r="Z26" s="678"/>
      <c r="AA26" s="678"/>
    </row>
    <row r="27" spans="1:27">
      <c r="D27" s="892"/>
      <c r="E27" s="892"/>
      <c r="F27" s="892"/>
      <c r="G27" s="892"/>
      <c r="H27" s="893"/>
      <c r="O27" s="689" t="str">
        <f>PROD.Código</f>
        <v>AET</v>
      </c>
      <c r="P27" s="689" t="str">
        <f>TTAR.Código</f>
        <v>T.T.TRAD</v>
      </c>
      <c r="Q27" s="689" t="e">
        <f>DGET(C_PRODUCTO_TARIFA,Q26,$O$26:$P$27)</f>
        <v>#VALUE!</v>
      </c>
      <c r="W27" s="702"/>
      <c r="X27" s="702"/>
      <c r="Y27" s="702"/>
      <c r="Z27" s="702"/>
      <c r="AA27" s="702"/>
    </row>
    <row r="28" spans="1:27">
      <c r="D28" s="148" t="s">
        <v>481</v>
      </c>
      <c r="E28" s="118" t="s">
        <v>1570</v>
      </c>
      <c r="F28" s="123" t="s">
        <v>2235</v>
      </c>
      <c r="G28" s="123" t="s">
        <v>2236</v>
      </c>
      <c r="H28" s="126"/>
      <c r="Y28" s="609"/>
      <c r="AA28" s="553" t="s">
        <v>4995</v>
      </c>
    </row>
    <row r="29" spans="1:27">
      <c r="D29" s="31" t="s">
        <v>2175</v>
      </c>
      <c r="E29" s="159" t="str">
        <f>CONCATENATE(SELECCION_MARCA,", ",SELECCION_AUTO)</f>
        <v>Acura, ILX</v>
      </c>
      <c r="F29" s="161"/>
      <c r="G29" s="155"/>
      <c r="H29" s="115"/>
      <c r="Q29" s="571" t="s">
        <v>5084</v>
      </c>
      <c r="X29" s="609"/>
      <c r="Y29" s="609"/>
      <c r="AA29" s="610">
        <f t="array" ref="AA29">SUM(IF(COMBO_TIPO_PERSONA&lt;&gt;0,1))</f>
        <v>3</v>
      </c>
    </row>
    <row r="30" spans="1:27">
      <c r="D30" s="33"/>
      <c r="E30" s="156"/>
      <c r="F30" s="162"/>
      <c r="G30" s="156"/>
      <c r="H30" s="71"/>
      <c r="Q30" s="689" t="b">
        <f>NOT(ISERROR(Override_Nombre_Tarifa))</f>
        <v>0</v>
      </c>
      <c r="W30" s="498"/>
      <c r="X30" s="553" t="s">
        <v>4944</v>
      </c>
      <c r="Y30" s="606" t="s">
        <v>4945</v>
      </c>
      <c r="Z30" s="609" t="s">
        <v>487</v>
      </c>
      <c r="AA30" s="614" t="s">
        <v>4994</v>
      </c>
    </row>
    <row r="31" spans="1:27">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c r="D33" s="33"/>
      <c r="E33" s="34"/>
      <c r="F33" s="142" t="s">
        <v>2111</v>
      </c>
      <c r="G33" s="130" t="s">
        <v>414</v>
      </c>
      <c r="H33" s="131" t="s">
        <v>2157</v>
      </c>
      <c r="Q33" s="689" t="str">
        <f>IF(Hay_Override_de_Nombre_Tarifa?,Override_Nombre_Tarifa,SELECCION_TIPO_TARIFA)</f>
        <v>Tradicional</v>
      </c>
      <c r="U33" s="674"/>
      <c r="X33" s="610" t="str">
        <f>'C. Seguros'!B33</f>
        <v>Moral</v>
      </c>
      <c r="Y33" s="610"/>
      <c r="AA33" s="610" t="str">
        <f>INDEX(X33:Y33,,MATCH(PROD.Código,$X$30:$Y$30,0))</f>
        <v>Moral</v>
      </c>
    </row>
    <row r="34" spans="4:27">
      <c r="D34" s="33" t="s">
        <v>430</v>
      </c>
      <c r="E34" s="694" t="str">
        <f ca="1">CHOOSE(Catálogo_a_usar,F34,G34)</f>
        <v>Acura, ILX</v>
      </c>
      <c r="F34" s="124" t="str">
        <f ca="1">VLOOKUP(ID_AUTO,C_AUTO,2,0)</f>
        <v>Acura, ILX</v>
      </c>
      <c r="G34" s="124" t="e">
        <f ca="1">VLOOKUP(ID_AUTO,C_AutosSeminuevos,2,0)</f>
        <v>#N/A</v>
      </c>
      <c r="H34" s="71" t="s">
        <v>487</v>
      </c>
      <c r="U34" s="674"/>
    </row>
    <row r="35" spans="4:27">
      <c r="D35" s="33" t="s">
        <v>2158</v>
      </c>
      <c r="E35" s="695">
        <f ca="1">CHOOSE(Catálogo_a_usar,F35,G35)</f>
        <v>1</v>
      </c>
      <c r="F35" s="124">
        <f ca="1">VLOOKUP(ID_AUTO,C_AUTO,10,0)</f>
        <v>1</v>
      </c>
      <c r="G35" s="124" t="e">
        <f ca="1">VLOOKUP(ID_AUTO,C_AutosSeminuevos,6,0)</f>
        <v>#N/A</v>
      </c>
      <c r="H35" s="71"/>
      <c r="X35" s="672"/>
      <c r="Y35" s="672"/>
      <c r="Z35" s="672"/>
      <c r="AA35" s="672"/>
    </row>
    <row r="36" spans="4:27">
      <c r="D36" s="33"/>
      <c r="E36" s="34"/>
      <c r="F36" s="142" t="s">
        <v>1694</v>
      </c>
      <c r="G36" s="130" t="s">
        <v>1694</v>
      </c>
      <c r="H36" s="131" t="s">
        <v>2159</v>
      </c>
      <c r="U36" s="702" t="s">
        <v>5104</v>
      </c>
      <c r="V36" s="678" t="s">
        <v>4947</v>
      </c>
      <c r="W36" s="678"/>
      <c r="X36" s="678"/>
      <c r="Y36" s="678"/>
      <c r="Z36" s="678"/>
      <c r="AA36" s="678" t="s">
        <v>487</v>
      </c>
    </row>
    <row r="37" spans="4:27">
      <c r="D37" s="37" t="s">
        <v>3633</v>
      </c>
      <c r="E37" s="114" t="b">
        <f ca="1">ID_TIPO_AUTO = _3.5T</f>
        <v>0</v>
      </c>
      <c r="F37" s="312"/>
      <c r="G37" s="313"/>
      <c r="H37" s="314"/>
      <c r="W37" s="702"/>
      <c r="X37" s="702"/>
      <c r="Y37" s="702"/>
      <c r="Z37" s="702"/>
      <c r="AA37" s="702"/>
    </row>
    <row r="38" spans="4:27">
      <c r="F38" s="120"/>
      <c r="G38" s="120"/>
      <c r="H38" s="120"/>
      <c r="X38" s="88" t="s">
        <v>5096</v>
      </c>
      <c r="Y38" s="560" t="str">
        <f>Marca.Código &amp; "_" &amp; PROD.Código</f>
        <v>BTE_AET</v>
      </c>
      <c r="Z38" s="672"/>
      <c r="AA38" s="553" t="s">
        <v>4995</v>
      </c>
    </row>
    <row r="39" spans="4:27">
      <c r="D39" s="148" t="s">
        <v>439</v>
      </c>
      <c r="E39" s="118" t="s">
        <v>1570</v>
      </c>
      <c r="F39" s="123" t="s">
        <v>2235</v>
      </c>
      <c r="G39" s="123" t="s">
        <v>2236</v>
      </c>
      <c r="H39" s="126"/>
      <c r="W39" s="672"/>
      <c r="X39" s="672"/>
      <c r="Y39" s="672"/>
      <c r="Z39" s="672"/>
      <c r="AA39" s="673">
        <f t="array" ref="AA39">SUM(IF(COMBO_TIPO_TARIFA&lt;&gt;0,1))</f>
        <v>4</v>
      </c>
    </row>
    <row r="40" spans="4:27">
      <c r="D40" s="33" t="s">
        <v>429</v>
      </c>
      <c r="E40" s="71">
        <f ca="1">ID_ESTADO</f>
        <v>1</v>
      </c>
      <c r="F40" s="122"/>
      <c r="G40" s="34"/>
      <c r="H40" s="71" t="s">
        <v>487</v>
      </c>
      <c r="V40" s="716"/>
      <c r="W40" s="553" t="s">
        <v>5069</v>
      </c>
      <c r="X40" s="553" t="s">
        <v>5070</v>
      </c>
      <c r="Y40" s="606" t="s">
        <v>5071</v>
      </c>
      <c r="Z40" s="672"/>
      <c r="AA40" s="614" t="s">
        <v>4994</v>
      </c>
    </row>
    <row r="41" spans="4:27">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c r="D43" s="33" t="s">
        <v>2154</v>
      </c>
      <c r="E43" s="71" t="b">
        <f ca="1">VLOOKUP(ID_ESTADO,C_ESTADO,7,0)</f>
        <v>0</v>
      </c>
      <c r="F43" s="122"/>
      <c r="G43" s="34"/>
      <c r="H43" s="71" t="s">
        <v>487</v>
      </c>
      <c r="W43" s="909" t="s">
        <v>11028</v>
      </c>
      <c r="AA43" s="873" t="str">
        <f>INDEX(W43:Y43,,MATCH(OPCION_TIPO_TARIFA,$W$40:$Y$40,0))</f>
        <v>Preautorizados</v>
      </c>
    </row>
    <row r="44" spans="4:27">
      <c r="D44" s="33" t="s">
        <v>4947</v>
      </c>
      <c r="E44" s="71">
        <f ca="1">VLOOKUP(ID_ESTADO,C_ESTADO,10,0)</f>
        <v>1</v>
      </c>
      <c r="F44" s="122"/>
      <c r="G44" s="34"/>
      <c r="H44" s="71"/>
      <c r="V44" s="917"/>
      <c r="W44" s="919" t="s">
        <v>11077</v>
      </c>
      <c r="X44" s="917"/>
      <c r="Y44" s="917"/>
      <c r="Z44" s="917"/>
      <c r="AA44" s="919" t="str">
        <f>INDEX(W44:Y44,,MATCH(OPCION_TIPO_TARIFA,$W$40:$Y$40,0))</f>
        <v>Preferentes</v>
      </c>
    </row>
    <row r="45" spans="4:27">
      <c r="D45" s="33" t="s">
        <v>2160</v>
      </c>
      <c r="E45" s="143">
        <f ca="1">CHOOSE(Catálogo_a_usar,F45,G45)</f>
        <v>0.65</v>
      </c>
      <c r="F45" s="163">
        <f ca="1">IF(F46,F47,1)</f>
        <v>0.65</v>
      </c>
      <c r="G45" s="124">
        <f ca="1">IF(G46,G47,1)</f>
        <v>0.61</v>
      </c>
      <c r="H45" s="71" t="s">
        <v>3625</v>
      </c>
    </row>
    <row r="46" spans="4:27">
      <c r="D46" s="33"/>
      <c r="E46" s="304"/>
      <c r="F46" s="305" t="b">
        <f ca="1">NOT(Auto.Es3.5T?)</f>
        <v>1</v>
      </c>
      <c r="G46" s="306" t="b">
        <f ca="1">F46</f>
        <v>1</v>
      </c>
      <c r="H46" s="71" t="s">
        <v>3623</v>
      </c>
      <c r="V46" s="678" t="s">
        <v>5094</v>
      </c>
      <c r="W46" s="678"/>
      <c r="X46" s="678"/>
      <c r="Y46" s="678"/>
      <c r="Z46" s="678"/>
      <c r="AA46" s="678" t="s">
        <v>487</v>
      </c>
    </row>
    <row r="47" spans="4:27">
      <c r="D47" s="33"/>
      <c r="E47" s="304"/>
      <c r="F47" s="142">
        <f ca="1">VLOOKUP(ID_ESTADO,C_ESTADO,4,0)</f>
        <v>0.65</v>
      </c>
      <c r="G47" s="130">
        <f ca="1">VLOOKUP(ID_ESTADO,C_ESTADO,5,0)</f>
        <v>0.61</v>
      </c>
      <c r="H47" s="71" t="s">
        <v>3624</v>
      </c>
      <c r="W47" s="702"/>
      <c r="X47" s="702"/>
      <c r="Y47" s="702"/>
      <c r="Z47" s="702"/>
      <c r="AA47" s="702"/>
    </row>
    <row r="48" spans="4:27">
      <c r="D48" s="37"/>
      <c r="E48" s="72"/>
      <c r="F48" s="139" t="s">
        <v>440</v>
      </c>
      <c r="G48" s="140" t="s">
        <v>408</v>
      </c>
      <c r="H48" s="141" t="s">
        <v>2156</v>
      </c>
      <c r="X48" s="88" t="s">
        <v>5095</v>
      </c>
      <c r="Y48" s="560" t="b">
        <f ca="1">AND(CondiciónAuto.EsNuevo?,NOT(TipoPersona.Descripción="Moral"))</f>
        <v>1</v>
      </c>
      <c r="Z48" s="700"/>
      <c r="AA48" s="553" t="s">
        <v>4995</v>
      </c>
    </row>
    <row r="49" spans="4:27">
      <c r="E49" s="12"/>
      <c r="F49" s="12"/>
      <c r="G49" s="12"/>
      <c r="W49" s="700"/>
      <c r="X49" s="700"/>
      <c r="Y49" s="700"/>
      <c r="Z49" s="700"/>
      <c r="AA49" s="701">
        <f t="array" aca="1" ref="AA49" ca="1">SUM(IF(COMBO_GARANTIA_EXTENDIDA&lt;&gt;0,1))</f>
        <v>2</v>
      </c>
    </row>
    <row r="50" spans="4:27">
      <c r="D50" s="148" t="s">
        <v>2150</v>
      </c>
      <c r="E50" s="118"/>
      <c r="F50" s="120"/>
      <c r="G50" s="120"/>
      <c r="H50" s="120"/>
      <c r="W50" s="700"/>
      <c r="X50" s="553" t="b">
        <v>1</v>
      </c>
      <c r="Y50" s="606" t="b">
        <v>0</v>
      </c>
      <c r="Z50" s="700"/>
      <c r="AA50" s="614" t="s">
        <v>4994</v>
      </c>
    </row>
    <row r="51" spans="4:27">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c r="D53" s="75" t="s">
        <v>1679</v>
      </c>
      <c r="E53" s="488">
        <f>CapturaPorcentajeEnganche</f>
        <v>0.1</v>
      </c>
      <c r="G53" s="120"/>
      <c r="H53" s="120"/>
      <c r="V53" s="705"/>
      <c r="W53" s="673"/>
    </row>
    <row r="54" spans="4:27">
      <c r="D54" s="16"/>
      <c r="E54" s="35"/>
      <c r="G54" s="120"/>
      <c r="H54" s="120"/>
      <c r="V54" s="705"/>
      <c r="W54" s="673"/>
      <c r="X54" s="673"/>
      <c r="Y54" s="672"/>
      <c r="Z54" s="673"/>
    </row>
    <row r="55" spans="4:27">
      <c r="D55" s="65" t="s">
        <v>4954</v>
      </c>
      <c r="E55" s="906" t="b">
        <f ca="1">PorcentajeEnganche &gt;= CondiciónAuto.EngancheMin_TarifaReducida</f>
        <v>0</v>
      </c>
      <c r="F55" s="892"/>
      <c r="G55" s="892"/>
      <c r="H55" s="893"/>
      <c r="V55" s="678" t="s">
        <v>5101</v>
      </c>
      <c r="W55" s="678"/>
      <c r="X55" s="678"/>
      <c r="Y55" s="678"/>
      <c r="Z55" s="678"/>
      <c r="AA55" s="678" t="s">
        <v>487</v>
      </c>
    </row>
    <row r="56" spans="4:27">
      <c r="D56" s="904"/>
      <c r="E56" s="905"/>
      <c r="F56" s="892"/>
      <c r="G56" s="892"/>
      <c r="H56" s="893"/>
      <c r="W56" s="702"/>
      <c r="X56" s="702"/>
      <c r="Y56" s="702"/>
      <c r="Z56" s="702"/>
      <c r="AA56" s="702"/>
    </row>
    <row r="57" spans="4:27">
      <c r="D57" s="148" t="s">
        <v>2226</v>
      </c>
      <c r="E57" s="118" t="s">
        <v>1570</v>
      </c>
      <c r="F57" s="120"/>
      <c r="G57" s="120"/>
      <c r="H57" s="120"/>
      <c r="X57" s="88" t="s">
        <v>4956</v>
      </c>
      <c r="Y57" s="560" t="b">
        <f ca="1">CondiciónAuto.EsNuevo?</f>
        <v>1</v>
      </c>
      <c r="Z57" s="702"/>
      <c r="AA57" s="553" t="s">
        <v>4995</v>
      </c>
    </row>
    <row r="58" spans="4:27">
      <c r="D58" s="31" t="s">
        <v>429</v>
      </c>
      <c r="E58" s="115">
        <f ca="1">ID_CALCULO_SEGURO</f>
        <v>1</v>
      </c>
      <c r="F58" s="129"/>
      <c r="G58" s="120"/>
      <c r="H58" s="120"/>
      <c r="W58" s="702"/>
      <c r="X58" s="702"/>
      <c r="Y58" s="702"/>
      <c r="Z58" s="702"/>
      <c r="AA58" s="703">
        <f t="array" aca="1" ref="AA58" ca="1">SUM(IF(COMBO_SEGURO&lt;&gt;0,1))</f>
        <v>10</v>
      </c>
    </row>
    <row r="59" spans="4:27">
      <c r="D59" s="33" t="s">
        <v>430</v>
      </c>
      <c r="E59" s="71" t="str">
        <f ca="1">VLOOKUP(ID_CALCULO_SEGURO,C_CALCULO_SEGURO,2,0)</f>
        <v>Anual Financiado</v>
      </c>
      <c r="F59" s="129"/>
      <c r="G59" s="120"/>
      <c r="H59" s="120"/>
      <c r="W59" s="702"/>
      <c r="X59" s="553" t="b">
        <v>1</v>
      </c>
      <c r="Y59" s="606" t="b">
        <v>0</v>
      </c>
      <c r="Z59" s="702"/>
      <c r="AA59" s="614" t="s">
        <v>4994</v>
      </c>
    </row>
    <row r="60" spans="4:27">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c r="E66" s="120"/>
      <c r="F66" s="120"/>
      <c r="G66" s="120"/>
      <c r="H66" s="120"/>
      <c r="X66" s="703" t="str">
        <f>'C. Seguros'!B44</f>
        <v>Multianual Contado (24M)</v>
      </c>
      <c r="Y66" s="703"/>
      <c r="Z66" s="702"/>
      <c r="AA66" s="703" t="str">
        <f t="shared" ca="1" si="0"/>
        <v>Multianual Contado (24M)</v>
      </c>
    </row>
    <row r="67" spans="4:27">
      <c r="D67" s="148" t="s">
        <v>2228</v>
      </c>
      <c r="E67" s="118"/>
      <c r="F67" s="120"/>
      <c r="G67" s="120"/>
      <c r="H67" s="120"/>
      <c r="X67" s="703" t="str">
        <f>'C. Seguros'!B45</f>
        <v>Multianual Contado (36M)</v>
      </c>
      <c r="Y67" s="703"/>
      <c r="Z67" s="702"/>
      <c r="AA67" s="703" t="str">
        <f t="shared" ca="1" si="0"/>
        <v>Multianual Contado (36M)</v>
      </c>
    </row>
    <row r="68" spans="4:27">
      <c r="D68" s="31" t="s">
        <v>1677</v>
      </c>
      <c r="E68" s="115">
        <f ca="1">IF(Seguro.EsMultianual?,E69,E70)</f>
        <v>1</v>
      </c>
      <c r="F68" s="120"/>
      <c r="G68" s="120"/>
      <c r="H68" s="120"/>
      <c r="X68" s="703" t="str">
        <f>'C. Seguros'!B46</f>
        <v>Multianual Contado (48M)</v>
      </c>
      <c r="Y68" s="703"/>
      <c r="Z68" s="702"/>
      <c r="AA68" s="703" t="str">
        <f t="shared" ca="1" si="0"/>
        <v>Multianual Contado (48M)</v>
      </c>
    </row>
    <row r="69" spans="4:27">
      <c r="D69" s="176" t="s">
        <v>2230</v>
      </c>
      <c r="E69" s="177">
        <f ca="1">VLOOKUP(ID_PLAZO,C_PLAZO,5,0)</f>
        <v>1</v>
      </c>
      <c r="F69" s="120"/>
      <c r="G69" s="120"/>
      <c r="H69" s="120"/>
      <c r="X69" s="703" t="str">
        <f>'C. Seguros'!B47</f>
        <v>Multianual Contado (60M)</v>
      </c>
      <c r="Y69" s="703"/>
      <c r="Z69" s="702"/>
      <c r="AA69" s="703" t="str">
        <f t="shared" ca="1" si="0"/>
        <v>Multianual Contado (60M)</v>
      </c>
    </row>
    <row r="70" spans="4:27">
      <c r="D70" s="178" t="s">
        <v>2229</v>
      </c>
      <c r="E70" s="179">
        <v>1</v>
      </c>
      <c r="F70" s="120"/>
      <c r="G70" s="120"/>
      <c r="H70" s="120"/>
    </row>
    <row r="71" spans="4:27">
      <c r="D71" s="33" t="s">
        <v>2231</v>
      </c>
      <c r="E71" s="166">
        <f ca="1">VLOOKUP(ID_FACTOR_MULTIANUAL,C_FACTOR_MULTIANUAL,4,0)</f>
        <v>1</v>
      </c>
      <c r="F71" s="120"/>
      <c r="G71" s="120"/>
      <c r="H71" s="120"/>
    </row>
    <row r="72" spans="4:27">
      <c r="D72" s="37" t="s">
        <v>2232</v>
      </c>
      <c r="E72" s="167">
        <f ca="1">VLOOKUP(ID_FACTOR_MULTIANUAL,C_FACTOR_MULTIANUAL,5,0)</f>
        <v>1</v>
      </c>
      <c r="F72" s="120"/>
      <c r="G72" s="120"/>
      <c r="H72" s="120"/>
      <c r="V72" s="678" t="s">
        <v>5099</v>
      </c>
      <c r="W72" s="678"/>
      <c r="X72" s="678"/>
      <c r="Y72" s="678"/>
      <c r="Z72" s="678"/>
      <c r="AA72" s="678" t="s">
        <v>487</v>
      </c>
    </row>
    <row r="73" spans="4:27">
      <c r="E73" s="120"/>
      <c r="F73" s="120"/>
      <c r="G73" s="120"/>
      <c r="H73" s="120"/>
      <c r="V73" s="705"/>
      <c r="W73" s="703"/>
      <c r="X73" s="703"/>
      <c r="Y73" s="702"/>
      <c r="Z73" s="703"/>
      <c r="AA73" s="702"/>
    </row>
    <row r="74" spans="4:27">
      <c r="D74" s="180" t="s">
        <v>2162</v>
      </c>
      <c r="X74" s="88" t="s">
        <v>5105</v>
      </c>
      <c r="Y74" s="560" t="b">
        <f ca="1">CondiciónAuto.EsNuevo?</f>
        <v>1</v>
      </c>
      <c r="Z74" s="702"/>
      <c r="AA74" s="553" t="s">
        <v>4995</v>
      </c>
    </row>
    <row r="75" spans="4:27">
      <c r="D75" s="31"/>
      <c r="E75" s="152"/>
      <c r="F75" s="152"/>
      <c r="G75" s="152"/>
      <c r="H75" s="32"/>
      <c r="W75" s="702"/>
      <c r="X75" s="702"/>
      <c r="Y75" s="702"/>
      <c r="Z75" s="702"/>
      <c r="AA75" s="703">
        <f t="array" aca="1" ref="AA75" ca="1">SUM(IF(COMBO_INCREMENTO_RC&lt;&gt;0,1))</f>
        <v>3</v>
      </c>
    </row>
    <row r="76" spans="4:27">
      <c r="D76" s="33"/>
      <c r="E76" s="148" t="s">
        <v>2163</v>
      </c>
      <c r="F76" s="16"/>
      <c r="G76" s="16"/>
      <c r="H76" s="71"/>
      <c r="W76" s="702"/>
      <c r="X76" s="553" t="b">
        <v>1</v>
      </c>
      <c r="Y76" s="606" t="b">
        <v>0</v>
      </c>
      <c r="Z76" s="702"/>
      <c r="AA76" s="614" t="s">
        <v>4994</v>
      </c>
    </row>
    <row r="77" spans="4:27">
      <c r="D77" s="33"/>
      <c r="E77" s="822" t="s">
        <v>10931</v>
      </c>
      <c r="F77" s="32"/>
      <c r="G77" s="16"/>
      <c r="H77" s="71"/>
      <c r="W77" s="702"/>
      <c r="X77" s="703" t="str">
        <f>'C. Seguros'!B23</f>
        <v>No</v>
      </c>
      <c r="Y77" s="703" t="str">
        <f>X77</f>
        <v>No</v>
      </c>
      <c r="Z77" s="702"/>
      <c r="AA77" s="703" t="str">
        <f ca="1">INDEX(X77:Y77,,MATCH(OPCION_INCREMENTO_RC,$X$76:$Y$76,0))</f>
        <v>No</v>
      </c>
    </row>
    <row r="78" spans="4:27">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c r="D80" s="33"/>
      <c r="E80" s="824" t="s">
        <v>10928</v>
      </c>
      <c r="F80" s="828" t="e">
        <f ca="1">VLOOKUP(ID_AUTO,C_TARIFAS_RESTRINGIDAS,7,0)</f>
        <v>#N/A</v>
      </c>
      <c r="G80" s="16"/>
      <c r="H80" s="36"/>
    </row>
    <row r="81" spans="1:27">
      <c r="D81" s="33"/>
      <c r="E81" s="826" t="s">
        <v>10932</v>
      </c>
      <c r="F81" s="829">
        <f ca="1">IFERROR(INDEX(F78:F80,Estado.TipoTarifa),PorcBase.TarifaNormal)</f>
        <v>3.4439999999999998E-2</v>
      </c>
      <c r="G81" s="16"/>
      <c r="H81" s="36"/>
      <c r="J81" s="502"/>
    </row>
    <row r="82" spans="1:27">
      <c r="D82" s="33"/>
      <c r="E82" s="16"/>
      <c r="F82" s="16"/>
      <c r="G82" s="34"/>
      <c r="H82" s="36"/>
      <c r="V82" s="678" t="s">
        <v>5100</v>
      </c>
      <c r="W82" s="678"/>
      <c r="X82" s="678"/>
      <c r="Y82" s="678"/>
      <c r="Z82" s="678"/>
      <c r="AA82" s="678" t="s">
        <v>487</v>
      </c>
    </row>
    <row r="83" spans="1:27">
      <c r="D83" s="33"/>
      <c r="E83" s="42" t="s">
        <v>1570</v>
      </c>
      <c r="F83" s="285" t="s">
        <v>2410</v>
      </c>
      <c r="G83" s="123" t="s">
        <v>2224</v>
      </c>
      <c r="H83" s="126"/>
      <c r="W83" s="702"/>
      <c r="X83" s="702"/>
      <c r="Y83" s="702"/>
      <c r="Z83" s="702"/>
      <c r="AA83" s="702"/>
    </row>
    <row r="84" spans="1:27">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c r="D85" s="33"/>
      <c r="E85" s="34"/>
      <c r="F85" s="133">
        <f ca="1">Tarifa_Final</f>
        <v>3.4439999999999998E-2</v>
      </c>
      <c r="G85" s="156"/>
      <c r="H85" s="134" t="s">
        <v>2163</v>
      </c>
      <c r="W85" s="702"/>
      <c r="X85" s="702"/>
      <c r="Y85" s="702"/>
      <c r="Z85" s="702"/>
      <c r="AA85" s="703">
        <f t="array" aca="1" ref="AA85" ca="1">SUM(IF(COMBO_AUTO_SUSTITUTO&lt;&gt;0,1))</f>
        <v>1</v>
      </c>
    </row>
    <row r="86" spans="1:27">
      <c r="D86" s="33"/>
      <c r="E86" s="120"/>
      <c r="F86" s="135">
        <f ca="1">VLOOKUP(ID_AUTO,C_AUTO,7,0)</f>
        <v>2538.4744000000001</v>
      </c>
      <c r="G86" s="169"/>
      <c r="H86" s="136" t="s">
        <v>2164</v>
      </c>
      <c r="W86" s="702"/>
      <c r="X86" s="553" t="b">
        <v>1</v>
      </c>
      <c r="Y86" s="606" t="b">
        <v>0</v>
      </c>
      <c r="Z86" s="702"/>
      <c r="AA86" s="614" t="s">
        <v>4994</v>
      </c>
    </row>
    <row r="87" spans="1:27">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c r="D88" s="33"/>
      <c r="E88" s="120"/>
      <c r="F88" s="129"/>
      <c r="G88" s="169"/>
      <c r="H88" s="170"/>
    </row>
    <row r="89" spans="1:27">
      <c r="D89" s="33"/>
      <c r="E89" s="120"/>
      <c r="F89" s="173" t="s">
        <v>2110</v>
      </c>
      <c r="G89" s="174" t="s">
        <v>2219</v>
      </c>
      <c r="H89" s="175"/>
    </row>
    <row r="90" spans="1:27" s="814" customFormat="1">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c r="A92" s="39"/>
      <c r="D92" s="33"/>
      <c r="E92" s="120"/>
      <c r="F92" s="144" t="s">
        <v>1545</v>
      </c>
      <c r="G92" s="145" t="s">
        <v>3142</v>
      </c>
      <c r="H92" s="132" t="s">
        <v>2166</v>
      </c>
      <c r="X92" s="88" t="s">
        <v>5098</v>
      </c>
      <c r="Y92" s="560" t="b">
        <f ca="1">NOT(Auto.Es3.5T?)</f>
        <v>1</v>
      </c>
      <c r="Z92" s="700"/>
      <c r="AA92" s="553" t="s">
        <v>4995</v>
      </c>
    </row>
    <row r="93" spans="1:27">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c r="A94" s="39"/>
      <c r="D94" s="33"/>
      <c r="E94" s="120"/>
      <c r="F94" s="135" t="b">
        <f ca="1">VLOOKUP(ID_AUTO_SUST,C_SI_NO,4,0)</f>
        <v>1</v>
      </c>
      <c r="G94" s="169"/>
      <c r="H94" s="136" t="s">
        <v>2167</v>
      </c>
      <c r="W94" s="700"/>
      <c r="X94" s="553" t="b">
        <v>1</v>
      </c>
      <c r="Y94" s="606" t="b">
        <v>0</v>
      </c>
      <c r="Z94" s="700"/>
      <c r="AA94" s="614" t="s">
        <v>4994</v>
      </c>
    </row>
    <row r="95" spans="1:27">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c r="D96" s="33"/>
      <c r="E96" s="120"/>
      <c r="F96" s="135" t="b">
        <v>1</v>
      </c>
      <c r="G96" s="169"/>
      <c r="H96" s="136" t="s">
        <v>2167</v>
      </c>
    </row>
    <row r="97" spans="1:27">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c r="D99" s="33" t="s">
        <v>1572</v>
      </c>
      <c r="E99" s="165">
        <f ca="1">CHOOSE(ID_CONDICION_AUTO,F99,G99)</f>
        <v>0</v>
      </c>
      <c r="F99" s="146">
        <f ca="1">IF(F100, VLOOKUP(ID_AUTO,C_AUTO,F101,0), 0)</f>
        <v>0</v>
      </c>
      <c r="G99" s="147">
        <v>0</v>
      </c>
      <c r="H99" s="128"/>
      <c r="W99" s="702"/>
    </row>
    <row r="100" spans="1:27">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c r="D105" s="33"/>
      <c r="E105" s="35"/>
      <c r="F105" s="308">
        <f ca="1">VLOOKUP(ID_AUTO,C_AUTO,17)</f>
        <v>336.67839999999967</v>
      </c>
      <c r="G105" s="158"/>
      <c r="H105" s="310" t="s">
        <v>3627</v>
      </c>
    </row>
    <row r="106" spans="1:27">
      <c r="D106" s="33"/>
      <c r="E106" s="16"/>
      <c r="F106" s="308">
        <f ca="1">MIN(F107,F108)</f>
        <v>1</v>
      </c>
      <c r="G106" s="16"/>
      <c r="H106" s="310" t="s">
        <v>3628</v>
      </c>
    </row>
    <row r="107" spans="1:27">
      <c r="D107" s="33"/>
      <c r="E107" s="16"/>
      <c r="F107" s="308">
        <f ca="1">MultianualFactorAuto</f>
        <v>1</v>
      </c>
      <c r="G107" s="16"/>
      <c r="H107" s="310" t="s">
        <v>3629</v>
      </c>
      <c r="V107" s="678" t="s">
        <v>2097</v>
      </c>
      <c r="W107" s="678"/>
      <c r="X107" s="678"/>
      <c r="Y107" s="678"/>
      <c r="Z107" s="678"/>
      <c r="AA107" s="678"/>
    </row>
    <row r="108" spans="1:27">
      <c r="A108" s="39"/>
      <c r="D108" s="33"/>
      <c r="E108" s="16"/>
      <c r="F108" s="308">
        <f ca="1">VLOOKUP(VLOOKUP("Factor 24 Meses",C_FACTOR_MULTIANUAL_DESC,2),C_FACTOR_MULTIANUAL,4)</f>
        <v>1.9689000000000001</v>
      </c>
      <c r="G108" s="16"/>
      <c r="H108" s="310" t="s">
        <v>3630</v>
      </c>
      <c r="W108" s="702"/>
      <c r="X108" s="702"/>
      <c r="Y108" s="702"/>
      <c r="Z108" s="702"/>
      <c r="AA108" s="702"/>
    </row>
    <row r="109" spans="1:27">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c r="A111" s="39"/>
      <c r="D111" s="33" t="s">
        <v>2167</v>
      </c>
      <c r="E111" s="70" t="b">
        <f ca="1">ValorFactura &lt;&gt; 0</f>
        <v>1</v>
      </c>
      <c r="F111" s="16"/>
      <c r="G111" s="16"/>
      <c r="H111" s="71"/>
      <c r="W111" s="702"/>
      <c r="X111" s="553" t="s">
        <v>1626</v>
      </c>
      <c r="Y111" s="606" t="s">
        <v>1627</v>
      </c>
      <c r="Z111" s="702"/>
      <c r="AA111" s="614" t="s">
        <v>4994</v>
      </c>
    </row>
    <row r="112" spans="1:27">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c r="A113" s="39"/>
      <c r="D113" s="152"/>
      <c r="E113" s="153"/>
      <c r="F113" s="152"/>
      <c r="G113" s="152"/>
      <c r="H113" s="66"/>
      <c r="W113" s="702"/>
      <c r="X113" s="703">
        <f ca="1">'C. Auto'!B6</f>
        <v>2016</v>
      </c>
      <c r="Y113" s="703">
        <f ca="1">'C. Auto'!B7</f>
        <v>2015</v>
      </c>
      <c r="Z113" s="702"/>
      <c r="AA113" s="703">
        <f ca="1">INDEX(X113:Y113,,MATCH(OPCION_MODELO,$X$111:$Y$111,0))</f>
        <v>2016</v>
      </c>
    </row>
    <row r="114" spans="1:27">
      <c r="A114" s="39"/>
      <c r="D114" s="148" t="s">
        <v>1573</v>
      </c>
      <c r="E114" s="118" t="s">
        <v>1570</v>
      </c>
      <c r="F114" s="16"/>
      <c r="G114" s="16"/>
      <c r="H114" s="34"/>
      <c r="X114" s="727">
        <f ca="1">'C. Auto'!B7</f>
        <v>2015</v>
      </c>
      <c r="Y114" s="703">
        <f ca="1">'C. Auto'!B8</f>
        <v>2014</v>
      </c>
      <c r="AA114" s="703">
        <f ca="1">INDEX(X114:Y114,,MATCH(OPCION_MODELO,$X$111:$Y$111,0))</f>
        <v>2015</v>
      </c>
    </row>
    <row r="115" spans="1:27">
      <c r="A115" s="39"/>
      <c r="D115" s="31" t="s">
        <v>429</v>
      </c>
      <c r="E115" s="115">
        <f ca="1">ID_TIPO_PERSONA</f>
        <v>1</v>
      </c>
      <c r="F115" s="16"/>
      <c r="G115" s="16"/>
      <c r="H115" s="34"/>
      <c r="X115" s="415"/>
      <c r="Y115" s="703">
        <f ca="1">'C. Auto'!B9</f>
        <v>2013</v>
      </c>
      <c r="AA115" s="703">
        <f ca="1">INDEX(X115:Y115,,MATCH(OPCION_MODELO,$X$111:$Y$111,0))</f>
        <v>0</v>
      </c>
    </row>
    <row r="116" spans="1:27">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c r="A117" s="39"/>
      <c r="D117" s="33" t="s">
        <v>4943</v>
      </c>
      <c r="E117" s="71" t="str">
        <f ca="1">VLOOKUP(ID_TIPO_PERSONA,C_TIPO_PERSONA,6,0)</f>
        <v>PF</v>
      </c>
      <c r="F117" s="16"/>
      <c r="G117" s="16"/>
      <c r="H117" s="34"/>
    </row>
    <row r="118" spans="1:27">
      <c r="A118" s="39"/>
      <c r="D118" s="127" t="s">
        <v>2173</v>
      </c>
      <c r="E118" s="71" t="b">
        <f ca="1">VLOOKUP(ID_TIPO_PERSONA,C_TIPO_PERSONA,4,0)</f>
        <v>1</v>
      </c>
      <c r="F118" s="16"/>
      <c r="G118" s="16"/>
      <c r="H118" s="34"/>
      <c r="AA118" s="703"/>
    </row>
    <row r="119" spans="1:27">
      <c r="A119" s="39"/>
      <c r="D119" s="37" t="s">
        <v>2172</v>
      </c>
      <c r="E119" s="72" t="b">
        <f ca="1">VLOOKUP(ID_TIPO_PERSONA,C_TIPO_PERSONA,5,0)</f>
        <v>1</v>
      </c>
      <c r="F119" s="16"/>
      <c r="G119" s="16"/>
      <c r="H119" s="34"/>
      <c r="V119" s="678" t="s">
        <v>436</v>
      </c>
      <c r="W119" s="678"/>
      <c r="X119" s="678"/>
      <c r="Y119" s="678"/>
      <c r="Z119" s="678"/>
      <c r="AA119" s="678"/>
    </row>
    <row r="120" spans="1:27">
      <c r="A120" s="39"/>
      <c r="D120" s="16"/>
      <c r="E120" s="35"/>
    </row>
    <row r="121" spans="1:27">
      <c r="A121" s="39"/>
      <c r="D121" s="180" t="s">
        <v>1614</v>
      </c>
      <c r="E121" s="121"/>
      <c r="K121" s="12"/>
      <c r="V121" s="576" t="s">
        <v>5118</v>
      </c>
      <c r="W121" s="577"/>
      <c r="X121" s="577"/>
      <c r="Y121" s="577"/>
    </row>
    <row r="122" spans="1:27">
      <c r="A122" s="39"/>
      <c r="D122" s="40" t="s">
        <v>394</v>
      </c>
      <c r="E122" s="181">
        <f xml:space="preserve"> CONST_Cuota_Base_Vida</f>
        <v>4.8300000000000001E-3</v>
      </c>
      <c r="V122" s="608" t="s">
        <v>5116</v>
      </c>
    </row>
    <row r="123" spans="1:27">
      <c r="A123" s="39"/>
      <c r="D123" s="127" t="s">
        <v>395</v>
      </c>
      <c r="E123" s="182">
        <f xml:space="preserve"> CONST_Constante_Base_Vida</f>
        <v>350</v>
      </c>
      <c r="V123"/>
      <c r="W123" s="553" t="s">
        <v>5110</v>
      </c>
      <c r="X123" s="553" t="s">
        <v>5125</v>
      </c>
      <c r="Y123" s="553" t="s">
        <v>5106</v>
      </c>
    </row>
    <row r="124" spans="1:27">
      <c r="A124" s="39"/>
      <c r="D124" s="33" t="s">
        <v>2169</v>
      </c>
      <c r="E124" s="183">
        <f ca="1" xml:space="preserve"> ( MontoFinanciarAuto * Porcentaje_Cuota_Base_Vida ) * MultianualFactorVida</f>
        <v>652.05000000000007</v>
      </c>
      <c r="V124"/>
      <c r="W124" s="705" t="s">
        <v>1567</v>
      </c>
      <c r="X124" s="685" t="s">
        <v>2110</v>
      </c>
      <c r="Y124" s="685" t="s">
        <v>5107</v>
      </c>
    </row>
    <row r="125" spans="1:27">
      <c r="D125" s="127" t="s">
        <v>396</v>
      </c>
      <c r="E125" s="183">
        <f xml:space="preserve"> Constante_Base_Vida</f>
        <v>350</v>
      </c>
      <c r="V125"/>
      <c r="W125" s="705" t="s">
        <v>1568</v>
      </c>
      <c r="X125" s="711" t="s">
        <v>5111</v>
      </c>
      <c r="Y125" s="711" t="s">
        <v>5126</v>
      </c>
    </row>
    <row r="126" spans="1:27">
      <c r="D126" s="127" t="s">
        <v>2167</v>
      </c>
      <c r="E126" s="36" t="b">
        <f ca="1">AND(TipoPersona.AplicaSeguroVida?, ValorFactura &lt;&gt;0)</f>
        <v>1</v>
      </c>
      <c r="V126"/>
      <c r="W126" s="705"/>
      <c r="X126" s="705"/>
      <c r="Y126" s="705"/>
    </row>
    <row r="127" spans="1:27">
      <c r="D127" s="75" t="s">
        <v>1614</v>
      </c>
      <c r="E127" s="302">
        <f ca="1">( VidaComponenteConMulti + VidaComponenteSinMulti ) * VidaAplica?</f>
        <v>1002.0500000000001</v>
      </c>
      <c r="V127" s="714" t="s">
        <v>5119</v>
      </c>
    </row>
    <row r="128" spans="1:27">
      <c r="V128" s="553" t="s">
        <v>5112</v>
      </c>
      <c r="W128" s="553" t="s">
        <v>5117</v>
      </c>
      <c r="X128" s="553" t="s">
        <v>5125</v>
      </c>
      <c r="Y128" s="553" t="s">
        <v>5106</v>
      </c>
    </row>
    <row r="129" spans="1:27" s="665" customFormat="1">
      <c r="D129" s="180" t="s">
        <v>424</v>
      </c>
      <c r="E129" s="121"/>
      <c r="F129"/>
      <c r="G129"/>
      <c r="H129" s="12"/>
      <c r="N129" s="692"/>
      <c r="T129" s="674"/>
      <c r="V129" s="705" t="b">
        <v>1</v>
      </c>
      <c r="W129" s="705" t="b">
        <v>0</v>
      </c>
      <c r="X129" s="712" t="s">
        <v>5108</v>
      </c>
      <c r="Y129" s="712" t="s">
        <v>5108</v>
      </c>
      <c r="Z129"/>
      <c r="AA129"/>
    </row>
    <row r="130" spans="1:27">
      <c r="A130" s="39"/>
      <c r="D130" s="184" t="s">
        <v>397</v>
      </c>
      <c r="E130" s="303">
        <f ca="1" xml:space="preserve"> PrimaDaños + PrimaVida</f>
        <v>7332.9422599999998</v>
      </c>
      <c r="K130" s="507"/>
      <c r="L130" s="39"/>
      <c r="V130" s="705" t="b">
        <v>1</v>
      </c>
      <c r="W130" s="705" t="b">
        <v>1</v>
      </c>
      <c r="X130" s="713" t="s">
        <v>5113</v>
      </c>
      <c r="Y130" s="713" t="s">
        <v>5109</v>
      </c>
    </row>
    <row r="131" spans="1:27">
      <c r="A131" s="39"/>
      <c r="J131" s="39"/>
      <c r="K131" s="39"/>
      <c r="L131" s="39"/>
      <c r="V131" s="705" t="b">
        <v>0</v>
      </c>
      <c r="W131" s="705" t="b">
        <v>0</v>
      </c>
      <c r="X131" s="685" t="s">
        <v>5114</v>
      </c>
      <c r="Y131" s="685" t="s">
        <v>5107</v>
      </c>
    </row>
    <row r="132" spans="1:27">
      <c r="A132" s="39"/>
      <c r="D132" s="180" t="s">
        <v>432</v>
      </c>
      <c r="E132" s="121"/>
      <c r="J132" s="39"/>
      <c r="K132" s="39"/>
      <c r="L132" s="39"/>
      <c r="V132" s="705" t="b">
        <v>0</v>
      </c>
      <c r="W132" s="705" t="b">
        <v>1</v>
      </c>
      <c r="X132" s="713" t="s">
        <v>5115</v>
      </c>
      <c r="Y132" s="713" t="s">
        <v>5109</v>
      </c>
    </row>
    <row r="133" spans="1:27">
      <c r="A133" s="39"/>
      <c r="D133" s="33" t="s">
        <v>433</v>
      </c>
      <c r="E133" s="696">
        <f>TASA_IVA</f>
        <v>0.16</v>
      </c>
      <c r="J133" s="39"/>
      <c r="K133" s="39"/>
      <c r="L133" s="39"/>
      <c r="V133"/>
    </row>
    <row r="134" spans="1:27">
      <c r="A134" s="39"/>
      <c r="D134" s="33" t="s">
        <v>404</v>
      </c>
      <c r="E134" s="463">
        <f>IvaNominal - CONST_DESCUENTO_IVA_INTERES</f>
        <v>0.12</v>
      </c>
      <c r="J134" s="39"/>
      <c r="K134" s="39"/>
      <c r="L134" s="39"/>
      <c r="V134" s="278" t="s">
        <v>5120</v>
      </c>
      <c r="W134" s="265"/>
      <c r="X134" s="265"/>
      <c r="Y134" s="265"/>
    </row>
    <row r="135" spans="1:27">
      <c r="A135" s="39"/>
      <c r="D135" s="37" t="s">
        <v>405</v>
      </c>
      <c r="E135" s="185">
        <f ca="1">IvaDeflactada * TipoPersona.AplicaIvaIntereses?</f>
        <v>0.12</v>
      </c>
      <c r="J135" s="39"/>
      <c r="K135" s="39"/>
      <c r="L135" s="39"/>
      <c r="V135"/>
    </row>
    <row r="136" spans="1:27">
      <c r="J136" s="39"/>
      <c r="K136" s="39"/>
      <c r="L136" s="39"/>
      <c r="V136" s="608" t="s">
        <v>5121</v>
      </c>
      <c r="X136" s="553" t="s">
        <v>5110</v>
      </c>
      <c r="Y136" s="553" t="s">
        <v>5106</v>
      </c>
    </row>
    <row r="137" spans="1:27">
      <c r="D137" s="148" t="s">
        <v>4785</v>
      </c>
      <c r="E137" s="118" t="s">
        <v>1570</v>
      </c>
      <c r="J137" s="39"/>
      <c r="K137" s="39"/>
      <c r="L137" s="39"/>
      <c r="V137"/>
      <c r="X137" s="705" t="str">
        <f>SELECCION_INDEMN_AÑO1</f>
        <v>No</v>
      </c>
      <c r="Y137" s="705" t="str">
        <f>DGET(TABLA_SETS_PLAZOS_NUEVOS,Y136,X136:X137)</f>
        <v>Completo</v>
      </c>
    </row>
    <row r="138" spans="1:27">
      <c r="D138" s="31" t="s">
        <v>2167</v>
      </c>
      <c r="E138" s="32" t="b">
        <f>SELECCION_GTIAEXT="Financiado"</f>
        <v>1</v>
      </c>
      <c r="H138"/>
      <c r="J138" s="39"/>
      <c r="K138" s="508"/>
      <c r="L138" s="39"/>
      <c r="V138"/>
    </row>
    <row r="139" spans="1:27">
      <c r="D139" s="37" t="s">
        <v>4786</v>
      </c>
      <c r="E139" s="72">
        <f ca="1">CapturaGtiaExt * Valor_Garantía_Extendida.Aplica?</f>
        <v>6000</v>
      </c>
      <c r="J139" s="39"/>
      <c r="K139" s="39"/>
      <c r="L139" s="39"/>
      <c r="V139" s="608" t="s">
        <v>5122</v>
      </c>
      <c r="W139" s="553" t="s">
        <v>5112</v>
      </c>
      <c r="X139" s="553" t="s">
        <v>5117</v>
      </c>
      <c r="Y139" s="553" t="s">
        <v>5106</v>
      </c>
    </row>
    <row r="140" spans="1:27">
      <c r="J140" s="39"/>
      <c r="K140" s="39"/>
      <c r="L140" s="39"/>
      <c r="V140"/>
      <c r="W140" t="b">
        <f ca="1">TipoPersona.Código="PM"</f>
        <v>0</v>
      </c>
      <c r="X140" t="b">
        <f ca="1">Modelo.AñosAntiguedad&gt;=CONST_AÑOS_PLAZOS_LIMITADOS</f>
        <v>0</v>
      </c>
      <c r="Y140" s="705" t="str">
        <f ca="1">DGET(TABLA_SETS_PLAZOS_SEMINUEVOS,Y139,W139:X140)</f>
        <v>Completo</v>
      </c>
    </row>
    <row r="141" spans="1:27">
      <c r="D141" s="180" t="s">
        <v>398</v>
      </c>
      <c r="E141" s="121"/>
      <c r="J141" s="39"/>
      <c r="K141" s="39"/>
      <c r="L141" s="39"/>
      <c r="V141"/>
    </row>
    <row r="142" spans="1:27">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row>
    <row r="145" spans="2:27">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c r="D146" s="65" t="s">
        <v>401</v>
      </c>
      <c r="E146" s="671">
        <f ca="1" xml:space="preserve"> PrimaTotalSeguros * Seguro.EsFinanciado?</f>
        <v>7332.9422599999998</v>
      </c>
      <c r="F146" s="33"/>
      <c r="G146" s="16"/>
      <c r="J146" s="39"/>
      <c r="V146"/>
      <c r="AA146" s="705">
        <f t="array" aca="1" ref="AA146" ca="1">SUM(IF(COMBO_PLAZO&lt;&gt;0,1))</f>
        <v>5</v>
      </c>
    </row>
    <row r="147" spans="2:27">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c r="D150" s="65" t="s">
        <v>403</v>
      </c>
      <c r="E150" s="93">
        <f ca="1">MontoFinanciarTotal * CapturaPorcentajeComisionApertura * (1+IvaNominal)</f>
        <v>4301.6553255400004</v>
      </c>
      <c r="F150" s="33"/>
      <c r="G150" s="16"/>
      <c r="V150" s="705" t="s">
        <v>1554</v>
      </c>
      <c r="W150" s="705" t="s">
        <v>1555</v>
      </c>
      <c r="X150" s="705" t="s">
        <v>1554</v>
      </c>
      <c r="Y150" s="705" t="s">
        <v>1554</v>
      </c>
      <c r="AA150" s="705" t="str">
        <f ca="1">INDEX(V150:Y150,,MATCH(OPCION_PLAZO,$V$147:$Y$147,0))</f>
        <v>36 Meses</v>
      </c>
    </row>
    <row r="151" spans="2:27">
      <c r="B151" s="665"/>
      <c r="C151" s="665"/>
      <c r="F151" s="299"/>
      <c r="G151" s="506"/>
      <c r="I151" s="665"/>
      <c r="J151" s="665"/>
      <c r="V151" s="705" t="s">
        <v>1555</v>
      </c>
      <c r="W151" s="705" t="s">
        <v>1556</v>
      </c>
      <c r="X151" s="705" t="s">
        <v>1555</v>
      </c>
      <c r="Y151" s="705"/>
      <c r="AA151" s="705" t="str">
        <f ca="1">INDEX(V151:Y151,,MATCH(OPCION_PLAZO,$V$147:$Y$147,0))</f>
        <v>48 Meses</v>
      </c>
    </row>
    <row r="152" spans="2:27">
      <c r="B152" s="665"/>
      <c r="C152" s="665"/>
      <c r="D152" s="180" t="s">
        <v>437</v>
      </c>
      <c r="E152" s="121"/>
      <c r="I152" s="665"/>
      <c r="J152" s="665"/>
      <c r="V152" s="705" t="s">
        <v>1556</v>
      </c>
      <c r="X152" s="705"/>
      <c r="Y152" s="705"/>
      <c r="AA152" s="705" t="str">
        <f ca="1">INDEX(V152:Y152,,MATCH(OPCION_PLAZO,$V$147:$Y$147,0))</f>
        <v>60 Meses</v>
      </c>
    </row>
    <row r="153" spans="2:27">
      <c r="B153" s="665"/>
      <c r="C153" s="665"/>
      <c r="D153" s="37" t="s">
        <v>437</v>
      </c>
      <c r="E153" s="186">
        <f ca="1">Tasa_Interés</f>
        <v>0.129</v>
      </c>
      <c r="I153" s="665"/>
      <c r="J153" s="665"/>
    </row>
    <row r="154" spans="2:27">
      <c r="AA154" s="705"/>
    </row>
    <row r="155" spans="2:27">
      <c r="D155" s="148" t="s">
        <v>406</v>
      </c>
      <c r="E155" s="118"/>
      <c r="H155"/>
      <c r="V155" s="678" t="s">
        <v>4953</v>
      </c>
      <c r="W155" s="678"/>
      <c r="X155" s="678"/>
      <c r="Y155" s="678"/>
      <c r="Z155" s="678"/>
      <c r="AA155" s="678"/>
    </row>
    <row r="156" spans="2:27">
      <c r="D156" s="31" t="s">
        <v>1596</v>
      </c>
      <c r="E156" s="115">
        <f ca="1">VLOOKUP(ID_PLAZO,C_PLAZO,4,0)</f>
        <v>12</v>
      </c>
      <c r="F156" s="287"/>
      <c r="H156"/>
    </row>
    <row r="157" spans="2:27">
      <c r="D157" s="33" t="s">
        <v>1609</v>
      </c>
      <c r="E157" s="71">
        <f ca="1">VLOOKUP(ID_FRECUENCIA,C_FRECUENCIA,5,0)</f>
        <v>12</v>
      </c>
      <c r="X157" s="88" t="s">
        <v>11079</v>
      </c>
      <c r="Y157" s="560" t="b">
        <f>SELECCION_TIPO_TARIFA = T_T_PREFERENTE</f>
        <v>0</v>
      </c>
      <c r="Z157" s="920"/>
      <c r="AA157" s="553" t="s">
        <v>4995</v>
      </c>
    </row>
    <row r="158" spans="2:27">
      <c r="D158" s="75" t="s">
        <v>1630</v>
      </c>
      <c r="E158" s="72">
        <f ca="1" xml:space="preserve"> PlazoEnMeses / CONST_MESES_EN_AÑO * PeriodosPorAño</f>
        <v>12</v>
      </c>
      <c r="X158" s="920"/>
      <c r="Y158" s="920"/>
      <c r="Z158" s="920"/>
      <c r="AA158" s="921">
        <f t="array" ref="AA158">SUM(IF(COMBO_CONDICION_AUTO&lt;&gt;0,1))</f>
        <v>2</v>
      </c>
    </row>
    <row r="159" spans="2:27">
      <c r="X159" s="553" t="b">
        <v>0</v>
      </c>
      <c r="Y159" s="606" t="b">
        <v>1</v>
      </c>
      <c r="Z159" s="920"/>
      <c r="AA159" s="614" t="s">
        <v>4994</v>
      </c>
    </row>
    <row r="160" spans="2:27">
      <c r="D160" s="180" t="s">
        <v>409</v>
      </c>
      <c r="E160" s="121"/>
      <c r="X160" s="921" t="s">
        <v>1626</v>
      </c>
      <c r="Y160" s="921" t="s">
        <v>1626</v>
      </c>
      <c r="Z160" s="920"/>
      <c r="AA160" s="921" t="str">
        <f>INDEX(X160:Y160,,MATCH(OPCION_CONDICION_AUTO,$X$159:$Y$159,0))</f>
        <v>Nuevo</v>
      </c>
    </row>
    <row r="161" spans="4:27">
      <c r="D161" s="40" t="s">
        <v>1632</v>
      </c>
      <c r="E161" s="667">
        <f ca="1">PPMT( TasaInteres/PeriodosPorAño * (1+IvaParaIntereses), 1, NumeroDePagos, -MontoFinanciarAutoYGtiaExt )</f>
        <v>10992.084443555425</v>
      </c>
      <c r="F161" s="665"/>
      <c r="X161" s="921" t="s">
        <v>1627</v>
      </c>
      <c r="Y161" s="921"/>
      <c r="Z161" s="920"/>
      <c r="AA161" s="921" t="str">
        <f>INDEX(X161:Y161,,MATCH(OPCION_CONDICION_AUTO,$X$159:$Y$159,0))</f>
        <v>Seminuevo</v>
      </c>
    </row>
    <row r="162" spans="4:27">
      <c r="D162" s="75" t="s">
        <v>1633</v>
      </c>
      <c r="E162" s="668">
        <f ca="1">IPMT( TasaInteres/CONST_DIAS_EN_AÑO*FREC.DiasPorPeriodo * (1+IvaParaIntereses), 1, NumeroDePagos, -MontoFinanciarAutoYGtiaExt )</f>
        <v>1697.64</v>
      </c>
      <c r="F162" s="665"/>
      <c r="X162" s="921"/>
      <c r="Y162" s="921"/>
      <c r="Z162" s="920"/>
      <c r="AA162" s="921"/>
    </row>
    <row r="163" spans="4:27">
      <c r="D163" s="184" t="s">
        <v>2102</v>
      </c>
      <c r="E163" s="187">
        <f ca="1">SUM(E161:E162)</f>
        <v>12689.724443555424</v>
      </c>
      <c r="G163" s="665"/>
      <c r="H163" s="666"/>
      <c r="X163" s="415"/>
      <c r="Z163" s="920"/>
      <c r="AA163" s="921"/>
    </row>
    <row r="164" spans="4:27">
      <c r="D164" s="40" t="s">
        <v>5058</v>
      </c>
      <c r="E164" s="115">
        <f ca="1">IF(Seguro.EsMultianual?, PlazoEnMeses, CONST_MESES_EN_AÑO)</f>
        <v>12</v>
      </c>
      <c r="G164" s="665"/>
      <c r="H164" s="666"/>
      <c r="X164" s="415"/>
      <c r="Z164" s="920"/>
      <c r="AA164" s="921"/>
    </row>
    <row r="165" spans="4:27">
      <c r="D165" s="127" t="s">
        <v>5059</v>
      </c>
      <c r="E165" s="71">
        <f ca="1">E164 / CONST_MESES_EN_AÑO * PeriodosPorAño</f>
        <v>12</v>
      </c>
      <c r="F165" s="665"/>
    </row>
    <row r="166" spans="4:27">
      <c r="D166" s="127" t="s">
        <v>1632</v>
      </c>
      <c r="E166" s="669">
        <f ca="1">PPMT( TasaInteres/PeriodosPorAño * (1+IvaParaIntereses), 1, E165, -MontoFinanciarSeguros )</f>
        <v>571.66184781302229</v>
      </c>
      <c r="F166" s="665"/>
    </row>
    <row r="167" spans="4:27">
      <c r="D167" s="127" t="s">
        <v>1633</v>
      </c>
      <c r="E167" s="669">
        <f ca="1">IPMT( TasaInteres/CONST_DIAS_EN_AÑO*FREC.DiasPorPeriodo * (1+IvaParaIntereses), 1, E165, -MontoFinanciarSeguros )</f>
        <v>88.288624810399995</v>
      </c>
      <c r="F167" s="665"/>
      <c r="G167" s="665"/>
      <c r="H167" s="666"/>
    </row>
    <row r="168" spans="4:27">
      <c r="D168" s="184" t="s">
        <v>410</v>
      </c>
      <c r="E168" s="670">
        <f ca="1">SUM(E166:E167)</f>
        <v>659.95047262342223</v>
      </c>
      <c r="G168" s="665"/>
      <c r="H168" s="666"/>
    </row>
    <row r="169" spans="4:27">
      <c r="D169" s="184" t="s">
        <v>411</v>
      </c>
      <c r="E169" s="188">
        <f ca="1" xml:space="preserve"> PagoAuto + PagoSeguro</f>
        <v>13349.674916178847</v>
      </c>
      <c r="G169" s="665"/>
      <c r="H169" s="666"/>
    </row>
    <row r="171" spans="4:27">
      <c r="D171" s="180" t="s">
        <v>417</v>
      </c>
      <c r="E171" s="121"/>
      <c r="F171" s="709" t="s">
        <v>3166</v>
      </c>
    </row>
    <row r="172" spans="4:27">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27">
      <c r="D173" s="191" t="s">
        <v>1691</v>
      </c>
      <c r="E173" s="70" t="str">
        <f ca="1">TEXT(MontoFinanciarSeguros,"$#,##0.00")</f>
        <v>$7,332.94</v>
      </c>
      <c r="G173" s="703">
        <f ca="1">IF(OR(ID_AUTO_SUST=1,ID_INCREMENTO_RC&gt;0,ID_INDEMN_AÑO1&gt;1,ID_SERVICIO_PREMIUM=1),1,0)</f>
        <v>1</v>
      </c>
      <c r="H173" s="709" t="s">
        <v>4066</v>
      </c>
    </row>
    <row r="174" spans="4:27">
      <c r="D174" s="191" t="s">
        <v>1692</v>
      </c>
      <c r="E174" s="204" t="s">
        <v>4065</v>
      </c>
      <c r="F174" s="204" t="s">
        <v>3622</v>
      </c>
      <c r="H174" t="s">
        <v>3169</v>
      </c>
    </row>
    <row r="175" spans="4:27">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27">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0" t="s">
        <v>5605</v>
      </c>
    </row>
    <row r="2" spans="1:5" ht="15.75" thickBot="1"/>
    <row r="3" spans="1:5" ht="19.5">
      <c r="A3" s="895" t="s">
        <v>7</v>
      </c>
      <c r="B3" s="896" t="s">
        <v>5606</v>
      </c>
      <c r="C3" s="897"/>
      <c r="D3" s="897"/>
      <c r="E3" s="897"/>
    </row>
    <row r="4" spans="1:5">
      <c r="A4" s="787" t="s">
        <v>5012</v>
      </c>
    </row>
    <row r="6" spans="1:5">
      <c r="A6" s="798" t="s">
        <v>4960</v>
      </c>
      <c r="B6" s="797"/>
    </row>
    <row r="7" spans="1:5">
      <c r="A7" s="782" t="s">
        <v>4953</v>
      </c>
      <c r="B7" s="784" t="str">
        <f ca="1">CondiciónAuto.Descripcion</f>
        <v>Nuevo</v>
      </c>
    </row>
    <row r="8" spans="1:5">
      <c r="A8" s="782" t="s">
        <v>4947</v>
      </c>
      <c r="B8" s="784" t="str">
        <f>TTAR.Código</f>
        <v>T.T.TRAD</v>
      </c>
    </row>
    <row r="9" spans="1:5">
      <c r="A9" s="782" t="s">
        <v>1573</v>
      </c>
      <c r="B9" s="784" t="str">
        <f ca="1">TipoPersona.Código</f>
        <v>PF</v>
      </c>
    </row>
    <row r="11" spans="1:5">
      <c r="A11" s="792" t="s">
        <v>4972</v>
      </c>
      <c r="B11" s="791" t="s">
        <v>487</v>
      </c>
      <c r="C11" s="781" t="s">
        <v>5607</v>
      </c>
      <c r="D11" s="781" t="s">
        <v>5608</v>
      </c>
      <c r="E11" s="781" t="s">
        <v>5611</v>
      </c>
    </row>
    <row r="12" spans="1:5">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75" thickBot="1"/>
    <row r="15" spans="1:5" ht="19.5">
      <c r="A15" s="895" t="s">
        <v>437</v>
      </c>
      <c r="B15" s="898" t="s">
        <v>11015</v>
      </c>
      <c r="C15" s="897"/>
      <c r="D15" s="897"/>
      <c r="E15" s="897"/>
    </row>
    <row r="16" spans="1:5">
      <c r="A16" s="787" t="s">
        <v>11029</v>
      </c>
      <c r="B16" s="879"/>
    </row>
    <row r="17" spans="1:5">
      <c r="A17" s="879"/>
      <c r="B17" s="879"/>
    </row>
    <row r="18" spans="1:5">
      <c r="A18" s="798" t="s">
        <v>4960</v>
      </c>
      <c r="B18" s="797"/>
    </row>
    <row r="19" spans="1:5">
      <c r="A19" s="879" t="s">
        <v>4947</v>
      </c>
      <c r="B19" s="316" t="str">
        <f>TTAR.Código</f>
        <v>T.T.TRAD</v>
      </c>
    </row>
    <row r="20" spans="1:5">
      <c r="A20" s="879" t="s">
        <v>4954</v>
      </c>
      <c r="B20" s="880" t="b">
        <f ca="1">Tasa_Reducida?</f>
        <v>0</v>
      </c>
    </row>
    <row r="21" spans="1:5">
      <c r="A21" s="879" t="s">
        <v>11014</v>
      </c>
      <c r="B21" s="565">
        <f>SELECCION_TASA_PREAUT</f>
        <v>9.9000000000000005E-2</v>
      </c>
    </row>
    <row r="23" spans="1:5">
      <c r="A23" s="792" t="s">
        <v>4972</v>
      </c>
      <c r="B23" s="791"/>
      <c r="C23" s="881" t="s">
        <v>5607</v>
      </c>
      <c r="D23" s="881" t="s">
        <v>5608</v>
      </c>
      <c r="E23" s="881" t="s">
        <v>5611</v>
      </c>
    </row>
    <row r="24" spans="1:5">
      <c r="A24" s="879" t="s">
        <v>11016</v>
      </c>
      <c r="B24" s="565">
        <f ca="1">TASA!o.Tasa_Interés_Anual</f>
        <v>0.129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O15"/>
  <sheetViews>
    <sheetView zoomScale="70" zoomScaleNormal="70" workbookViewId="0"/>
  </sheetViews>
  <sheetFormatPr defaultColWidth="9.140625" defaultRowHeight="15"/>
  <cols>
    <col min="1" max="1" width="16.28515625" style="782" customWidth="1"/>
    <col min="2" max="2" width="18.28515625" style="782" customWidth="1"/>
    <col min="3" max="3" width="1.85546875" style="779" customWidth="1"/>
    <col min="4" max="4" width="19.140625" style="779" customWidth="1"/>
    <col min="5" max="5" width="16.85546875" style="779" customWidth="1"/>
    <col min="6" max="6" width="12.5703125" style="779" customWidth="1"/>
    <col min="7" max="7" width="12.42578125" style="779" customWidth="1"/>
    <col min="8" max="8" width="15.7109375" style="917" customWidth="1"/>
    <col min="9" max="9" width="21.7109375" style="871" customWidth="1"/>
    <col min="10" max="10" width="1.85546875" style="782" customWidth="1"/>
    <col min="11" max="11" width="27.140625" style="782" customWidth="1"/>
    <col min="12" max="12" width="16.42578125" style="782" customWidth="1"/>
    <col min="13" max="13" width="1.85546875" style="782" customWidth="1"/>
    <col min="14" max="14" width="28.85546875" style="782" customWidth="1"/>
    <col min="15" max="15" width="16.42578125" style="782" customWidth="1"/>
    <col min="16" max="16384" width="9.140625" style="782"/>
  </cols>
  <sheetData>
    <row r="1" spans="1:15" ht="19.5">
      <c r="A1" s="799" t="s">
        <v>7</v>
      </c>
    </row>
    <row r="2" spans="1:15">
      <c r="A2" s="787" t="s">
        <v>11078</v>
      </c>
    </row>
    <row r="4" spans="1:15">
      <c r="A4" s="798" t="s">
        <v>4960</v>
      </c>
      <c r="B4" s="797"/>
      <c r="C4" s="779" t="s">
        <v>5604</v>
      </c>
      <c r="D4" s="796" t="s">
        <v>434</v>
      </c>
      <c r="E4" s="796"/>
      <c r="F4" s="796"/>
      <c r="G4" s="795"/>
      <c r="H4" s="795"/>
      <c r="I4" s="795"/>
      <c r="J4" s="782" t="s">
        <v>5604</v>
      </c>
      <c r="K4" s="794" t="s">
        <v>425</v>
      </c>
      <c r="L4" s="793"/>
      <c r="M4" s="782" t="s">
        <v>5604</v>
      </c>
      <c r="N4" s="792" t="s">
        <v>4972</v>
      </c>
      <c r="O4" s="791"/>
    </row>
    <row r="5" spans="1:15">
      <c r="A5" s="782" t="s">
        <v>4953</v>
      </c>
      <c r="B5" s="784" t="str">
        <f ca="1">GLUE!B7</f>
        <v>Nuevo</v>
      </c>
      <c r="D5" s="277"/>
      <c r="E5" s="277"/>
      <c r="L5" s="784"/>
      <c r="N5" s="782" t="s">
        <v>7</v>
      </c>
      <c r="O5" s="790">
        <f ca="1">Porcentaje_Mínimo_Enganche</f>
        <v>0.1</v>
      </c>
    </row>
    <row r="6" spans="1:15">
      <c r="A6" s="782" t="s">
        <v>4947</v>
      </c>
      <c r="B6" s="784" t="str">
        <f>GLUE!B8</f>
        <v>T.T.TRAD</v>
      </c>
      <c r="F6" s="1000" t="s">
        <v>4947</v>
      </c>
      <c r="G6" s="1000"/>
      <c r="H6" s="918"/>
      <c r="I6" s="872"/>
      <c r="K6" s="787" t="s">
        <v>5609</v>
      </c>
      <c r="N6" s="789"/>
      <c r="O6" s="788"/>
    </row>
    <row r="7" spans="1:15">
      <c r="A7" s="782" t="s">
        <v>1573</v>
      </c>
      <c r="B7" s="784" t="str">
        <f ca="1">GLUE!B9</f>
        <v>PF</v>
      </c>
      <c r="D7" s="785" t="s">
        <v>4953</v>
      </c>
      <c r="E7" s="785" t="s">
        <v>1573</v>
      </c>
      <c r="F7" s="785" t="s">
        <v>4949</v>
      </c>
      <c r="G7" s="785" t="s">
        <v>4950</v>
      </c>
      <c r="H7" s="785" t="s">
        <v>11009</v>
      </c>
      <c r="I7" s="785" t="s">
        <v>11074</v>
      </c>
      <c r="K7" s="802" t="s">
        <v>4953</v>
      </c>
      <c r="L7" s="802" t="s">
        <v>1573</v>
      </c>
    </row>
    <row r="8" spans="1:15">
      <c r="D8" s="780" t="s">
        <v>1626</v>
      </c>
      <c r="E8" s="780" t="s">
        <v>5063</v>
      </c>
      <c r="F8" s="783">
        <v>0.1</v>
      </c>
      <c r="G8" s="783">
        <v>0.1</v>
      </c>
      <c r="H8" s="783">
        <v>0.1</v>
      </c>
      <c r="I8" s="783">
        <v>0.1</v>
      </c>
      <c r="K8" s="801" t="str">
        <f ca="1">i.Condición_Auto</f>
        <v>Nuevo</v>
      </c>
      <c r="L8" s="801" t="str">
        <f ca="1">"="&amp;i.Tipo_Persona</f>
        <v>=PF</v>
      </c>
    </row>
    <row r="9" spans="1:15">
      <c r="D9" s="780" t="s">
        <v>1626</v>
      </c>
      <c r="E9" s="780" t="s">
        <v>5064</v>
      </c>
      <c r="F9" s="783">
        <v>0.1</v>
      </c>
      <c r="G9" s="783">
        <v>0.1</v>
      </c>
      <c r="H9" s="783">
        <v>0.1</v>
      </c>
      <c r="I9" s="783">
        <v>0.1</v>
      </c>
      <c r="K9" s="787" t="s">
        <v>7</v>
      </c>
      <c r="L9" s="786">
        <f ca="1">DGET($D$7:$I$13,i.Tipo_Tarifa,$K$7:$L$8)</f>
        <v>0.1</v>
      </c>
    </row>
    <row r="10" spans="1:15">
      <c r="D10" s="780" t="s">
        <v>1626</v>
      </c>
      <c r="E10" s="780" t="s">
        <v>5065</v>
      </c>
      <c r="F10" s="783">
        <v>0.2</v>
      </c>
      <c r="G10" s="783">
        <v>0.15</v>
      </c>
      <c r="H10" s="783">
        <v>0.2</v>
      </c>
      <c r="I10" s="783">
        <v>0.1</v>
      </c>
    </row>
    <row r="11" spans="1:15">
      <c r="D11" s="780" t="s">
        <v>1627</v>
      </c>
      <c r="E11" s="780" t="s">
        <v>5063</v>
      </c>
      <c r="F11" s="783">
        <v>0.25</v>
      </c>
      <c r="G11" s="783">
        <v>0.25</v>
      </c>
      <c r="H11" s="783">
        <v>0.25</v>
      </c>
      <c r="I11" s="783"/>
      <c r="L11" s="786"/>
    </row>
    <row r="12" spans="1:15">
      <c r="D12" s="780" t="s">
        <v>1627</v>
      </c>
      <c r="E12" s="780" t="s">
        <v>5064</v>
      </c>
      <c r="F12" s="783">
        <v>0.25</v>
      </c>
      <c r="G12" s="783">
        <v>0.25</v>
      </c>
      <c r="H12" s="783">
        <v>0.25</v>
      </c>
      <c r="I12" s="783"/>
    </row>
    <row r="13" spans="1:15">
      <c r="D13" s="780" t="s">
        <v>1627</v>
      </c>
      <c r="E13" s="780" t="s">
        <v>5065</v>
      </c>
      <c r="F13" s="783">
        <v>0.25</v>
      </c>
      <c r="G13" s="783">
        <v>0.25</v>
      </c>
      <c r="H13" s="783">
        <v>0.25</v>
      </c>
      <c r="I13" s="783"/>
    </row>
    <row r="14" spans="1:15">
      <c r="L14" s="784"/>
    </row>
    <row r="15" spans="1:15">
      <c r="D15" s="893"/>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21"/>
  <sheetViews>
    <sheetView zoomScale="70" zoomScaleNormal="70" workbookViewId="0">
      <selection activeCell="D12" sqref="D12"/>
    </sheetView>
  </sheetViews>
  <sheetFormatPr defaultColWidth="9.140625" defaultRowHeight="15"/>
  <cols>
    <col min="1" max="1" width="19.140625" style="870" customWidth="1"/>
    <col min="2" max="2" width="18.28515625" style="870" customWidth="1"/>
    <col min="3" max="3" width="2.42578125" style="870" customWidth="1"/>
    <col min="4" max="4" width="26.85546875" bestFit="1" customWidth="1"/>
    <col min="5" max="5" width="18.85546875" bestFit="1" customWidth="1"/>
    <col min="6" max="6" width="26.7109375" customWidth="1"/>
    <col min="7" max="7" width="2.7109375" customWidth="1"/>
    <col min="8" max="8" width="20" bestFit="1" customWidth="1"/>
    <col min="9" max="9" width="18.85546875" style="876" bestFit="1" customWidth="1"/>
    <col min="10" max="10" width="2.7109375" customWidth="1"/>
    <col min="11" max="11" width="21.85546875" customWidth="1"/>
    <col min="12" max="12" width="8.7109375" customWidth="1"/>
    <col min="13" max="15" width="15.140625" customWidth="1"/>
    <col min="16" max="16" width="3.7109375" customWidth="1"/>
  </cols>
  <sheetData>
    <row r="1" spans="1:12" s="870" customFormat="1" ht="19.5">
      <c r="A1" s="799" t="s">
        <v>437</v>
      </c>
      <c r="I1" s="876"/>
    </row>
    <row r="2" spans="1:12" s="876" customFormat="1">
      <c r="A2" s="787" t="s">
        <v>5012</v>
      </c>
    </row>
    <row r="3" spans="1:12" s="870" customFormat="1">
      <c r="I3" s="876"/>
    </row>
    <row r="4" spans="1:12" s="870" customFormat="1">
      <c r="A4" s="798" t="s">
        <v>4960</v>
      </c>
      <c r="B4" s="797"/>
      <c r="D4" s="796" t="s">
        <v>434</v>
      </c>
      <c r="E4" s="795"/>
      <c r="F4" s="795"/>
      <c r="H4" s="794" t="s">
        <v>425</v>
      </c>
      <c r="I4" s="794"/>
      <c r="J4" s="782" t="s">
        <v>5604</v>
      </c>
      <c r="K4" s="792" t="s">
        <v>4972</v>
      </c>
      <c r="L4" s="791"/>
    </row>
    <row r="5" spans="1:12" s="870" customFormat="1">
      <c r="I5" s="876"/>
    </row>
    <row r="6" spans="1:12" s="870" customFormat="1">
      <c r="A6" s="876" t="s">
        <v>4947</v>
      </c>
      <c r="B6" s="316" t="str">
        <f>TTAR.Código</f>
        <v>T.T.TRAD</v>
      </c>
      <c r="D6" s="785" t="s">
        <v>4947</v>
      </c>
      <c r="E6" s="785" t="s">
        <v>4952</v>
      </c>
      <c r="F6" s="785" t="s">
        <v>4955</v>
      </c>
      <c r="H6" s="802" t="s">
        <v>4947</v>
      </c>
      <c r="I6" s="802" t="s">
        <v>4952</v>
      </c>
      <c r="K6" s="876" t="s">
        <v>4955</v>
      </c>
      <c r="L6" s="565">
        <f ca="1">Tasa_de_Interés</f>
        <v>0.129</v>
      </c>
    </row>
    <row r="7" spans="1:12">
      <c r="A7" s="876" t="s">
        <v>4954</v>
      </c>
      <c r="B7" s="877" t="b">
        <f ca="1">Tasa_Reducida?</f>
        <v>0</v>
      </c>
      <c r="D7" s="559" t="s">
        <v>4949</v>
      </c>
      <c r="E7" s="559" t="b">
        <v>0</v>
      </c>
      <c r="F7" s="565">
        <v>0.129</v>
      </c>
      <c r="H7" s="801" t="str">
        <f>i.Tipo_Tarifa</f>
        <v>T.T.TRAD</v>
      </c>
      <c r="I7" s="801" t="b">
        <f ca="1">i.Tasa_Reducida?</f>
        <v>0</v>
      </c>
    </row>
    <row r="8" spans="1:12">
      <c r="A8" s="876" t="s">
        <v>11014</v>
      </c>
      <c r="B8" s="565">
        <f>SELECCION_TASA_PREAUT</f>
        <v>9.9000000000000005E-2</v>
      </c>
      <c r="D8" s="559" t="s">
        <v>4949</v>
      </c>
      <c r="E8" s="559" t="b">
        <v>1</v>
      </c>
      <c r="F8" s="565">
        <v>0.11990000000000001</v>
      </c>
    </row>
    <row r="9" spans="1:12">
      <c r="D9" s="559" t="s">
        <v>4950</v>
      </c>
      <c r="E9" s="559" t="b">
        <v>0</v>
      </c>
      <c r="F9" s="565">
        <v>0.11990000000000001</v>
      </c>
      <c r="H9" s="876" t="s">
        <v>11013</v>
      </c>
      <c r="I9" s="565">
        <f ca="1">DGET(C_TASA_INTERES_ANUAL,F6,TASA!$H$6:$I$7)</f>
        <v>0.129</v>
      </c>
    </row>
    <row r="10" spans="1:12">
      <c r="D10" s="559" t="s">
        <v>4950</v>
      </c>
      <c r="E10" s="559" t="b">
        <v>1</v>
      </c>
      <c r="F10" s="565">
        <v>0.115</v>
      </c>
      <c r="H10" s="876" t="s">
        <v>11014</v>
      </c>
      <c r="I10" s="565">
        <f>i.Tasa_Preautorizada</f>
        <v>9.9000000000000005E-2</v>
      </c>
    </row>
    <row r="11" spans="1:12">
      <c r="D11" s="316" t="s">
        <v>11074</v>
      </c>
      <c r="E11" s="919" t="b">
        <v>0</v>
      </c>
      <c r="F11" s="56">
        <v>0.109</v>
      </c>
    </row>
    <row r="12" spans="1:12">
      <c r="D12" s="316" t="s">
        <v>11074</v>
      </c>
      <c r="E12" s="919" t="b">
        <v>1</v>
      </c>
      <c r="F12" s="56">
        <v>0.109</v>
      </c>
      <c r="H12" s="876" t="s">
        <v>437</v>
      </c>
      <c r="I12" s="565">
        <f ca="1">IFERROR(Tasa_por_Tabla,Tasa_Preautorizada)</f>
        <v>0.129</v>
      </c>
      <c r="K12" s="875"/>
    </row>
    <row r="13" spans="1:12" s="498" customFormat="1">
      <c r="C13" s="870"/>
      <c r="E13"/>
      <c r="F13"/>
    </row>
    <row r="14" spans="1:12" s="498" customFormat="1">
      <c r="C14" s="870"/>
      <c r="E14"/>
      <c r="F14"/>
    </row>
    <row r="15" spans="1:12">
      <c r="D15" s="785" t="s">
        <v>11012</v>
      </c>
    </row>
    <row r="16" spans="1:12">
      <c r="D16" s="56">
        <v>9.9000000000000005E-2</v>
      </c>
    </row>
    <row r="17" spans="4:4">
      <c r="D17" s="56">
        <v>0.108</v>
      </c>
    </row>
    <row r="18" spans="4:4">
      <c r="D18" s="56">
        <v>0.109</v>
      </c>
    </row>
    <row r="19" spans="4:4">
      <c r="D19" s="56">
        <v>0.115</v>
      </c>
    </row>
    <row r="20" spans="4:4">
      <c r="D20" s="56">
        <v>0.11990000000000001</v>
      </c>
    </row>
    <row r="21" spans="4:4">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c r="A1" s="10" t="s">
        <v>4985</v>
      </c>
      <c r="B1" s="10"/>
      <c r="C1" s="10"/>
      <c r="D1" s="10"/>
      <c r="E1" s="10"/>
      <c r="F1" s="579"/>
      <c r="G1" s="78"/>
      <c r="H1" s="10"/>
      <c r="I1" s="10"/>
      <c r="J1" s="10"/>
      <c r="K1" s="10"/>
      <c r="L1" s="10"/>
      <c r="M1" s="10"/>
      <c r="N1" s="10"/>
      <c r="O1" s="10"/>
      <c r="P1" s="10"/>
      <c r="Q1" s="10"/>
      <c r="R1" s="10"/>
      <c r="S1" s="10"/>
      <c r="T1" s="10"/>
      <c r="U1" s="10"/>
      <c r="V1" s="10"/>
    </row>
    <row r="2" spans="1:22" ht="15.75" thickTop="1">
      <c r="B2" s="498"/>
    </row>
    <row r="3" spans="1:22">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c r="A4" s="575" t="s">
        <v>4961</v>
      </c>
      <c r="B4" s="79">
        <f ca="1">CapturaFechaCotizacion</f>
        <v>42633</v>
      </c>
      <c r="C4" s="79"/>
      <c r="D4" s="570"/>
      <c r="E4" s="570"/>
      <c r="H4" s="570"/>
    </row>
    <row r="5" spans="1:22">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c r="A6" s="498" t="s">
        <v>1608</v>
      </c>
      <c r="B6" s="587" t="str">
        <f>SELECCION_FRECUENCIA</f>
        <v>Mensual</v>
      </c>
      <c r="C6" s="587"/>
      <c r="D6" s="587"/>
    </row>
    <row r="7" spans="1:22">
      <c r="A7" s="585" t="s">
        <v>4973</v>
      </c>
      <c r="B7" s="587">
        <f>FREC.DiasPorPeriodo</f>
        <v>30</v>
      </c>
      <c r="C7" s="587"/>
    </row>
    <row r="8" spans="1:22">
      <c r="I8" s="576" t="s">
        <v>434</v>
      </c>
      <c r="J8" s="577"/>
      <c r="L8" s="576"/>
      <c r="M8" s="577"/>
      <c r="O8" s="576"/>
      <c r="P8" s="577"/>
      <c r="R8" s="576"/>
      <c r="S8" s="577"/>
    </row>
    <row r="9" spans="1:22">
      <c r="A9" s="576" t="s">
        <v>434</v>
      </c>
      <c r="B9" s="577"/>
      <c r="C9" s="577"/>
      <c r="I9" s="158" t="s">
        <v>4963</v>
      </c>
      <c r="J9" s="156">
        <v>25</v>
      </c>
      <c r="L9" s="586" t="s">
        <v>4986</v>
      </c>
      <c r="M9" s="587">
        <v>30</v>
      </c>
      <c r="O9" s="586" t="s">
        <v>4986</v>
      </c>
      <c r="P9" s="587">
        <v>15</v>
      </c>
      <c r="R9" s="586" t="s">
        <v>4986</v>
      </c>
      <c r="S9" s="587">
        <v>10</v>
      </c>
    </row>
    <row r="10" spans="1:22">
      <c r="A10" s="586" t="s">
        <v>4987</v>
      </c>
      <c r="B10" s="570" t="s">
        <v>4968</v>
      </c>
      <c r="C10" s="587"/>
      <c r="I10" s="158" t="s">
        <v>4964</v>
      </c>
      <c r="J10" s="156">
        <v>30</v>
      </c>
      <c r="P10" s="586"/>
    </row>
    <row r="11" spans="1:22">
      <c r="A11" s="586" t="s">
        <v>4988</v>
      </c>
      <c r="B11" s="570" t="s">
        <v>4959</v>
      </c>
      <c r="C11" s="587"/>
      <c r="I11" s="158" t="s">
        <v>4965</v>
      </c>
      <c r="J11" s="156">
        <v>31</v>
      </c>
      <c r="O11" s="586"/>
      <c r="P11" s="586"/>
    </row>
    <row r="12" spans="1:22">
      <c r="I12" s="158" t="s">
        <v>4966</v>
      </c>
      <c r="J12" s="156">
        <v>3</v>
      </c>
      <c r="O12" s="586"/>
      <c r="P12" s="586"/>
    </row>
    <row r="13" spans="1:22">
      <c r="A13" s="611" t="s">
        <v>4997</v>
      </c>
      <c r="I13" s="158" t="s">
        <v>4967</v>
      </c>
      <c r="J13" s="156">
        <v>16</v>
      </c>
      <c r="O13" s="586"/>
      <c r="P13" s="586"/>
    </row>
    <row r="14" spans="1:22">
      <c r="A14" s="589" t="s">
        <v>4940</v>
      </c>
      <c r="B14" s="589" t="s">
        <v>1608</v>
      </c>
      <c r="C14" s="603" t="s">
        <v>4976</v>
      </c>
      <c r="I14" s="100"/>
      <c r="O14" s="586"/>
      <c r="P14" s="586"/>
    </row>
    <row r="15" spans="1:22">
      <c r="A15" s="562" t="s">
        <v>4944</v>
      </c>
      <c r="B15" s="562" t="s">
        <v>1600</v>
      </c>
      <c r="C15" s="562" t="s">
        <v>4991</v>
      </c>
      <c r="I15" s="600" t="s">
        <v>425</v>
      </c>
      <c r="J15" s="265"/>
      <c r="O15" s="586"/>
      <c r="P15" s="586"/>
    </row>
    <row r="16" spans="1:22">
      <c r="A16" s="562" t="s">
        <v>4945</v>
      </c>
      <c r="B16" s="562" t="s">
        <v>1600</v>
      </c>
      <c r="C16" s="562" t="s">
        <v>1600</v>
      </c>
      <c r="I16" s="498" t="s">
        <v>4962</v>
      </c>
      <c r="J16" s="286">
        <f ca="1">DAY(_Fecha_Cotización)</f>
        <v>20</v>
      </c>
    </row>
    <row r="17" spans="1:22">
      <c r="A17" s="607" t="s">
        <v>4989</v>
      </c>
      <c r="B17" s="562" t="s">
        <v>1601</v>
      </c>
      <c r="C17" s="562" t="s">
        <v>1601</v>
      </c>
      <c r="E17" s="608" t="s">
        <v>4990</v>
      </c>
    </row>
    <row r="18" spans="1:22" ht="30">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c r="A19" s="607" t="s">
        <v>4989</v>
      </c>
      <c r="B19" s="562" t="s">
        <v>1603</v>
      </c>
      <c r="C19" s="562" t="s">
        <v>1603</v>
      </c>
      <c r="E19" s="98">
        <f t="shared" ref="E19:E82" si="0">_Días_por_Periodo</f>
        <v>30</v>
      </c>
      <c r="F19" s="580">
        <f ca="1">INDEX(_Datos 19:19,,MATCH(_Búsqueda_Fechas_Pago, _Datos _Headers,0))</f>
        <v>42659</v>
      </c>
      <c r="G19" s="570">
        <f ca="1">INDEX(_Datos 19:19,,MATCH(_Búsqueda_Duración, _Datos _Headers,0))</f>
        <v>26</v>
      </c>
      <c r="I19" s="77">
        <f ca="1">IF(DIA_COTIZACIÓN&lt;CONST_CORTE_2,EOMONTH(B4,0)+CONST_CORTE_1,EOMONTH(B4,0)+CONST_CORTE_2)</f>
        <v>42659</v>
      </c>
      <c r="J19" s="588">
        <f ca="1">I19 - _Fecha_Cotización</f>
        <v>26</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42643</v>
      </c>
      <c r="S19" s="601">
        <f>_DPP _Decenal</f>
        <v>10</v>
      </c>
      <c r="U19" s="602">
        <f ca="1">_Fecha_Cotización + _Días_por_Periodo</f>
        <v>42663</v>
      </c>
      <c r="V19" s="601">
        <f ca="1">U19 - _Fecha_Cotización</f>
        <v>30</v>
      </c>
    </row>
    <row r="20" spans="1:22">
      <c r="A20" s="607" t="s">
        <v>4989</v>
      </c>
      <c r="B20" s="562" t="s">
        <v>1604</v>
      </c>
      <c r="C20" s="562" t="s">
        <v>4977</v>
      </c>
      <c r="E20" s="98">
        <f t="shared" si="0"/>
        <v>30</v>
      </c>
      <c r="F20" s="580">
        <f ca="1">INDEX(_Datos 20:20,,MATCH(_Búsqueda_Fechas_Pago, _Datos _Headers,0))</f>
        <v>42690</v>
      </c>
      <c r="G20" s="570">
        <f ca="1">INDEX(_Datos 20:20,,MATCH(_Búsqueda_Duración, _Datos _Headers,0))</f>
        <v>30</v>
      </c>
      <c r="I20" s="76">
        <f t="shared" ref="I20:I83" ca="1" si="1">IF(DAY(I19)&gt;=Const_Dia_Corte_Aniversario,EOMONTH(I19,1)+1,EOMONTH(I19,0)+DAY(I19))</f>
        <v>42690</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42653</v>
      </c>
      <c r="S20" s="30">
        <f>_DPP _Decenal</f>
        <v>10</v>
      </c>
      <c r="U20" s="76">
        <f t="shared" ref="U20:U83" ca="1" si="2">U19 + _Días_por_Periodo</f>
        <v>42693</v>
      </c>
      <c r="V20" s="30">
        <f ca="1">U20 - U19</f>
        <v>30</v>
      </c>
    </row>
    <row r="21" spans="1:22">
      <c r="E21" s="98">
        <f t="shared" si="0"/>
        <v>30</v>
      </c>
      <c r="F21" s="580">
        <f ca="1">INDEX(_Datos 21:21,,MATCH(_Búsqueda_Fechas_Pago, _Datos _Headers,0))</f>
        <v>42720</v>
      </c>
      <c r="G21" s="570">
        <f ca="1">INDEX(_Datos 21:21,,MATCH(_Búsqueda_Duración, _Datos _Headers,0))</f>
        <v>30</v>
      </c>
      <c r="I21" s="76">
        <f t="shared" ca="1" si="1"/>
        <v>42720</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42663</v>
      </c>
      <c r="S21" s="30">
        <f>_DPP _Decenal</f>
        <v>10</v>
      </c>
      <c r="U21" s="76">
        <f t="shared" ca="1" si="2"/>
        <v>42723</v>
      </c>
      <c r="V21" s="30">
        <f t="shared" ref="V21:V84" ca="1" si="4">U21 - U20</f>
        <v>30</v>
      </c>
    </row>
    <row r="22" spans="1:22">
      <c r="A22" s="591" t="s">
        <v>425</v>
      </c>
      <c r="B22" s="265"/>
      <c r="C22" s="265"/>
      <c r="E22" s="98">
        <f t="shared" si="0"/>
        <v>30</v>
      </c>
      <c r="F22" s="580">
        <f ca="1">INDEX(_Datos 22:22,,MATCH(_Búsqueda_Fechas_Pago, _Datos _Headers,0))</f>
        <v>42751</v>
      </c>
      <c r="G22" s="570">
        <f ca="1">INDEX(_Datos 22:22,,MATCH(_Búsqueda_Duración, _Datos _Headers,0))</f>
        <v>30</v>
      </c>
      <c r="I22" s="76">
        <f t="shared" ca="1" si="1"/>
        <v>42751</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42674</v>
      </c>
      <c r="S22" s="30">
        <f>_DPP _Decenal</f>
        <v>10</v>
      </c>
      <c r="U22" s="76">
        <f t="shared" ca="1" si="2"/>
        <v>42753</v>
      </c>
      <c r="V22" s="30">
        <f t="shared" ca="1" si="4"/>
        <v>30</v>
      </c>
    </row>
    <row r="23" spans="1:22">
      <c r="C23" s="85"/>
      <c r="E23" s="98">
        <f t="shared" si="0"/>
        <v>30</v>
      </c>
      <c r="F23" s="580">
        <f ca="1">INDEX(_Datos 23:23,,MATCH(_Búsqueda_Fechas_Pago, _Datos _Headers,0))</f>
        <v>42782</v>
      </c>
      <c r="G23" s="570">
        <f ca="1">INDEX(_Datos 23:23,,MATCH(_Búsqueda_Duración, _Datos _Headers,0))</f>
        <v>30</v>
      </c>
      <c r="I23" s="76">
        <f t="shared" ca="1" si="1"/>
        <v>42782</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42684</v>
      </c>
      <c r="S23" s="30">
        <f>_DPP _Decenal</f>
        <v>10</v>
      </c>
      <c r="U23" s="76">
        <f t="shared" ca="1" si="2"/>
        <v>42783</v>
      </c>
      <c r="V23" s="30">
        <f t="shared" ca="1" si="4"/>
        <v>30</v>
      </c>
    </row>
    <row r="24" spans="1:22">
      <c r="A24" s="611" t="s">
        <v>4998</v>
      </c>
      <c r="E24" s="98">
        <f t="shared" si="0"/>
        <v>30</v>
      </c>
      <c r="F24" s="580">
        <f ca="1">INDEX(_Datos 24:24,,MATCH(_Búsqueda_Fechas_Pago, _Datos _Headers,0))</f>
        <v>42810</v>
      </c>
      <c r="G24" s="570">
        <f ca="1">INDEX(_Datos 24:24,,MATCH(_Búsqueda_Duración, _Datos _Headers,0))</f>
        <v>30</v>
      </c>
      <c r="I24" s="76">
        <f t="shared" ca="1" si="1"/>
        <v>42810</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42694</v>
      </c>
      <c r="S24" s="30">
        <f>_DPP _Decenal</f>
        <v>10</v>
      </c>
      <c r="U24" s="76">
        <f t="shared" ca="1" si="2"/>
        <v>42813</v>
      </c>
      <c r="V24" s="30">
        <f t="shared" ca="1" si="4"/>
        <v>30</v>
      </c>
    </row>
    <row r="25" spans="1:22">
      <c r="A25" s="606" t="s">
        <v>4940</v>
      </c>
      <c r="B25" s="606" t="s">
        <v>1608</v>
      </c>
      <c r="C25" s="605" t="s">
        <v>4976</v>
      </c>
      <c r="E25" s="98">
        <f t="shared" si="0"/>
        <v>30</v>
      </c>
      <c r="F25" s="580">
        <f ca="1">INDEX(_Datos 25:25,,MATCH(_Búsqueda_Fechas_Pago, _Datos _Headers,0))</f>
        <v>42841</v>
      </c>
      <c r="G25" s="570">
        <f ca="1">INDEX(_Datos 25:25,,MATCH(_Búsqueda_Duración, _Datos _Headers,0))</f>
        <v>30</v>
      </c>
      <c r="I25" s="76">
        <f t="shared" ca="1" si="1"/>
        <v>42841</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42704</v>
      </c>
      <c r="S25" s="30">
        <f>_DPP _Decenal</f>
        <v>10</v>
      </c>
      <c r="U25" s="76">
        <f t="shared" ca="1" si="2"/>
        <v>42843</v>
      </c>
      <c r="V25" s="30">
        <f t="shared" ca="1" si="4"/>
        <v>30</v>
      </c>
    </row>
    <row r="26" spans="1:22">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42871</v>
      </c>
      <c r="G26" s="570">
        <f ca="1">INDEX(_Datos 26:26,,MATCH(_Búsqueda_Duración, _Datos _Headers,0))</f>
        <v>30</v>
      </c>
      <c r="I26" s="76">
        <f t="shared" ca="1" si="1"/>
        <v>42871</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42714</v>
      </c>
      <c r="S26" s="30">
        <f>_DPP _Decenal</f>
        <v>10</v>
      </c>
      <c r="U26" s="76">
        <f t="shared" ca="1" si="2"/>
        <v>42873</v>
      </c>
      <c r="V26" s="30">
        <f t="shared" ca="1" si="4"/>
        <v>30</v>
      </c>
    </row>
    <row r="27" spans="1:22">
      <c r="E27" s="98">
        <f t="shared" si="0"/>
        <v>30</v>
      </c>
      <c r="F27" s="580">
        <f ca="1">INDEX(_Datos 27:27,,MATCH(_Búsqueda_Fechas_Pago, _Datos _Headers,0))</f>
        <v>42902</v>
      </c>
      <c r="G27" s="570">
        <f ca="1">INDEX(_Datos 27:27,,MATCH(_Búsqueda_Duración, _Datos _Headers,0))</f>
        <v>30</v>
      </c>
      <c r="I27" s="76">
        <f t="shared" ca="1" si="1"/>
        <v>42902</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42724</v>
      </c>
      <c r="S27" s="30">
        <f>_DPP _Decenal</f>
        <v>10</v>
      </c>
      <c r="U27" s="76">
        <f t="shared" ca="1" si="2"/>
        <v>42903</v>
      </c>
      <c r="V27" s="30">
        <f t="shared" ca="1" si="4"/>
        <v>30</v>
      </c>
    </row>
    <row r="28" spans="1:22">
      <c r="A28" s="498" t="s">
        <v>4969</v>
      </c>
      <c r="B28" s="578" t="str">
        <f>CONCATENATE(_Etiqueta_Fechas_Pago, " ", _Algoritmo)</f>
        <v>Fechas Pago Mensual AET</v>
      </c>
      <c r="E28" s="98">
        <f t="shared" si="0"/>
        <v>30</v>
      </c>
      <c r="F28" s="580">
        <f ca="1">INDEX(_Datos 28:28,,MATCH(_Búsqueda_Fechas_Pago, _Datos _Headers,0))</f>
        <v>42932</v>
      </c>
      <c r="G28" s="570">
        <f ca="1">INDEX(_Datos 28:28,,MATCH(_Búsqueda_Duración, _Datos _Headers,0))</f>
        <v>30</v>
      </c>
      <c r="I28" s="76">
        <f t="shared" ca="1" si="1"/>
        <v>42932</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42735</v>
      </c>
      <c r="S28" s="30">
        <f>_DPP _Decenal</f>
        <v>10</v>
      </c>
      <c r="U28" s="76">
        <f t="shared" ca="1" si="2"/>
        <v>42933</v>
      </c>
      <c r="V28" s="30">
        <f t="shared" ca="1" si="4"/>
        <v>30</v>
      </c>
    </row>
    <row r="29" spans="1:22">
      <c r="A29" s="498" t="s">
        <v>4970</v>
      </c>
      <c r="B29" s="578" t="str">
        <f>CONCATENATE(_Etiqueta_Duración_Intereses, " ", _Algoritmo)</f>
        <v>Duración Intereses Mensual AET</v>
      </c>
      <c r="E29" s="98">
        <f t="shared" si="0"/>
        <v>30</v>
      </c>
      <c r="F29" s="580">
        <f ca="1">INDEX(_Datos 29:29,,MATCH(_Búsqueda_Fechas_Pago, _Datos _Headers,0))</f>
        <v>42963</v>
      </c>
      <c r="G29" s="570">
        <f ca="1">INDEX(_Datos 29:29,,MATCH(_Búsqueda_Duración, _Datos _Headers,0))</f>
        <v>30</v>
      </c>
      <c r="I29" s="76">
        <f t="shared" ca="1" si="1"/>
        <v>42963</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42745</v>
      </c>
      <c r="S29" s="30">
        <f>_DPP _Decenal</f>
        <v>10</v>
      </c>
      <c r="U29" s="76">
        <f t="shared" ca="1" si="2"/>
        <v>42963</v>
      </c>
      <c r="V29" s="30">
        <f t="shared" ca="1" si="4"/>
        <v>30</v>
      </c>
    </row>
    <row r="30" spans="1:22">
      <c r="A30" s="12"/>
      <c r="E30" s="98">
        <f t="shared" si="0"/>
        <v>30</v>
      </c>
      <c r="F30" s="580">
        <f ca="1">INDEX(_Datos 30:30,,MATCH(_Búsqueda_Fechas_Pago, _Datos _Headers,0))</f>
        <v>42994</v>
      </c>
      <c r="G30" s="570">
        <f ca="1">INDEX(_Datos 30:30,,MATCH(_Búsqueda_Duración, _Datos _Headers,0))</f>
        <v>30</v>
      </c>
      <c r="I30" s="76">
        <f t="shared" ca="1" si="1"/>
        <v>42994</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42755</v>
      </c>
      <c r="S30" s="30">
        <f>_DPP _Decenal</f>
        <v>10</v>
      </c>
      <c r="U30" s="76">
        <f t="shared" ca="1" si="2"/>
        <v>42993</v>
      </c>
      <c r="V30" s="30">
        <f t="shared" ca="1" si="4"/>
        <v>30</v>
      </c>
    </row>
    <row r="31" spans="1:22">
      <c r="A31" s="12"/>
      <c r="E31" s="98">
        <f t="shared" si="0"/>
        <v>30</v>
      </c>
      <c r="F31" s="580">
        <f ca="1">INDEX(_Datos 31:31,,MATCH(_Búsqueda_Fechas_Pago, _Datos _Headers,0))</f>
        <v>43024</v>
      </c>
      <c r="G31" s="570">
        <f ca="1">INDEX(_Datos 31:31,,MATCH(_Búsqueda_Duración, _Datos _Headers,0))</f>
        <v>30</v>
      </c>
      <c r="I31" s="76">
        <f t="shared" ca="1" si="1"/>
        <v>43024</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42766</v>
      </c>
      <c r="S31" s="30">
        <f>_DPP _Decenal</f>
        <v>10</v>
      </c>
      <c r="U31" s="76">
        <f t="shared" ca="1" si="2"/>
        <v>43023</v>
      </c>
      <c r="V31" s="30">
        <f t="shared" ca="1" si="4"/>
        <v>30</v>
      </c>
    </row>
    <row r="32" spans="1:22">
      <c r="A32" s="12"/>
      <c r="E32" s="98">
        <f t="shared" si="0"/>
        <v>30</v>
      </c>
      <c r="F32" s="580">
        <f ca="1">INDEX(_Datos 32:32,,MATCH(_Búsqueda_Fechas_Pago, _Datos _Headers,0))</f>
        <v>43055</v>
      </c>
      <c r="G32" s="570">
        <f ca="1">INDEX(_Datos 32:32,,MATCH(_Búsqueda_Duración, _Datos _Headers,0))</f>
        <v>30</v>
      </c>
      <c r="I32" s="76">
        <f t="shared" ca="1" si="1"/>
        <v>43055</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42776</v>
      </c>
      <c r="S32" s="30">
        <f>_DPP _Decenal</f>
        <v>10</v>
      </c>
      <c r="U32" s="76">
        <f t="shared" ca="1" si="2"/>
        <v>43053</v>
      </c>
      <c r="V32" s="30">
        <f t="shared" ca="1" si="4"/>
        <v>30</v>
      </c>
    </row>
    <row r="33" spans="1:22">
      <c r="A33" s="12"/>
      <c r="E33" s="98">
        <f t="shared" si="0"/>
        <v>30</v>
      </c>
      <c r="F33" s="580">
        <f ca="1">INDEX(_Datos 33:33,,MATCH(_Búsqueda_Fechas_Pago, _Datos _Headers,0))</f>
        <v>43085</v>
      </c>
      <c r="G33" s="570">
        <f ca="1">INDEX(_Datos 33:33,,MATCH(_Búsqueda_Duración, _Datos _Headers,0))</f>
        <v>30</v>
      </c>
      <c r="I33" s="76">
        <f t="shared" ca="1" si="1"/>
        <v>43085</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42786</v>
      </c>
      <c r="S33" s="30">
        <f>_DPP _Decenal</f>
        <v>10</v>
      </c>
      <c r="U33" s="76">
        <f t="shared" ca="1" si="2"/>
        <v>43083</v>
      </c>
      <c r="V33" s="30">
        <f t="shared" ca="1" si="4"/>
        <v>30</v>
      </c>
    </row>
    <row r="34" spans="1:22">
      <c r="A34" s="12"/>
      <c r="E34" s="98">
        <f t="shared" si="0"/>
        <v>30</v>
      </c>
      <c r="F34" s="580">
        <f ca="1">INDEX(_Datos 34:34,,MATCH(_Búsqueda_Fechas_Pago, _Datos _Headers,0))</f>
        <v>43116</v>
      </c>
      <c r="G34" s="570">
        <f ca="1">INDEX(_Datos 34:34,,MATCH(_Búsqueda_Duración, _Datos _Headers,0))</f>
        <v>30</v>
      </c>
      <c r="I34" s="76">
        <f t="shared" ca="1" si="1"/>
        <v>43116</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42794</v>
      </c>
      <c r="S34" s="30">
        <f>_DPP _Decenal</f>
        <v>10</v>
      </c>
      <c r="U34" s="76">
        <f t="shared" ca="1" si="2"/>
        <v>43113</v>
      </c>
      <c r="V34" s="30">
        <f t="shared" ca="1" si="4"/>
        <v>30</v>
      </c>
    </row>
    <row r="35" spans="1:22">
      <c r="A35" s="12"/>
      <c r="E35" s="98">
        <f t="shared" si="0"/>
        <v>30</v>
      </c>
      <c r="F35" s="580">
        <f ca="1">INDEX(_Datos 35:35,,MATCH(_Búsqueda_Fechas_Pago, _Datos _Headers,0))</f>
        <v>43147</v>
      </c>
      <c r="G35" s="570">
        <f ca="1">INDEX(_Datos 35:35,,MATCH(_Búsqueda_Duración, _Datos _Headers,0))</f>
        <v>30</v>
      </c>
      <c r="I35" s="76">
        <f t="shared" ca="1" si="1"/>
        <v>43147</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42804</v>
      </c>
      <c r="S35" s="30">
        <f>_DPP _Decenal</f>
        <v>10</v>
      </c>
      <c r="U35" s="76">
        <f t="shared" ca="1" si="2"/>
        <v>43143</v>
      </c>
      <c r="V35" s="30">
        <f t="shared" ca="1" si="4"/>
        <v>30</v>
      </c>
    </row>
    <row r="36" spans="1:22">
      <c r="A36" s="12"/>
      <c r="E36" s="98">
        <f t="shared" si="0"/>
        <v>30</v>
      </c>
      <c r="F36" s="580">
        <f ca="1">INDEX(_Datos 36:36,,MATCH(_Búsqueda_Fechas_Pago, _Datos _Headers,0))</f>
        <v>43175</v>
      </c>
      <c r="G36" s="570">
        <f ca="1">INDEX(_Datos 36:36,,MATCH(_Búsqueda_Duración, _Datos _Headers,0))</f>
        <v>30</v>
      </c>
      <c r="I36" s="76">
        <f t="shared" ca="1" si="1"/>
        <v>43175</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42814</v>
      </c>
      <c r="S36" s="30">
        <f>_DPP _Decenal</f>
        <v>10</v>
      </c>
      <c r="U36" s="76">
        <f t="shared" ca="1" si="2"/>
        <v>43173</v>
      </c>
      <c r="V36" s="30">
        <f t="shared" ca="1" si="4"/>
        <v>30</v>
      </c>
    </row>
    <row r="37" spans="1:22">
      <c r="A37" s="12"/>
      <c r="E37" s="98">
        <f t="shared" si="0"/>
        <v>30</v>
      </c>
      <c r="F37" s="580">
        <f ca="1">INDEX(_Datos 37:37,,MATCH(_Búsqueda_Fechas_Pago, _Datos _Headers,0))</f>
        <v>43206</v>
      </c>
      <c r="G37" s="570">
        <f ca="1">INDEX(_Datos 37:37,,MATCH(_Búsqueda_Duración, _Datos _Headers,0))</f>
        <v>30</v>
      </c>
      <c r="I37" s="76">
        <f t="shared" ca="1" si="1"/>
        <v>43206</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42825</v>
      </c>
      <c r="S37" s="30">
        <f>_DPP _Decenal</f>
        <v>10</v>
      </c>
      <c r="U37" s="76">
        <f t="shared" ca="1" si="2"/>
        <v>43203</v>
      </c>
      <c r="V37" s="30">
        <f t="shared" ca="1" si="4"/>
        <v>30</v>
      </c>
    </row>
    <row r="38" spans="1:22">
      <c r="A38" s="12"/>
      <c r="E38" s="98">
        <f t="shared" si="0"/>
        <v>30</v>
      </c>
      <c r="F38" s="580">
        <f ca="1">INDEX(_Datos 38:38,,MATCH(_Búsqueda_Fechas_Pago, _Datos _Headers,0))</f>
        <v>43236</v>
      </c>
      <c r="G38" s="570">
        <f ca="1">INDEX(_Datos 38:38,,MATCH(_Búsqueda_Duración, _Datos _Headers,0))</f>
        <v>30</v>
      </c>
      <c r="I38" s="76">
        <f t="shared" ca="1" si="1"/>
        <v>43236</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42835</v>
      </c>
      <c r="S38" s="30">
        <f>_DPP _Decenal</f>
        <v>10</v>
      </c>
      <c r="U38" s="76">
        <f t="shared" ca="1" si="2"/>
        <v>43233</v>
      </c>
      <c r="V38" s="30">
        <f t="shared" ca="1" si="4"/>
        <v>30</v>
      </c>
    </row>
    <row r="39" spans="1:22">
      <c r="A39" s="12"/>
      <c r="E39" s="98">
        <f t="shared" si="0"/>
        <v>30</v>
      </c>
      <c r="F39" s="580">
        <f ca="1">INDEX(_Datos 39:39,,MATCH(_Búsqueda_Fechas_Pago, _Datos _Headers,0))</f>
        <v>43267</v>
      </c>
      <c r="G39" s="570">
        <f ca="1">INDEX(_Datos 39:39,,MATCH(_Búsqueda_Duración, _Datos _Headers,0))</f>
        <v>30</v>
      </c>
      <c r="I39" s="76">
        <f t="shared" ca="1" si="1"/>
        <v>43267</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42845</v>
      </c>
      <c r="S39" s="30">
        <f>_DPP _Decenal</f>
        <v>10</v>
      </c>
      <c r="U39" s="76">
        <f t="shared" ca="1" si="2"/>
        <v>43263</v>
      </c>
      <c r="V39" s="30">
        <f t="shared" ca="1" si="4"/>
        <v>30</v>
      </c>
    </row>
    <row r="40" spans="1:22">
      <c r="A40" s="12"/>
      <c r="E40" s="98">
        <f t="shared" si="0"/>
        <v>30</v>
      </c>
      <c r="F40" s="580">
        <f ca="1">INDEX(_Datos 40:40,,MATCH(_Búsqueda_Fechas_Pago, _Datos _Headers,0))</f>
        <v>43297</v>
      </c>
      <c r="G40" s="570">
        <f ca="1">INDEX(_Datos 40:40,,MATCH(_Búsqueda_Duración, _Datos _Headers,0))</f>
        <v>30</v>
      </c>
      <c r="I40" s="76">
        <f t="shared" ca="1" si="1"/>
        <v>43297</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42855</v>
      </c>
      <c r="S40" s="30">
        <f>_DPP _Decenal</f>
        <v>10</v>
      </c>
      <c r="U40" s="76">
        <f t="shared" ca="1" si="2"/>
        <v>43293</v>
      </c>
      <c r="V40" s="30">
        <f t="shared" ca="1" si="4"/>
        <v>30</v>
      </c>
    </row>
    <row r="41" spans="1:22">
      <c r="A41" s="12"/>
      <c r="E41" s="98">
        <f t="shared" si="0"/>
        <v>30</v>
      </c>
      <c r="F41" s="580">
        <f ca="1">INDEX(_Datos 41:41,,MATCH(_Búsqueda_Fechas_Pago, _Datos _Headers,0))</f>
        <v>43328</v>
      </c>
      <c r="G41" s="570">
        <f ca="1">INDEX(_Datos 41:41,,MATCH(_Búsqueda_Duración, _Datos _Headers,0))</f>
        <v>30</v>
      </c>
      <c r="I41" s="76">
        <f t="shared" ca="1" si="1"/>
        <v>43328</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42865</v>
      </c>
      <c r="S41" s="30">
        <f>_DPP _Decenal</f>
        <v>10</v>
      </c>
      <c r="U41" s="76">
        <f t="shared" ca="1" si="2"/>
        <v>43323</v>
      </c>
      <c r="V41" s="30">
        <f t="shared" ca="1" si="4"/>
        <v>30</v>
      </c>
    </row>
    <row r="42" spans="1:22">
      <c r="A42" s="12"/>
      <c r="E42" s="98">
        <f t="shared" si="0"/>
        <v>30</v>
      </c>
      <c r="F42" s="580">
        <f ca="1">INDEX(_Datos 42:42,,MATCH(_Búsqueda_Fechas_Pago, _Datos _Headers,0))</f>
        <v>43359</v>
      </c>
      <c r="G42" s="570">
        <f ca="1">INDEX(_Datos 42:42,,MATCH(_Búsqueda_Duración, _Datos _Headers,0))</f>
        <v>30</v>
      </c>
      <c r="I42" s="76">
        <f t="shared" ca="1" si="1"/>
        <v>43359</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42875</v>
      </c>
      <c r="S42" s="30">
        <f>_DPP _Decenal</f>
        <v>10</v>
      </c>
      <c r="U42" s="76">
        <f t="shared" ca="1" si="2"/>
        <v>43353</v>
      </c>
      <c r="V42" s="30">
        <f t="shared" ca="1" si="4"/>
        <v>30</v>
      </c>
    </row>
    <row r="43" spans="1:22">
      <c r="A43" s="12"/>
      <c r="E43" s="98">
        <f t="shared" si="0"/>
        <v>30</v>
      </c>
      <c r="F43" s="580">
        <f ca="1">INDEX(_Datos 43:43,,MATCH(_Búsqueda_Fechas_Pago, _Datos _Headers,0))</f>
        <v>43389</v>
      </c>
      <c r="G43" s="570">
        <f ca="1">INDEX(_Datos 43:43,,MATCH(_Búsqueda_Duración, _Datos _Headers,0))</f>
        <v>30</v>
      </c>
      <c r="I43" s="76">
        <f t="shared" ca="1" si="1"/>
        <v>43389</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42886</v>
      </c>
      <c r="S43" s="30">
        <f>_DPP _Decenal</f>
        <v>10</v>
      </c>
      <c r="U43" s="76">
        <f t="shared" ca="1" si="2"/>
        <v>43383</v>
      </c>
      <c r="V43" s="30">
        <f t="shared" ca="1" si="4"/>
        <v>30</v>
      </c>
    </row>
    <row r="44" spans="1:22">
      <c r="A44" s="12"/>
      <c r="E44" s="98">
        <f t="shared" si="0"/>
        <v>30</v>
      </c>
      <c r="F44" s="580">
        <f ca="1">INDEX(_Datos 44:44,,MATCH(_Búsqueda_Fechas_Pago, _Datos _Headers,0))</f>
        <v>43420</v>
      </c>
      <c r="G44" s="570">
        <f ca="1">INDEX(_Datos 44:44,,MATCH(_Búsqueda_Duración, _Datos _Headers,0))</f>
        <v>30</v>
      </c>
      <c r="I44" s="76">
        <f t="shared" ca="1" si="1"/>
        <v>43420</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42896</v>
      </c>
      <c r="S44" s="30">
        <f>_DPP _Decenal</f>
        <v>10</v>
      </c>
      <c r="U44" s="76">
        <f t="shared" ca="1" si="2"/>
        <v>43413</v>
      </c>
      <c r="V44" s="30">
        <f t="shared" ca="1" si="4"/>
        <v>30</v>
      </c>
    </row>
    <row r="45" spans="1:22">
      <c r="A45" s="12"/>
      <c r="E45" s="98">
        <f t="shared" si="0"/>
        <v>30</v>
      </c>
      <c r="F45" s="580">
        <f ca="1">INDEX(_Datos 45:45,,MATCH(_Búsqueda_Fechas_Pago, _Datos _Headers,0))</f>
        <v>43450</v>
      </c>
      <c r="G45" s="570">
        <f ca="1">INDEX(_Datos 45:45,,MATCH(_Búsqueda_Duración, _Datos _Headers,0))</f>
        <v>30</v>
      </c>
      <c r="I45" s="76">
        <f t="shared" ca="1" si="1"/>
        <v>43450</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42906</v>
      </c>
      <c r="S45" s="30">
        <f>_DPP _Decenal</f>
        <v>10</v>
      </c>
      <c r="U45" s="76">
        <f t="shared" ca="1" si="2"/>
        <v>43443</v>
      </c>
      <c r="V45" s="30">
        <f t="shared" ca="1" si="4"/>
        <v>30</v>
      </c>
    </row>
    <row r="46" spans="1:22">
      <c r="A46" s="12"/>
      <c r="E46" s="98">
        <f t="shared" si="0"/>
        <v>30</v>
      </c>
      <c r="F46" s="580">
        <f ca="1">INDEX(_Datos 46:46,,MATCH(_Búsqueda_Fechas_Pago, _Datos _Headers,0))</f>
        <v>43481</v>
      </c>
      <c r="G46" s="570">
        <f ca="1">INDEX(_Datos 46:46,,MATCH(_Búsqueda_Duración, _Datos _Headers,0))</f>
        <v>30</v>
      </c>
      <c r="I46" s="76">
        <f t="shared" ca="1" si="1"/>
        <v>43481</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42916</v>
      </c>
      <c r="S46" s="30">
        <f>_DPP _Decenal</f>
        <v>10</v>
      </c>
      <c r="U46" s="76">
        <f t="shared" ca="1" si="2"/>
        <v>43473</v>
      </c>
      <c r="V46" s="30">
        <f t="shared" ca="1" si="4"/>
        <v>30</v>
      </c>
    </row>
    <row r="47" spans="1:22">
      <c r="A47" s="12"/>
      <c r="E47" s="98">
        <f t="shared" si="0"/>
        <v>30</v>
      </c>
      <c r="F47" s="580">
        <f ca="1">INDEX(_Datos 47:47,,MATCH(_Búsqueda_Fechas_Pago, _Datos _Headers,0))</f>
        <v>43512</v>
      </c>
      <c r="G47" s="570">
        <f ca="1">INDEX(_Datos 47:47,,MATCH(_Búsqueda_Duración, _Datos _Headers,0))</f>
        <v>30</v>
      </c>
      <c r="I47" s="76">
        <f t="shared" ca="1" si="1"/>
        <v>43512</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42926</v>
      </c>
      <c r="S47" s="30">
        <f>_DPP _Decenal</f>
        <v>10</v>
      </c>
      <c r="U47" s="76">
        <f t="shared" ca="1" si="2"/>
        <v>43503</v>
      </c>
      <c r="V47" s="30">
        <f t="shared" ca="1" si="4"/>
        <v>30</v>
      </c>
    </row>
    <row r="48" spans="1:22">
      <c r="A48" s="12"/>
      <c r="E48" s="98">
        <f t="shared" si="0"/>
        <v>30</v>
      </c>
      <c r="F48" s="580">
        <f ca="1">INDEX(_Datos 48:48,,MATCH(_Búsqueda_Fechas_Pago, _Datos _Headers,0))</f>
        <v>43540</v>
      </c>
      <c r="G48" s="570">
        <f ca="1">INDEX(_Datos 48:48,,MATCH(_Búsqueda_Duración, _Datos _Headers,0))</f>
        <v>30</v>
      </c>
      <c r="I48" s="76">
        <f t="shared" ca="1" si="1"/>
        <v>43540</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42936</v>
      </c>
      <c r="S48" s="30">
        <f>_DPP _Decenal</f>
        <v>10</v>
      </c>
      <c r="U48" s="76">
        <f t="shared" ca="1" si="2"/>
        <v>43533</v>
      </c>
      <c r="V48" s="30">
        <f t="shared" ca="1" si="4"/>
        <v>30</v>
      </c>
    </row>
    <row r="49" spans="1:22">
      <c r="A49" s="12"/>
      <c r="E49" s="98">
        <f t="shared" si="0"/>
        <v>30</v>
      </c>
      <c r="F49" s="580">
        <f ca="1">INDEX(_Datos 49:49,,MATCH(_Búsqueda_Fechas_Pago, _Datos _Headers,0))</f>
        <v>43571</v>
      </c>
      <c r="G49" s="570">
        <f ca="1">INDEX(_Datos 49:49,,MATCH(_Búsqueda_Duración, _Datos _Headers,0))</f>
        <v>30</v>
      </c>
      <c r="I49" s="76">
        <f t="shared" ca="1" si="1"/>
        <v>43571</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42947</v>
      </c>
      <c r="S49" s="30">
        <f>_DPP _Decenal</f>
        <v>10</v>
      </c>
      <c r="U49" s="76">
        <f t="shared" ca="1" si="2"/>
        <v>43563</v>
      </c>
      <c r="V49" s="30">
        <f t="shared" ca="1" si="4"/>
        <v>30</v>
      </c>
    </row>
    <row r="50" spans="1:22">
      <c r="A50" s="12"/>
      <c r="E50" s="98">
        <f t="shared" si="0"/>
        <v>30</v>
      </c>
      <c r="F50" s="580">
        <f ca="1">INDEX(_Datos 50:50,,MATCH(_Búsqueda_Fechas_Pago, _Datos _Headers,0))</f>
        <v>43601</v>
      </c>
      <c r="G50" s="570">
        <f ca="1">INDEX(_Datos 50:50,,MATCH(_Búsqueda_Duración, _Datos _Headers,0))</f>
        <v>30</v>
      </c>
      <c r="I50" s="76">
        <f t="shared" ca="1" si="1"/>
        <v>43601</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42957</v>
      </c>
      <c r="S50" s="30">
        <f>_DPP _Decenal</f>
        <v>10</v>
      </c>
      <c r="U50" s="76">
        <f t="shared" ca="1" si="2"/>
        <v>43593</v>
      </c>
      <c r="V50" s="30">
        <f t="shared" ca="1" si="4"/>
        <v>30</v>
      </c>
    </row>
    <row r="51" spans="1:22">
      <c r="A51" s="12"/>
      <c r="E51" s="98">
        <f t="shared" si="0"/>
        <v>30</v>
      </c>
      <c r="F51" s="580">
        <f ca="1">INDEX(_Datos 51:51,,MATCH(_Búsqueda_Fechas_Pago, _Datos _Headers,0))</f>
        <v>43632</v>
      </c>
      <c r="G51" s="570">
        <f ca="1">INDEX(_Datos 51:51,,MATCH(_Búsqueda_Duración, _Datos _Headers,0))</f>
        <v>30</v>
      </c>
      <c r="I51" s="76">
        <f t="shared" ca="1" si="1"/>
        <v>43632</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42967</v>
      </c>
      <c r="S51" s="30">
        <f>_DPP _Decenal</f>
        <v>10</v>
      </c>
      <c r="U51" s="76">
        <f t="shared" ca="1" si="2"/>
        <v>43623</v>
      </c>
      <c r="V51" s="30">
        <f t="shared" ca="1" si="4"/>
        <v>30</v>
      </c>
    </row>
    <row r="52" spans="1:22">
      <c r="A52" s="12"/>
      <c r="E52" s="98">
        <f t="shared" si="0"/>
        <v>30</v>
      </c>
      <c r="F52" s="580">
        <f ca="1">INDEX(_Datos 52:52,,MATCH(_Búsqueda_Fechas_Pago, _Datos _Headers,0))</f>
        <v>43662</v>
      </c>
      <c r="G52" s="570">
        <f ca="1">INDEX(_Datos 52:52,,MATCH(_Búsqueda_Duración, _Datos _Headers,0))</f>
        <v>30</v>
      </c>
      <c r="I52" s="76">
        <f t="shared" ca="1" si="1"/>
        <v>43662</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42978</v>
      </c>
      <c r="S52" s="30">
        <f>_DPP _Decenal</f>
        <v>10</v>
      </c>
      <c r="U52" s="76">
        <f t="shared" ca="1" si="2"/>
        <v>43653</v>
      </c>
      <c r="V52" s="30">
        <f t="shared" ca="1" si="4"/>
        <v>30</v>
      </c>
    </row>
    <row r="53" spans="1:22">
      <c r="A53" s="12"/>
      <c r="E53" s="98">
        <f t="shared" si="0"/>
        <v>30</v>
      </c>
      <c r="F53" s="580">
        <f ca="1">INDEX(_Datos 53:53,,MATCH(_Búsqueda_Fechas_Pago, _Datos _Headers,0))</f>
        <v>43693</v>
      </c>
      <c r="G53" s="570">
        <f ca="1">INDEX(_Datos 53:53,,MATCH(_Búsqueda_Duración, _Datos _Headers,0))</f>
        <v>30</v>
      </c>
      <c r="I53" s="76">
        <f t="shared" ca="1" si="1"/>
        <v>43693</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42988</v>
      </c>
      <c r="S53" s="30">
        <f>_DPP _Decenal</f>
        <v>10</v>
      </c>
      <c r="U53" s="76">
        <f t="shared" ca="1" si="2"/>
        <v>43683</v>
      </c>
      <c r="V53" s="30">
        <f t="shared" ca="1" si="4"/>
        <v>30</v>
      </c>
    </row>
    <row r="54" spans="1:22">
      <c r="A54" s="12"/>
      <c r="E54" s="98">
        <f t="shared" si="0"/>
        <v>30</v>
      </c>
      <c r="F54" s="580">
        <f ca="1">INDEX(_Datos 54:54,,MATCH(_Búsqueda_Fechas_Pago, _Datos _Headers,0))</f>
        <v>43724</v>
      </c>
      <c r="G54" s="570">
        <f ca="1">INDEX(_Datos 54:54,,MATCH(_Búsqueda_Duración, _Datos _Headers,0))</f>
        <v>30</v>
      </c>
      <c r="I54" s="76">
        <f t="shared" ca="1" si="1"/>
        <v>43724</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42998</v>
      </c>
      <c r="S54" s="30">
        <f>_DPP _Decenal</f>
        <v>10</v>
      </c>
      <c r="U54" s="76">
        <f t="shared" ca="1" si="2"/>
        <v>43713</v>
      </c>
      <c r="V54" s="30">
        <f t="shared" ca="1" si="4"/>
        <v>30</v>
      </c>
    </row>
    <row r="55" spans="1:22">
      <c r="A55" s="12"/>
      <c r="E55" s="98">
        <f t="shared" si="0"/>
        <v>30</v>
      </c>
      <c r="F55" s="580">
        <f ca="1">INDEX(_Datos 55:55,,MATCH(_Búsqueda_Fechas_Pago, _Datos _Headers,0))</f>
        <v>43754</v>
      </c>
      <c r="G55" s="570">
        <f ca="1">INDEX(_Datos 55:55,,MATCH(_Búsqueda_Duración, _Datos _Headers,0))</f>
        <v>30</v>
      </c>
      <c r="I55" s="76">
        <f t="shared" ca="1" si="1"/>
        <v>43754</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43008</v>
      </c>
      <c r="S55" s="30">
        <f>_DPP _Decenal</f>
        <v>10</v>
      </c>
      <c r="U55" s="76">
        <f t="shared" ca="1" si="2"/>
        <v>43743</v>
      </c>
      <c r="V55" s="30">
        <f t="shared" ca="1" si="4"/>
        <v>30</v>
      </c>
    </row>
    <row r="56" spans="1:22">
      <c r="A56" s="12"/>
      <c r="E56" s="98">
        <f t="shared" si="0"/>
        <v>30</v>
      </c>
      <c r="F56" s="580">
        <f ca="1">INDEX(_Datos 56:56,,MATCH(_Búsqueda_Fechas_Pago, _Datos _Headers,0))</f>
        <v>43785</v>
      </c>
      <c r="G56" s="570">
        <f ca="1">INDEX(_Datos 56:56,,MATCH(_Búsqueda_Duración, _Datos _Headers,0))</f>
        <v>30</v>
      </c>
      <c r="I56" s="76">
        <f t="shared" ca="1" si="1"/>
        <v>43785</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43018</v>
      </c>
      <c r="S56" s="30">
        <f>_DPP _Decenal</f>
        <v>10</v>
      </c>
      <c r="U56" s="76">
        <f t="shared" ca="1" si="2"/>
        <v>43773</v>
      </c>
      <c r="V56" s="30">
        <f t="shared" ca="1" si="4"/>
        <v>30</v>
      </c>
    </row>
    <row r="57" spans="1:22">
      <c r="A57" s="12"/>
      <c r="E57" s="98">
        <f t="shared" si="0"/>
        <v>30</v>
      </c>
      <c r="F57" s="580">
        <f ca="1">INDEX(_Datos 57:57,,MATCH(_Búsqueda_Fechas_Pago, _Datos _Headers,0))</f>
        <v>43815</v>
      </c>
      <c r="G57" s="570">
        <f ca="1">INDEX(_Datos 57:57,,MATCH(_Búsqueda_Duración, _Datos _Headers,0))</f>
        <v>30</v>
      </c>
      <c r="I57" s="76">
        <f t="shared" ca="1" si="1"/>
        <v>43815</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43028</v>
      </c>
      <c r="S57" s="30">
        <f>_DPP _Decenal</f>
        <v>10</v>
      </c>
      <c r="U57" s="76">
        <f t="shared" ca="1" si="2"/>
        <v>43803</v>
      </c>
      <c r="V57" s="30">
        <f t="shared" ca="1" si="4"/>
        <v>30</v>
      </c>
    </row>
    <row r="58" spans="1:22">
      <c r="A58" s="12"/>
      <c r="E58" s="98">
        <f t="shared" si="0"/>
        <v>30</v>
      </c>
      <c r="F58" s="580">
        <f ca="1">INDEX(_Datos 58:58,,MATCH(_Búsqueda_Fechas_Pago, _Datos _Headers,0))</f>
        <v>43846</v>
      </c>
      <c r="G58" s="570">
        <f ca="1">INDEX(_Datos 58:58,,MATCH(_Búsqueda_Duración, _Datos _Headers,0))</f>
        <v>30</v>
      </c>
      <c r="I58" s="76">
        <f t="shared" ca="1" si="1"/>
        <v>43846</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43039</v>
      </c>
      <c r="S58" s="30">
        <f>_DPP _Decenal</f>
        <v>10</v>
      </c>
      <c r="U58" s="76">
        <f t="shared" ca="1" si="2"/>
        <v>43833</v>
      </c>
      <c r="V58" s="30">
        <f t="shared" ca="1" si="4"/>
        <v>30</v>
      </c>
    </row>
    <row r="59" spans="1:22">
      <c r="A59" s="12"/>
      <c r="E59" s="98">
        <f t="shared" si="0"/>
        <v>30</v>
      </c>
      <c r="F59" s="580">
        <f ca="1">INDEX(_Datos 59:59,,MATCH(_Búsqueda_Fechas_Pago, _Datos _Headers,0))</f>
        <v>43877</v>
      </c>
      <c r="G59" s="570">
        <f ca="1">INDEX(_Datos 59:59,,MATCH(_Búsqueda_Duración, _Datos _Headers,0))</f>
        <v>30</v>
      </c>
      <c r="I59" s="76">
        <f t="shared" ca="1" si="1"/>
        <v>43877</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43049</v>
      </c>
      <c r="S59" s="30">
        <f>_DPP _Decenal</f>
        <v>10</v>
      </c>
      <c r="U59" s="76">
        <f t="shared" ca="1" si="2"/>
        <v>43863</v>
      </c>
      <c r="V59" s="30">
        <f t="shared" ca="1" si="4"/>
        <v>30</v>
      </c>
    </row>
    <row r="60" spans="1:22">
      <c r="A60" s="12"/>
      <c r="E60" s="98">
        <f t="shared" si="0"/>
        <v>30</v>
      </c>
      <c r="F60" s="580">
        <f ca="1">INDEX(_Datos 60:60,,MATCH(_Búsqueda_Fechas_Pago, _Datos _Headers,0))</f>
        <v>43906</v>
      </c>
      <c r="G60" s="570">
        <f ca="1">INDEX(_Datos 60:60,,MATCH(_Búsqueda_Duración, _Datos _Headers,0))</f>
        <v>30</v>
      </c>
      <c r="I60" s="76">
        <f t="shared" ca="1" si="1"/>
        <v>43906</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43059</v>
      </c>
      <c r="S60" s="30">
        <f>_DPP _Decenal</f>
        <v>10</v>
      </c>
      <c r="U60" s="76">
        <f t="shared" ca="1" si="2"/>
        <v>43893</v>
      </c>
      <c r="V60" s="30">
        <f t="shared" ca="1" si="4"/>
        <v>30</v>
      </c>
    </row>
    <row r="61" spans="1:22">
      <c r="A61" s="12"/>
      <c r="E61" s="98">
        <f t="shared" si="0"/>
        <v>30</v>
      </c>
      <c r="F61" s="580">
        <f ca="1">INDEX(_Datos 61:61,,MATCH(_Búsqueda_Fechas_Pago, _Datos _Headers,0))</f>
        <v>43937</v>
      </c>
      <c r="G61" s="570">
        <f ca="1">INDEX(_Datos 61:61,,MATCH(_Búsqueda_Duración, _Datos _Headers,0))</f>
        <v>30</v>
      </c>
      <c r="I61" s="76">
        <f t="shared" ca="1" si="1"/>
        <v>43937</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43069</v>
      </c>
      <c r="S61" s="30">
        <f>_DPP _Decenal</f>
        <v>10</v>
      </c>
      <c r="U61" s="76">
        <f t="shared" ca="1" si="2"/>
        <v>43923</v>
      </c>
      <c r="V61" s="30">
        <f t="shared" ca="1" si="4"/>
        <v>30</v>
      </c>
    </row>
    <row r="62" spans="1:22">
      <c r="A62" s="12"/>
      <c r="E62" s="98">
        <f t="shared" si="0"/>
        <v>30</v>
      </c>
      <c r="F62" s="580">
        <f ca="1">INDEX(_Datos 62:62,,MATCH(_Búsqueda_Fechas_Pago, _Datos _Headers,0))</f>
        <v>43967</v>
      </c>
      <c r="G62" s="570">
        <f ca="1">INDEX(_Datos 62:62,,MATCH(_Búsqueda_Duración, _Datos _Headers,0))</f>
        <v>30</v>
      </c>
      <c r="I62" s="76">
        <f t="shared" ca="1" si="1"/>
        <v>43967</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43079</v>
      </c>
      <c r="S62" s="30">
        <f>_DPP _Decenal</f>
        <v>10</v>
      </c>
      <c r="U62" s="76">
        <f t="shared" ca="1" si="2"/>
        <v>43953</v>
      </c>
      <c r="V62" s="30">
        <f t="shared" ca="1" si="4"/>
        <v>30</v>
      </c>
    </row>
    <row r="63" spans="1:22">
      <c r="A63" s="12"/>
      <c r="E63" s="98">
        <f t="shared" si="0"/>
        <v>30</v>
      </c>
      <c r="F63" s="580">
        <f ca="1">INDEX(_Datos 63:63,,MATCH(_Búsqueda_Fechas_Pago, _Datos _Headers,0))</f>
        <v>43998</v>
      </c>
      <c r="G63" s="570">
        <f ca="1">INDEX(_Datos 63:63,,MATCH(_Búsqueda_Duración, _Datos _Headers,0))</f>
        <v>30</v>
      </c>
      <c r="I63" s="76">
        <f t="shared" ca="1" si="1"/>
        <v>43998</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43089</v>
      </c>
      <c r="S63" s="30">
        <f>_DPP _Decenal</f>
        <v>10</v>
      </c>
      <c r="U63" s="76">
        <f t="shared" ca="1" si="2"/>
        <v>43983</v>
      </c>
      <c r="V63" s="30">
        <f t="shared" ca="1" si="4"/>
        <v>30</v>
      </c>
    </row>
    <row r="64" spans="1:22">
      <c r="A64" s="12"/>
      <c r="E64" s="98">
        <f t="shared" si="0"/>
        <v>30</v>
      </c>
      <c r="F64" s="580">
        <f ca="1">INDEX(_Datos 64:64,,MATCH(_Búsqueda_Fechas_Pago, _Datos _Headers,0))</f>
        <v>44028</v>
      </c>
      <c r="G64" s="570">
        <f ca="1">INDEX(_Datos 64:64,,MATCH(_Búsqueda_Duración, _Datos _Headers,0))</f>
        <v>30</v>
      </c>
      <c r="I64" s="76">
        <f t="shared" ca="1" si="1"/>
        <v>44028</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43100</v>
      </c>
      <c r="S64" s="30">
        <f>_DPP _Decenal</f>
        <v>10</v>
      </c>
      <c r="U64" s="76">
        <f t="shared" ca="1" si="2"/>
        <v>44013</v>
      </c>
      <c r="V64" s="30">
        <f t="shared" ca="1" si="4"/>
        <v>30</v>
      </c>
    </row>
    <row r="65" spans="1:22">
      <c r="A65" s="12"/>
      <c r="E65" s="98">
        <f t="shared" si="0"/>
        <v>30</v>
      </c>
      <c r="F65" s="580">
        <f ca="1">INDEX(_Datos 65:65,,MATCH(_Búsqueda_Fechas_Pago, _Datos _Headers,0))</f>
        <v>44059</v>
      </c>
      <c r="G65" s="570">
        <f ca="1">INDEX(_Datos 65:65,,MATCH(_Búsqueda_Duración, _Datos _Headers,0))</f>
        <v>30</v>
      </c>
      <c r="I65" s="76">
        <f t="shared" ca="1" si="1"/>
        <v>44059</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43110</v>
      </c>
      <c r="S65" s="30">
        <f>_DPP _Decenal</f>
        <v>10</v>
      </c>
      <c r="U65" s="76">
        <f t="shared" ca="1" si="2"/>
        <v>44043</v>
      </c>
      <c r="V65" s="30">
        <f t="shared" ca="1" si="4"/>
        <v>30</v>
      </c>
    </row>
    <row r="66" spans="1:22">
      <c r="A66" s="12"/>
      <c r="E66" s="98">
        <f t="shared" si="0"/>
        <v>30</v>
      </c>
      <c r="F66" s="580">
        <f ca="1">INDEX(_Datos 66:66,,MATCH(_Búsqueda_Fechas_Pago, _Datos _Headers,0))</f>
        <v>44090</v>
      </c>
      <c r="G66" s="570">
        <f ca="1">INDEX(_Datos 66:66,,MATCH(_Búsqueda_Duración, _Datos _Headers,0))</f>
        <v>30</v>
      </c>
      <c r="I66" s="76">
        <f t="shared" ca="1" si="1"/>
        <v>44090</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43120</v>
      </c>
      <c r="S66" s="30">
        <f>_DPP _Decenal</f>
        <v>10</v>
      </c>
      <c r="U66" s="76">
        <f t="shared" ca="1" si="2"/>
        <v>44073</v>
      </c>
      <c r="V66" s="30">
        <f t="shared" ca="1" si="4"/>
        <v>30</v>
      </c>
    </row>
    <row r="67" spans="1:22">
      <c r="A67" s="12"/>
      <c r="E67" s="98">
        <f t="shared" si="0"/>
        <v>30</v>
      </c>
      <c r="F67" s="580">
        <f ca="1">INDEX(_Datos 67:67,,MATCH(_Búsqueda_Fechas_Pago, _Datos _Headers,0))</f>
        <v>44120</v>
      </c>
      <c r="G67" s="570">
        <f ca="1">INDEX(_Datos 67:67,,MATCH(_Búsqueda_Duración, _Datos _Headers,0))</f>
        <v>30</v>
      </c>
      <c r="I67" s="76">
        <f t="shared" ca="1" si="1"/>
        <v>44120</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43131</v>
      </c>
      <c r="S67" s="30">
        <f>_DPP _Decenal</f>
        <v>10</v>
      </c>
      <c r="U67" s="76">
        <f t="shared" ca="1" si="2"/>
        <v>44103</v>
      </c>
      <c r="V67" s="30">
        <f t="shared" ca="1" si="4"/>
        <v>30</v>
      </c>
    </row>
    <row r="68" spans="1:22">
      <c r="A68" s="12"/>
      <c r="E68" s="98">
        <f t="shared" si="0"/>
        <v>30</v>
      </c>
      <c r="F68" s="580">
        <f ca="1">INDEX(_Datos 68:68,,MATCH(_Búsqueda_Fechas_Pago, _Datos _Headers,0))</f>
        <v>44151</v>
      </c>
      <c r="G68" s="570">
        <f ca="1">INDEX(_Datos 68:68,,MATCH(_Búsqueda_Duración, _Datos _Headers,0))</f>
        <v>30</v>
      </c>
      <c r="I68" s="76">
        <f t="shared" ca="1" si="1"/>
        <v>44151</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43141</v>
      </c>
      <c r="S68" s="30">
        <f>_DPP _Decenal</f>
        <v>10</v>
      </c>
      <c r="U68" s="76">
        <f t="shared" ca="1" si="2"/>
        <v>44133</v>
      </c>
      <c r="V68" s="30">
        <f t="shared" ca="1" si="4"/>
        <v>30</v>
      </c>
    </row>
    <row r="69" spans="1:22">
      <c r="A69" s="12"/>
      <c r="E69" s="98">
        <f t="shared" si="0"/>
        <v>30</v>
      </c>
      <c r="F69" s="580">
        <f ca="1">INDEX(_Datos 69:69,,MATCH(_Búsqueda_Fechas_Pago, _Datos _Headers,0))</f>
        <v>44181</v>
      </c>
      <c r="G69" s="570">
        <f ca="1">INDEX(_Datos 69:69,,MATCH(_Búsqueda_Duración, _Datos _Headers,0))</f>
        <v>30</v>
      </c>
      <c r="I69" s="76">
        <f t="shared" ca="1" si="1"/>
        <v>44181</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43151</v>
      </c>
      <c r="S69" s="30">
        <f>_DPP _Decenal</f>
        <v>10</v>
      </c>
      <c r="U69" s="76">
        <f t="shared" ca="1" si="2"/>
        <v>44163</v>
      </c>
      <c r="V69" s="30">
        <f t="shared" ca="1" si="4"/>
        <v>30</v>
      </c>
    </row>
    <row r="70" spans="1:22">
      <c r="A70" s="12"/>
      <c r="E70" s="98">
        <f t="shared" si="0"/>
        <v>30</v>
      </c>
      <c r="F70" s="580">
        <f ca="1">INDEX(_Datos 70:70,,MATCH(_Búsqueda_Fechas_Pago, _Datos _Headers,0))</f>
        <v>44212</v>
      </c>
      <c r="G70" s="570">
        <f ca="1">INDEX(_Datos 70:70,,MATCH(_Búsqueda_Duración, _Datos _Headers,0))</f>
        <v>30</v>
      </c>
      <c r="I70" s="76">
        <f t="shared" ca="1" si="1"/>
        <v>44212</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43159</v>
      </c>
      <c r="S70" s="30">
        <f>_DPP _Decenal</f>
        <v>10</v>
      </c>
      <c r="U70" s="76">
        <f t="shared" ca="1" si="2"/>
        <v>44193</v>
      </c>
      <c r="V70" s="30">
        <f t="shared" ca="1" si="4"/>
        <v>30</v>
      </c>
    </row>
    <row r="71" spans="1:22">
      <c r="A71" s="12"/>
      <c r="E71" s="98">
        <f t="shared" si="0"/>
        <v>30</v>
      </c>
      <c r="F71" s="580">
        <f ca="1">INDEX(_Datos 71:71,,MATCH(_Búsqueda_Fechas_Pago, _Datos _Headers,0))</f>
        <v>44243</v>
      </c>
      <c r="G71" s="570">
        <f ca="1">INDEX(_Datos 71:71,,MATCH(_Búsqueda_Duración, _Datos _Headers,0))</f>
        <v>30</v>
      </c>
      <c r="I71" s="76">
        <f t="shared" ca="1" si="1"/>
        <v>44243</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43169</v>
      </c>
      <c r="S71" s="30">
        <f>_DPP _Decenal</f>
        <v>10</v>
      </c>
      <c r="U71" s="76">
        <f t="shared" ca="1" si="2"/>
        <v>44223</v>
      </c>
      <c r="V71" s="30">
        <f t="shared" ca="1" si="4"/>
        <v>30</v>
      </c>
    </row>
    <row r="72" spans="1:22">
      <c r="A72" s="12"/>
      <c r="E72" s="98">
        <f t="shared" si="0"/>
        <v>30</v>
      </c>
      <c r="F72" s="580">
        <f ca="1">INDEX(_Datos 72:72,,MATCH(_Búsqueda_Fechas_Pago, _Datos _Headers,0))</f>
        <v>44271</v>
      </c>
      <c r="G72" s="570">
        <f ca="1">INDEX(_Datos 72:72,,MATCH(_Búsqueda_Duración, _Datos _Headers,0))</f>
        <v>30</v>
      </c>
      <c r="I72" s="76">
        <f t="shared" ca="1" si="1"/>
        <v>44271</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43179</v>
      </c>
      <c r="S72" s="30">
        <f>_DPP _Decenal</f>
        <v>10</v>
      </c>
      <c r="U72" s="76">
        <f t="shared" ca="1" si="2"/>
        <v>44253</v>
      </c>
      <c r="V72" s="30">
        <f t="shared" ca="1" si="4"/>
        <v>30</v>
      </c>
    </row>
    <row r="73" spans="1:22">
      <c r="A73" s="12"/>
      <c r="E73" s="98">
        <f t="shared" si="0"/>
        <v>30</v>
      </c>
      <c r="F73" s="580">
        <f ca="1">INDEX(_Datos 73:73,,MATCH(_Búsqueda_Fechas_Pago, _Datos _Headers,0))</f>
        <v>44302</v>
      </c>
      <c r="G73" s="570">
        <f ca="1">INDEX(_Datos 73:73,,MATCH(_Búsqueda_Duración, _Datos _Headers,0))</f>
        <v>30</v>
      </c>
      <c r="I73" s="76">
        <f t="shared" ca="1" si="1"/>
        <v>44302</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43190</v>
      </c>
      <c r="S73" s="30">
        <f>_DPP _Decenal</f>
        <v>10</v>
      </c>
      <c r="U73" s="76">
        <f t="shared" ca="1" si="2"/>
        <v>44283</v>
      </c>
      <c r="V73" s="30">
        <f t="shared" ca="1" si="4"/>
        <v>30</v>
      </c>
    </row>
    <row r="74" spans="1:22">
      <c r="A74" s="12"/>
      <c r="E74" s="98">
        <f t="shared" si="0"/>
        <v>30</v>
      </c>
      <c r="F74" s="580">
        <f ca="1">INDEX(_Datos 74:74,,MATCH(_Búsqueda_Fechas_Pago, _Datos _Headers,0))</f>
        <v>44332</v>
      </c>
      <c r="G74" s="570">
        <f ca="1">INDEX(_Datos 74:74,,MATCH(_Búsqueda_Duración, _Datos _Headers,0))</f>
        <v>30</v>
      </c>
      <c r="I74" s="76">
        <f t="shared" ca="1" si="1"/>
        <v>44332</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43200</v>
      </c>
      <c r="S74" s="30">
        <f>_DPP _Decenal</f>
        <v>10</v>
      </c>
      <c r="U74" s="76">
        <f t="shared" ca="1" si="2"/>
        <v>44313</v>
      </c>
      <c r="V74" s="30">
        <f t="shared" ca="1" si="4"/>
        <v>30</v>
      </c>
    </row>
    <row r="75" spans="1:22">
      <c r="A75" s="12"/>
      <c r="E75" s="98">
        <f t="shared" si="0"/>
        <v>30</v>
      </c>
      <c r="F75" s="580">
        <f ca="1">INDEX(_Datos 75:75,,MATCH(_Búsqueda_Fechas_Pago, _Datos _Headers,0))</f>
        <v>44363</v>
      </c>
      <c r="G75" s="570">
        <f ca="1">INDEX(_Datos 75:75,,MATCH(_Búsqueda_Duración, _Datos _Headers,0))</f>
        <v>30</v>
      </c>
      <c r="I75" s="76">
        <f t="shared" ca="1" si="1"/>
        <v>44363</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43210</v>
      </c>
      <c r="S75" s="30">
        <f>_DPP _Decenal</f>
        <v>10</v>
      </c>
      <c r="U75" s="76">
        <f t="shared" ca="1" si="2"/>
        <v>44343</v>
      </c>
      <c r="V75" s="30">
        <f t="shared" ca="1" si="4"/>
        <v>30</v>
      </c>
    </row>
    <row r="76" spans="1:22">
      <c r="A76" s="12"/>
      <c r="E76" s="98">
        <f t="shared" si="0"/>
        <v>30</v>
      </c>
      <c r="F76" s="580">
        <f ca="1">INDEX(_Datos 76:76,,MATCH(_Búsqueda_Fechas_Pago, _Datos _Headers,0))</f>
        <v>44393</v>
      </c>
      <c r="G76" s="570">
        <f ca="1">INDEX(_Datos 76:76,,MATCH(_Búsqueda_Duración, _Datos _Headers,0))</f>
        <v>30</v>
      </c>
      <c r="I76" s="76">
        <f t="shared" ca="1" si="1"/>
        <v>44393</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43220</v>
      </c>
      <c r="S76" s="30">
        <f>_DPP _Decenal</f>
        <v>10</v>
      </c>
      <c r="U76" s="76">
        <f t="shared" ca="1" si="2"/>
        <v>44373</v>
      </c>
      <c r="V76" s="30">
        <f t="shared" ca="1" si="4"/>
        <v>30</v>
      </c>
    </row>
    <row r="77" spans="1:22">
      <c r="A77" s="12"/>
      <c r="E77" s="98">
        <f t="shared" si="0"/>
        <v>30</v>
      </c>
      <c r="F77" s="580">
        <f ca="1">INDEX(_Datos 77:77,,MATCH(_Búsqueda_Fechas_Pago, _Datos _Headers,0))</f>
        <v>44424</v>
      </c>
      <c r="G77" s="570">
        <f ca="1">INDEX(_Datos 77:77,,MATCH(_Búsqueda_Duración, _Datos _Headers,0))</f>
        <v>30</v>
      </c>
      <c r="I77" s="76">
        <f t="shared" ca="1" si="1"/>
        <v>44424</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43230</v>
      </c>
      <c r="S77" s="30">
        <f>_DPP _Decenal</f>
        <v>10</v>
      </c>
      <c r="U77" s="76">
        <f t="shared" ca="1" si="2"/>
        <v>44403</v>
      </c>
      <c r="V77" s="30">
        <f t="shared" ca="1" si="4"/>
        <v>30</v>
      </c>
    </row>
    <row r="78" spans="1:22">
      <c r="A78" s="12"/>
      <c r="E78" s="98">
        <f t="shared" si="0"/>
        <v>30</v>
      </c>
      <c r="F78" s="580">
        <f ca="1">INDEX(_Datos 78:78,,MATCH(_Búsqueda_Fechas_Pago, _Datos _Headers,0))</f>
        <v>44455</v>
      </c>
      <c r="G78" s="616">
        <f ca="1">INDEX(_Datos 78:78,,MATCH(_Búsqueda_Duración, _Datos _Headers,0))</f>
        <v>30</v>
      </c>
      <c r="H78" s="615"/>
      <c r="I78" s="76">
        <f t="shared" ca="1" si="1"/>
        <v>44455</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43240</v>
      </c>
      <c r="S78" s="30">
        <f>_DPP _Decenal</f>
        <v>10</v>
      </c>
      <c r="T78" s="615"/>
      <c r="U78" s="76">
        <f t="shared" ca="1" si="2"/>
        <v>44433</v>
      </c>
      <c r="V78" s="30">
        <f t="shared" ca="1" si="4"/>
        <v>30</v>
      </c>
    </row>
    <row r="79" spans="1:22">
      <c r="A79" s="12"/>
      <c r="E79" s="98">
        <f t="shared" si="0"/>
        <v>30</v>
      </c>
      <c r="F79" s="580">
        <f ca="1">INDEX(_Datos 79:79,,MATCH(_Búsqueda_Fechas_Pago, _Datos _Headers,0))</f>
        <v>44485</v>
      </c>
      <c r="G79" s="616">
        <f ca="1">INDEX(_Datos 79:79,,MATCH(_Búsqueda_Duración, _Datos _Headers,0))</f>
        <v>30</v>
      </c>
      <c r="H79" s="615"/>
      <c r="I79" s="76">
        <f t="shared" ca="1" si="1"/>
        <v>44485</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43251</v>
      </c>
      <c r="S79" s="30">
        <f>_DPP _Decenal</f>
        <v>10</v>
      </c>
      <c r="T79" s="615"/>
      <c r="U79" s="76">
        <f t="shared" ca="1" si="2"/>
        <v>44463</v>
      </c>
      <c r="V79" s="30">
        <f t="shared" ca="1" si="4"/>
        <v>30</v>
      </c>
    </row>
    <row r="80" spans="1:22">
      <c r="A80" s="12"/>
      <c r="E80" s="98">
        <f t="shared" si="0"/>
        <v>30</v>
      </c>
      <c r="F80" s="580">
        <f ca="1">INDEX(_Datos 80:80,,MATCH(_Búsqueda_Fechas_Pago, _Datos _Headers,0))</f>
        <v>44516</v>
      </c>
      <c r="G80" s="616">
        <f ca="1">INDEX(_Datos 80:80,,MATCH(_Búsqueda_Duración, _Datos _Headers,0))</f>
        <v>30</v>
      </c>
      <c r="H80" s="615"/>
      <c r="I80" s="76">
        <f t="shared" ca="1" si="1"/>
        <v>44516</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43261</v>
      </c>
      <c r="S80" s="30">
        <f>_DPP _Decenal</f>
        <v>10</v>
      </c>
      <c r="T80" s="615"/>
      <c r="U80" s="76">
        <f t="shared" ca="1" si="2"/>
        <v>44493</v>
      </c>
      <c r="V80" s="30">
        <f t="shared" ca="1" si="4"/>
        <v>30</v>
      </c>
    </row>
    <row r="81" spans="1:22">
      <c r="A81" s="12"/>
      <c r="E81" s="98">
        <f t="shared" si="0"/>
        <v>30</v>
      </c>
      <c r="F81" s="580">
        <f ca="1">INDEX(_Datos 81:81,,MATCH(_Búsqueda_Fechas_Pago, _Datos _Headers,0))</f>
        <v>44546</v>
      </c>
      <c r="G81" s="616">
        <f ca="1">INDEX(_Datos 81:81,,MATCH(_Búsqueda_Duración, _Datos _Headers,0))</f>
        <v>30</v>
      </c>
      <c r="H81" s="615"/>
      <c r="I81" s="76">
        <f t="shared" ca="1" si="1"/>
        <v>44546</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43271</v>
      </c>
      <c r="S81" s="30">
        <f>_DPP _Decenal</f>
        <v>10</v>
      </c>
      <c r="T81" s="615"/>
      <c r="U81" s="76">
        <f t="shared" ca="1" si="2"/>
        <v>44523</v>
      </c>
      <c r="V81" s="30">
        <f t="shared" ca="1" si="4"/>
        <v>30</v>
      </c>
    </row>
    <row r="82" spans="1:22">
      <c r="A82" s="12"/>
      <c r="E82" s="98">
        <f t="shared" si="0"/>
        <v>30</v>
      </c>
      <c r="F82" s="580">
        <f ca="1">INDEX(_Datos 82:82,,MATCH(_Búsqueda_Fechas_Pago, _Datos _Headers,0))</f>
        <v>44577</v>
      </c>
      <c r="G82" s="616">
        <f ca="1">INDEX(_Datos 82:82,,MATCH(_Búsqueda_Duración, _Datos _Headers,0))</f>
        <v>30</v>
      </c>
      <c r="H82" s="615"/>
      <c r="I82" s="76">
        <f t="shared" ca="1" si="1"/>
        <v>44577</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43281</v>
      </c>
      <c r="S82" s="30">
        <f>_DPP _Decenal</f>
        <v>10</v>
      </c>
      <c r="T82" s="615"/>
      <c r="U82" s="76">
        <f t="shared" ca="1" si="2"/>
        <v>44553</v>
      </c>
      <c r="V82" s="30">
        <f t="shared" ca="1" si="4"/>
        <v>30</v>
      </c>
    </row>
    <row r="83" spans="1:22">
      <c r="E83" s="98">
        <f t="shared" ref="E83:E146" si="5">_Días_por_Periodo</f>
        <v>30</v>
      </c>
      <c r="F83" s="580">
        <f ca="1">INDEX(_Datos 83:83,,MATCH(_Búsqueda_Fechas_Pago, _Datos _Headers,0))</f>
        <v>44608</v>
      </c>
      <c r="G83" s="616">
        <f ca="1">INDEX(_Datos 83:83,,MATCH(_Búsqueda_Duración, _Datos _Headers,0))</f>
        <v>30</v>
      </c>
      <c r="H83" s="615"/>
      <c r="I83" s="76">
        <f t="shared" ca="1" si="1"/>
        <v>44608</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43291</v>
      </c>
      <c r="S83" s="30">
        <f>_DPP _Decenal</f>
        <v>10</v>
      </c>
      <c r="T83" s="615"/>
      <c r="U83" s="76">
        <f t="shared" ca="1" si="2"/>
        <v>44583</v>
      </c>
      <c r="V83" s="30">
        <f t="shared" ca="1" si="4"/>
        <v>30</v>
      </c>
    </row>
    <row r="84" spans="1:22">
      <c r="E84" s="98">
        <f t="shared" si="5"/>
        <v>30</v>
      </c>
      <c r="F84" s="580">
        <f ca="1">INDEX(_Datos 84:84,,MATCH(_Búsqueda_Fechas_Pago, _Datos _Headers,0))</f>
        <v>44636</v>
      </c>
      <c r="G84" s="616">
        <f ca="1">INDEX(_Datos 84:84,,MATCH(_Búsqueda_Duración, _Datos _Headers,0))</f>
        <v>30</v>
      </c>
      <c r="H84" s="615"/>
      <c r="I84" s="76">
        <f t="shared" ref="I84:I147" ca="1" si="6">IF(DAY(I83)&gt;=Const_Dia_Corte_Aniversario,EOMONTH(I83,1)+1,EOMONTH(I83,0)+DAY(I83))</f>
        <v>44636</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43301</v>
      </c>
      <c r="S84" s="30">
        <f>_DPP _Decenal</f>
        <v>10</v>
      </c>
      <c r="T84" s="615"/>
      <c r="U84" s="76">
        <f t="shared" ref="U84:U147" ca="1" si="7">U83 + _Días_por_Periodo</f>
        <v>44613</v>
      </c>
      <c r="V84" s="30">
        <f t="shared" ca="1" si="4"/>
        <v>30</v>
      </c>
    </row>
    <row r="85" spans="1:22">
      <c r="E85" s="98">
        <f t="shared" si="5"/>
        <v>30</v>
      </c>
      <c r="F85" s="580">
        <f ca="1">INDEX(_Datos 85:85,,MATCH(_Búsqueda_Fechas_Pago, _Datos _Headers,0))</f>
        <v>44667</v>
      </c>
      <c r="G85" s="616">
        <f ca="1">INDEX(_Datos 85:85,,MATCH(_Búsqueda_Duración, _Datos _Headers,0))</f>
        <v>30</v>
      </c>
      <c r="H85" s="615"/>
      <c r="I85" s="76">
        <f t="shared" ca="1" si="6"/>
        <v>44667</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43312</v>
      </c>
      <c r="S85" s="30">
        <f>_DPP _Decenal</f>
        <v>10</v>
      </c>
      <c r="T85" s="615"/>
      <c r="U85" s="76">
        <f t="shared" ca="1" si="7"/>
        <v>44643</v>
      </c>
      <c r="V85" s="30">
        <f t="shared" ref="V85:V148" ca="1" si="9">U85 - U84</f>
        <v>30</v>
      </c>
    </row>
    <row r="86" spans="1:22">
      <c r="E86" s="98">
        <f t="shared" si="5"/>
        <v>30</v>
      </c>
      <c r="F86" s="580">
        <f ca="1">INDEX(_Datos 86:86,,MATCH(_Búsqueda_Fechas_Pago, _Datos _Headers,0))</f>
        <v>44697</v>
      </c>
      <c r="G86" s="616">
        <f ca="1">INDEX(_Datos 86:86,,MATCH(_Búsqueda_Duración, _Datos _Headers,0))</f>
        <v>30</v>
      </c>
      <c r="H86" s="615"/>
      <c r="I86" s="76">
        <f t="shared" ca="1" si="6"/>
        <v>44697</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43322</v>
      </c>
      <c r="S86" s="30">
        <f>_DPP _Decenal</f>
        <v>10</v>
      </c>
      <c r="T86" s="615"/>
      <c r="U86" s="76">
        <f t="shared" ca="1" si="7"/>
        <v>44673</v>
      </c>
      <c r="V86" s="30">
        <f t="shared" ca="1" si="9"/>
        <v>30</v>
      </c>
    </row>
    <row r="87" spans="1:22">
      <c r="E87" s="98">
        <f t="shared" si="5"/>
        <v>30</v>
      </c>
      <c r="F87" s="580">
        <f ca="1">INDEX(_Datos 87:87,,MATCH(_Búsqueda_Fechas_Pago, _Datos _Headers,0))</f>
        <v>44728</v>
      </c>
      <c r="G87" s="616">
        <f ca="1">INDEX(_Datos 87:87,,MATCH(_Búsqueda_Duración, _Datos _Headers,0))</f>
        <v>30</v>
      </c>
      <c r="H87" s="615"/>
      <c r="I87" s="76">
        <f t="shared" ca="1" si="6"/>
        <v>44728</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43332</v>
      </c>
      <c r="S87" s="30">
        <f>_DPP _Decenal</f>
        <v>10</v>
      </c>
      <c r="T87" s="615"/>
      <c r="U87" s="76">
        <f t="shared" ca="1" si="7"/>
        <v>44703</v>
      </c>
      <c r="V87" s="30">
        <f t="shared" ca="1" si="9"/>
        <v>30</v>
      </c>
    </row>
    <row r="88" spans="1:22">
      <c r="E88" s="98">
        <f t="shared" si="5"/>
        <v>30</v>
      </c>
      <c r="F88" s="580">
        <f ca="1">INDEX(_Datos 88:88,,MATCH(_Búsqueda_Fechas_Pago, _Datos _Headers,0))</f>
        <v>44758</v>
      </c>
      <c r="G88" s="616">
        <f ca="1">INDEX(_Datos 88:88,,MATCH(_Búsqueda_Duración, _Datos _Headers,0))</f>
        <v>30</v>
      </c>
      <c r="H88" s="615"/>
      <c r="I88" s="76">
        <f t="shared" ca="1" si="6"/>
        <v>44758</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43343</v>
      </c>
      <c r="S88" s="30">
        <f>_DPP _Decenal</f>
        <v>10</v>
      </c>
      <c r="T88" s="615"/>
      <c r="U88" s="76">
        <f t="shared" ca="1" si="7"/>
        <v>44733</v>
      </c>
      <c r="V88" s="30">
        <f t="shared" ca="1" si="9"/>
        <v>30</v>
      </c>
    </row>
    <row r="89" spans="1:22">
      <c r="E89" s="98">
        <f t="shared" si="5"/>
        <v>30</v>
      </c>
      <c r="F89" s="580">
        <f ca="1">INDEX(_Datos 89:89,,MATCH(_Búsqueda_Fechas_Pago, _Datos _Headers,0))</f>
        <v>44789</v>
      </c>
      <c r="G89" s="616">
        <f ca="1">INDEX(_Datos 89:89,,MATCH(_Búsqueda_Duración, _Datos _Headers,0))</f>
        <v>30</v>
      </c>
      <c r="H89" s="615"/>
      <c r="I89" s="76">
        <f t="shared" ca="1" si="6"/>
        <v>44789</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43353</v>
      </c>
      <c r="S89" s="30">
        <f>_DPP _Decenal</f>
        <v>10</v>
      </c>
      <c r="T89" s="615"/>
      <c r="U89" s="76">
        <f t="shared" ca="1" si="7"/>
        <v>44763</v>
      </c>
      <c r="V89" s="30">
        <f t="shared" ca="1" si="9"/>
        <v>30</v>
      </c>
    </row>
    <row r="90" spans="1:22">
      <c r="E90" s="98">
        <f t="shared" si="5"/>
        <v>30</v>
      </c>
      <c r="F90" s="580">
        <f ca="1">INDEX(_Datos 90:90,,MATCH(_Búsqueda_Fechas_Pago, _Datos _Headers,0))</f>
        <v>44820</v>
      </c>
      <c r="G90" s="616">
        <f ca="1">INDEX(_Datos 90:90,,MATCH(_Búsqueda_Duración, _Datos _Headers,0))</f>
        <v>30</v>
      </c>
      <c r="H90" s="615"/>
      <c r="I90" s="76">
        <f t="shared" ca="1" si="6"/>
        <v>44820</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43363</v>
      </c>
      <c r="S90" s="30">
        <f>_DPP _Decenal</f>
        <v>10</v>
      </c>
      <c r="T90" s="615"/>
      <c r="U90" s="76">
        <f t="shared" ca="1" si="7"/>
        <v>44793</v>
      </c>
      <c r="V90" s="30">
        <f t="shared" ca="1" si="9"/>
        <v>30</v>
      </c>
    </row>
    <row r="91" spans="1:22">
      <c r="E91" s="98">
        <f t="shared" si="5"/>
        <v>30</v>
      </c>
      <c r="F91" s="580">
        <f ca="1">INDEX(_Datos 91:91,,MATCH(_Búsqueda_Fechas_Pago, _Datos _Headers,0))</f>
        <v>44850</v>
      </c>
      <c r="G91" s="616">
        <f ca="1">INDEX(_Datos 91:91,,MATCH(_Búsqueda_Duración, _Datos _Headers,0))</f>
        <v>30</v>
      </c>
      <c r="H91" s="615"/>
      <c r="I91" s="76">
        <f t="shared" ca="1" si="6"/>
        <v>44850</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43373</v>
      </c>
      <c r="S91" s="30">
        <f>_DPP _Decenal</f>
        <v>10</v>
      </c>
      <c r="T91" s="615"/>
      <c r="U91" s="76">
        <f t="shared" ca="1" si="7"/>
        <v>44823</v>
      </c>
      <c r="V91" s="30">
        <f t="shared" ca="1" si="9"/>
        <v>30</v>
      </c>
    </row>
    <row r="92" spans="1:22">
      <c r="E92" s="98">
        <f t="shared" si="5"/>
        <v>30</v>
      </c>
      <c r="F92" s="580">
        <f ca="1">INDEX(_Datos 92:92,,MATCH(_Búsqueda_Fechas_Pago, _Datos _Headers,0))</f>
        <v>44881</v>
      </c>
      <c r="G92" s="616">
        <f ca="1">INDEX(_Datos 92:92,,MATCH(_Búsqueda_Duración, _Datos _Headers,0))</f>
        <v>30</v>
      </c>
      <c r="H92" s="615"/>
      <c r="I92" s="76">
        <f t="shared" ca="1" si="6"/>
        <v>44881</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43383</v>
      </c>
      <c r="S92" s="30">
        <f>_DPP _Decenal</f>
        <v>10</v>
      </c>
      <c r="T92" s="615"/>
      <c r="U92" s="76">
        <f t="shared" ca="1" si="7"/>
        <v>44853</v>
      </c>
      <c r="V92" s="30">
        <f t="shared" ca="1" si="9"/>
        <v>30</v>
      </c>
    </row>
    <row r="93" spans="1:22">
      <c r="E93" s="98">
        <f t="shared" si="5"/>
        <v>30</v>
      </c>
      <c r="F93" s="580">
        <f ca="1">INDEX(_Datos 93:93,,MATCH(_Búsqueda_Fechas_Pago, _Datos _Headers,0))</f>
        <v>44911</v>
      </c>
      <c r="G93" s="616">
        <f ca="1">INDEX(_Datos 93:93,,MATCH(_Búsqueda_Duración, _Datos _Headers,0))</f>
        <v>30</v>
      </c>
      <c r="H93" s="615"/>
      <c r="I93" s="76">
        <f t="shared" ca="1" si="6"/>
        <v>44911</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43393</v>
      </c>
      <c r="S93" s="30">
        <f>_DPP _Decenal</f>
        <v>10</v>
      </c>
      <c r="T93" s="615"/>
      <c r="U93" s="76">
        <f t="shared" ca="1" si="7"/>
        <v>44883</v>
      </c>
      <c r="V93" s="30">
        <f t="shared" ca="1" si="9"/>
        <v>30</v>
      </c>
    </row>
    <row r="94" spans="1:22">
      <c r="E94" s="98">
        <f t="shared" si="5"/>
        <v>30</v>
      </c>
      <c r="F94" s="580">
        <f ca="1">INDEX(_Datos 94:94,,MATCH(_Búsqueda_Fechas_Pago, _Datos _Headers,0))</f>
        <v>44942</v>
      </c>
      <c r="G94" s="616">
        <f ca="1">INDEX(_Datos 94:94,,MATCH(_Búsqueda_Duración, _Datos _Headers,0))</f>
        <v>30</v>
      </c>
      <c r="H94" s="615"/>
      <c r="I94" s="76">
        <f t="shared" ca="1" si="6"/>
        <v>44942</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43404</v>
      </c>
      <c r="S94" s="30">
        <f>_DPP _Decenal</f>
        <v>10</v>
      </c>
      <c r="T94" s="615"/>
      <c r="U94" s="76">
        <f t="shared" ca="1" si="7"/>
        <v>44913</v>
      </c>
      <c r="V94" s="30">
        <f t="shared" ca="1" si="9"/>
        <v>30</v>
      </c>
    </row>
    <row r="95" spans="1:22">
      <c r="E95" s="98">
        <f t="shared" si="5"/>
        <v>30</v>
      </c>
      <c r="F95" s="580">
        <f ca="1">INDEX(_Datos 95:95,,MATCH(_Búsqueda_Fechas_Pago, _Datos _Headers,0))</f>
        <v>44973</v>
      </c>
      <c r="G95" s="616">
        <f ca="1">INDEX(_Datos 95:95,,MATCH(_Búsqueda_Duración, _Datos _Headers,0))</f>
        <v>30</v>
      </c>
      <c r="H95" s="615"/>
      <c r="I95" s="76">
        <f t="shared" ca="1" si="6"/>
        <v>44973</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43414</v>
      </c>
      <c r="S95" s="30">
        <f>_DPP _Decenal</f>
        <v>10</v>
      </c>
      <c r="T95" s="615"/>
      <c r="U95" s="76">
        <f t="shared" ca="1" si="7"/>
        <v>44943</v>
      </c>
      <c r="V95" s="30">
        <f t="shared" ca="1" si="9"/>
        <v>30</v>
      </c>
    </row>
    <row r="96" spans="1:22">
      <c r="E96" s="98">
        <f t="shared" si="5"/>
        <v>30</v>
      </c>
      <c r="F96" s="580">
        <f ca="1">INDEX(_Datos 96:96,,MATCH(_Búsqueda_Fechas_Pago, _Datos _Headers,0))</f>
        <v>45001</v>
      </c>
      <c r="G96" s="616">
        <f ca="1">INDEX(_Datos 96:96,,MATCH(_Búsqueda_Duración, _Datos _Headers,0))</f>
        <v>30</v>
      </c>
      <c r="H96" s="615"/>
      <c r="I96" s="76">
        <f t="shared" ca="1" si="6"/>
        <v>45001</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43424</v>
      </c>
      <c r="S96" s="30">
        <f>_DPP _Decenal</f>
        <v>10</v>
      </c>
      <c r="T96" s="615"/>
      <c r="U96" s="76">
        <f t="shared" ca="1" si="7"/>
        <v>44973</v>
      </c>
      <c r="V96" s="30">
        <f t="shared" ca="1" si="9"/>
        <v>30</v>
      </c>
    </row>
    <row r="97" spans="5:22">
      <c r="E97" s="98">
        <f t="shared" si="5"/>
        <v>30</v>
      </c>
      <c r="F97" s="580">
        <f ca="1">INDEX(_Datos 97:97,,MATCH(_Búsqueda_Fechas_Pago, _Datos _Headers,0))</f>
        <v>45032</v>
      </c>
      <c r="G97" s="616">
        <f ca="1">INDEX(_Datos 97:97,,MATCH(_Búsqueda_Duración, _Datos _Headers,0))</f>
        <v>30</v>
      </c>
      <c r="H97" s="615"/>
      <c r="I97" s="76">
        <f t="shared" ca="1" si="6"/>
        <v>45032</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43434</v>
      </c>
      <c r="S97" s="30">
        <f>_DPP _Decenal</f>
        <v>10</v>
      </c>
      <c r="T97" s="615"/>
      <c r="U97" s="76">
        <f t="shared" ca="1" si="7"/>
        <v>45003</v>
      </c>
      <c r="V97" s="30">
        <f t="shared" ca="1" si="9"/>
        <v>30</v>
      </c>
    </row>
    <row r="98" spans="5:22">
      <c r="E98" s="98">
        <f t="shared" si="5"/>
        <v>30</v>
      </c>
      <c r="F98" s="580">
        <f ca="1">INDEX(_Datos 98:98,,MATCH(_Búsqueda_Fechas_Pago, _Datos _Headers,0))</f>
        <v>45062</v>
      </c>
      <c r="G98" s="616">
        <f ca="1">INDEX(_Datos 98:98,,MATCH(_Búsqueda_Duración, _Datos _Headers,0))</f>
        <v>30</v>
      </c>
      <c r="H98" s="615"/>
      <c r="I98" s="76">
        <f t="shared" ca="1" si="6"/>
        <v>45062</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43444</v>
      </c>
      <c r="S98" s="30">
        <f>_DPP _Decenal</f>
        <v>10</v>
      </c>
      <c r="T98" s="615"/>
      <c r="U98" s="76">
        <f t="shared" ca="1" si="7"/>
        <v>45033</v>
      </c>
      <c r="V98" s="30">
        <f t="shared" ca="1" si="9"/>
        <v>30</v>
      </c>
    </row>
    <row r="99" spans="5:22">
      <c r="E99" s="98">
        <f t="shared" si="5"/>
        <v>30</v>
      </c>
      <c r="F99" s="580">
        <f ca="1">INDEX(_Datos 99:99,,MATCH(_Búsqueda_Fechas_Pago, _Datos _Headers,0))</f>
        <v>45093</v>
      </c>
      <c r="G99" s="616">
        <f ca="1">INDEX(_Datos 99:99,,MATCH(_Búsqueda_Duración, _Datos _Headers,0))</f>
        <v>30</v>
      </c>
      <c r="H99" s="615"/>
      <c r="I99" s="76">
        <f t="shared" ca="1" si="6"/>
        <v>45093</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43454</v>
      </c>
      <c r="S99" s="30">
        <f>_DPP _Decenal</f>
        <v>10</v>
      </c>
      <c r="T99" s="615"/>
      <c r="U99" s="76">
        <f t="shared" ca="1" si="7"/>
        <v>45063</v>
      </c>
      <c r="V99" s="30">
        <f t="shared" ca="1" si="9"/>
        <v>30</v>
      </c>
    </row>
    <row r="100" spans="5:22">
      <c r="E100" s="98">
        <f t="shared" si="5"/>
        <v>30</v>
      </c>
      <c r="F100" s="580">
        <f ca="1">INDEX(_Datos 100:100,,MATCH(_Búsqueda_Fechas_Pago, _Datos _Headers,0))</f>
        <v>45123</v>
      </c>
      <c r="G100" s="616">
        <f ca="1">INDEX(_Datos 100:100,,MATCH(_Búsqueda_Duración, _Datos _Headers,0))</f>
        <v>30</v>
      </c>
      <c r="H100" s="615"/>
      <c r="I100" s="76">
        <f t="shared" ca="1" si="6"/>
        <v>45123</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43465</v>
      </c>
      <c r="S100" s="30">
        <f>_DPP _Decenal</f>
        <v>10</v>
      </c>
      <c r="T100" s="615"/>
      <c r="U100" s="76">
        <f t="shared" ca="1" si="7"/>
        <v>45093</v>
      </c>
      <c r="V100" s="30">
        <f t="shared" ca="1" si="9"/>
        <v>30</v>
      </c>
    </row>
    <row r="101" spans="5:22">
      <c r="E101" s="98">
        <f t="shared" si="5"/>
        <v>30</v>
      </c>
      <c r="F101" s="580">
        <f ca="1">INDEX(_Datos 101:101,,MATCH(_Búsqueda_Fechas_Pago, _Datos _Headers,0))</f>
        <v>45154</v>
      </c>
      <c r="G101" s="616">
        <f ca="1">INDEX(_Datos 101:101,,MATCH(_Búsqueda_Duración, _Datos _Headers,0))</f>
        <v>30</v>
      </c>
      <c r="H101" s="615"/>
      <c r="I101" s="76">
        <f t="shared" ca="1" si="6"/>
        <v>45154</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43475</v>
      </c>
      <c r="S101" s="30">
        <f>_DPP _Decenal</f>
        <v>10</v>
      </c>
      <c r="T101" s="615"/>
      <c r="U101" s="76">
        <f t="shared" ca="1" si="7"/>
        <v>45123</v>
      </c>
      <c r="V101" s="30">
        <f t="shared" ca="1" si="9"/>
        <v>30</v>
      </c>
    </row>
    <row r="102" spans="5:22">
      <c r="E102" s="98">
        <f t="shared" si="5"/>
        <v>30</v>
      </c>
      <c r="F102" s="580">
        <f ca="1">INDEX(_Datos 102:102,,MATCH(_Búsqueda_Fechas_Pago, _Datos _Headers,0))</f>
        <v>45185</v>
      </c>
      <c r="G102" s="616">
        <f ca="1">INDEX(_Datos 102:102,,MATCH(_Búsqueda_Duración, _Datos _Headers,0))</f>
        <v>30</v>
      </c>
      <c r="H102" s="615"/>
      <c r="I102" s="76">
        <f t="shared" ca="1" si="6"/>
        <v>45185</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43485</v>
      </c>
      <c r="S102" s="30">
        <f>_DPP _Decenal</f>
        <v>10</v>
      </c>
      <c r="T102" s="615"/>
      <c r="U102" s="76">
        <f t="shared" ca="1" si="7"/>
        <v>45153</v>
      </c>
      <c r="V102" s="30">
        <f t="shared" ca="1" si="9"/>
        <v>30</v>
      </c>
    </row>
    <row r="103" spans="5:22">
      <c r="E103" s="98">
        <f t="shared" si="5"/>
        <v>30</v>
      </c>
      <c r="F103" s="580">
        <f ca="1">INDEX(_Datos 103:103,,MATCH(_Búsqueda_Fechas_Pago, _Datos _Headers,0))</f>
        <v>45215</v>
      </c>
      <c r="G103" s="616">
        <f ca="1">INDEX(_Datos 103:103,,MATCH(_Búsqueda_Duración, _Datos _Headers,0))</f>
        <v>30</v>
      </c>
      <c r="H103" s="615"/>
      <c r="I103" s="76">
        <f t="shared" ca="1" si="6"/>
        <v>45215</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43496</v>
      </c>
      <c r="S103" s="30">
        <f>_DPP _Decenal</f>
        <v>10</v>
      </c>
      <c r="T103" s="615"/>
      <c r="U103" s="76">
        <f t="shared" ca="1" si="7"/>
        <v>45183</v>
      </c>
      <c r="V103" s="30">
        <f t="shared" ca="1" si="9"/>
        <v>30</v>
      </c>
    </row>
    <row r="104" spans="5:22">
      <c r="E104" s="98">
        <f t="shared" si="5"/>
        <v>30</v>
      </c>
      <c r="F104" s="580">
        <f ca="1">INDEX(_Datos 104:104,,MATCH(_Búsqueda_Fechas_Pago, _Datos _Headers,0))</f>
        <v>45246</v>
      </c>
      <c r="G104" s="616">
        <f ca="1">INDEX(_Datos 104:104,,MATCH(_Búsqueda_Duración, _Datos _Headers,0))</f>
        <v>30</v>
      </c>
      <c r="H104" s="615"/>
      <c r="I104" s="76">
        <f t="shared" ca="1" si="6"/>
        <v>45246</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43506</v>
      </c>
      <c r="S104" s="30">
        <f>_DPP _Decenal</f>
        <v>10</v>
      </c>
      <c r="T104" s="615"/>
      <c r="U104" s="76">
        <f t="shared" ca="1" si="7"/>
        <v>45213</v>
      </c>
      <c r="V104" s="30">
        <f t="shared" ca="1" si="9"/>
        <v>30</v>
      </c>
    </row>
    <row r="105" spans="5:22">
      <c r="E105" s="98">
        <f t="shared" si="5"/>
        <v>30</v>
      </c>
      <c r="F105" s="580">
        <f ca="1">INDEX(_Datos 105:105,,MATCH(_Búsqueda_Fechas_Pago, _Datos _Headers,0))</f>
        <v>45276</v>
      </c>
      <c r="G105" s="616">
        <f ca="1">INDEX(_Datos 105:105,,MATCH(_Búsqueda_Duración, _Datos _Headers,0))</f>
        <v>30</v>
      </c>
      <c r="H105" s="615"/>
      <c r="I105" s="76">
        <f t="shared" ca="1" si="6"/>
        <v>45276</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43516</v>
      </c>
      <c r="S105" s="30">
        <f>_DPP _Decenal</f>
        <v>10</v>
      </c>
      <c r="T105" s="615"/>
      <c r="U105" s="76">
        <f t="shared" ca="1" si="7"/>
        <v>45243</v>
      </c>
      <c r="V105" s="30">
        <f t="shared" ca="1" si="9"/>
        <v>30</v>
      </c>
    </row>
    <row r="106" spans="5:22">
      <c r="E106" s="98">
        <f t="shared" si="5"/>
        <v>30</v>
      </c>
      <c r="F106" s="580">
        <f ca="1">INDEX(_Datos 106:106,,MATCH(_Búsqueda_Fechas_Pago, _Datos _Headers,0))</f>
        <v>45307</v>
      </c>
      <c r="G106" s="616">
        <f ca="1">INDEX(_Datos 106:106,,MATCH(_Búsqueda_Duración, _Datos _Headers,0))</f>
        <v>30</v>
      </c>
      <c r="H106" s="615"/>
      <c r="I106" s="76">
        <f t="shared" ca="1" si="6"/>
        <v>45307</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43524</v>
      </c>
      <c r="S106" s="30">
        <f>_DPP _Decenal</f>
        <v>10</v>
      </c>
      <c r="T106" s="615"/>
      <c r="U106" s="76">
        <f t="shared" ca="1" si="7"/>
        <v>45273</v>
      </c>
      <c r="V106" s="30">
        <f t="shared" ca="1" si="9"/>
        <v>30</v>
      </c>
    </row>
    <row r="107" spans="5:22">
      <c r="E107" s="98">
        <f t="shared" si="5"/>
        <v>30</v>
      </c>
      <c r="F107" s="580">
        <f ca="1">INDEX(_Datos 107:107,,MATCH(_Búsqueda_Fechas_Pago, _Datos _Headers,0))</f>
        <v>45338</v>
      </c>
      <c r="G107" s="616">
        <f ca="1">INDEX(_Datos 107:107,,MATCH(_Búsqueda_Duración, _Datos _Headers,0))</f>
        <v>30</v>
      </c>
      <c r="H107" s="615"/>
      <c r="I107" s="76">
        <f t="shared" ca="1" si="6"/>
        <v>45338</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43534</v>
      </c>
      <c r="S107" s="30">
        <f>_DPP _Decenal</f>
        <v>10</v>
      </c>
      <c r="T107" s="615"/>
      <c r="U107" s="76">
        <f t="shared" ca="1" si="7"/>
        <v>45303</v>
      </c>
      <c r="V107" s="30">
        <f t="shared" ca="1" si="9"/>
        <v>30</v>
      </c>
    </row>
    <row r="108" spans="5:22">
      <c r="E108" s="98">
        <f t="shared" si="5"/>
        <v>30</v>
      </c>
      <c r="F108" s="580">
        <f ca="1">INDEX(_Datos 108:108,,MATCH(_Búsqueda_Fechas_Pago, _Datos _Headers,0))</f>
        <v>45367</v>
      </c>
      <c r="G108" s="616">
        <f ca="1">INDEX(_Datos 108:108,,MATCH(_Búsqueda_Duración, _Datos _Headers,0))</f>
        <v>30</v>
      </c>
      <c r="H108" s="615"/>
      <c r="I108" s="76">
        <f t="shared" ca="1" si="6"/>
        <v>45367</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43544</v>
      </c>
      <c r="S108" s="30">
        <f>_DPP _Decenal</f>
        <v>10</v>
      </c>
      <c r="T108" s="615"/>
      <c r="U108" s="76">
        <f t="shared" ca="1" si="7"/>
        <v>45333</v>
      </c>
      <c r="V108" s="30">
        <f t="shared" ca="1" si="9"/>
        <v>30</v>
      </c>
    </row>
    <row r="109" spans="5:22">
      <c r="E109" s="98">
        <f t="shared" si="5"/>
        <v>30</v>
      </c>
      <c r="F109" s="580">
        <f ca="1">INDEX(_Datos 109:109,,MATCH(_Búsqueda_Fechas_Pago, _Datos _Headers,0))</f>
        <v>45398</v>
      </c>
      <c r="G109" s="616">
        <f ca="1">INDEX(_Datos 109:109,,MATCH(_Búsqueda_Duración, _Datos _Headers,0))</f>
        <v>30</v>
      </c>
      <c r="H109" s="615"/>
      <c r="I109" s="76">
        <f t="shared" ca="1" si="6"/>
        <v>45398</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43555</v>
      </c>
      <c r="S109" s="30">
        <f>_DPP _Decenal</f>
        <v>10</v>
      </c>
      <c r="T109" s="615"/>
      <c r="U109" s="76">
        <f t="shared" ca="1" si="7"/>
        <v>45363</v>
      </c>
      <c r="V109" s="30">
        <f t="shared" ca="1" si="9"/>
        <v>30</v>
      </c>
    </row>
    <row r="110" spans="5:22">
      <c r="E110" s="98">
        <f t="shared" si="5"/>
        <v>30</v>
      </c>
      <c r="F110" s="580">
        <f ca="1">INDEX(_Datos 110:110,,MATCH(_Búsqueda_Fechas_Pago, _Datos _Headers,0))</f>
        <v>45428</v>
      </c>
      <c r="G110" s="616">
        <f ca="1">INDEX(_Datos 110:110,,MATCH(_Búsqueda_Duración, _Datos _Headers,0))</f>
        <v>30</v>
      </c>
      <c r="H110" s="615"/>
      <c r="I110" s="76">
        <f t="shared" ca="1" si="6"/>
        <v>45428</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43565</v>
      </c>
      <c r="S110" s="30">
        <f>_DPP _Decenal</f>
        <v>10</v>
      </c>
      <c r="T110" s="615"/>
      <c r="U110" s="76">
        <f t="shared" ca="1" si="7"/>
        <v>45393</v>
      </c>
      <c r="V110" s="30">
        <f t="shared" ca="1" si="9"/>
        <v>30</v>
      </c>
    </row>
    <row r="111" spans="5:22">
      <c r="E111" s="98">
        <f t="shared" si="5"/>
        <v>30</v>
      </c>
      <c r="F111" s="580">
        <f ca="1">INDEX(_Datos 111:111,,MATCH(_Búsqueda_Fechas_Pago, _Datos _Headers,0))</f>
        <v>45459</v>
      </c>
      <c r="G111" s="616">
        <f ca="1">INDEX(_Datos 111:111,,MATCH(_Búsqueda_Duración, _Datos _Headers,0))</f>
        <v>30</v>
      </c>
      <c r="H111" s="615"/>
      <c r="I111" s="76">
        <f t="shared" ca="1" si="6"/>
        <v>45459</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43575</v>
      </c>
      <c r="S111" s="30">
        <f>_DPP _Decenal</f>
        <v>10</v>
      </c>
      <c r="T111" s="615"/>
      <c r="U111" s="76">
        <f t="shared" ca="1" si="7"/>
        <v>45423</v>
      </c>
      <c r="V111" s="30">
        <f t="shared" ca="1" si="9"/>
        <v>30</v>
      </c>
    </row>
    <row r="112" spans="5:22">
      <c r="E112" s="98">
        <f t="shared" si="5"/>
        <v>30</v>
      </c>
      <c r="F112" s="580">
        <f ca="1">INDEX(_Datos 112:112,,MATCH(_Búsqueda_Fechas_Pago, _Datos _Headers,0))</f>
        <v>45489</v>
      </c>
      <c r="G112" s="616">
        <f ca="1">INDEX(_Datos 112:112,,MATCH(_Búsqueda_Duración, _Datos _Headers,0))</f>
        <v>30</v>
      </c>
      <c r="H112" s="615"/>
      <c r="I112" s="76">
        <f t="shared" ca="1" si="6"/>
        <v>45489</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43585</v>
      </c>
      <c r="S112" s="30">
        <f>_DPP _Decenal</f>
        <v>10</v>
      </c>
      <c r="T112" s="615"/>
      <c r="U112" s="76">
        <f t="shared" ca="1" si="7"/>
        <v>45453</v>
      </c>
      <c r="V112" s="30">
        <f t="shared" ca="1" si="9"/>
        <v>30</v>
      </c>
    </row>
    <row r="113" spans="5:22">
      <c r="E113" s="98">
        <f t="shared" si="5"/>
        <v>30</v>
      </c>
      <c r="F113" s="580">
        <f ca="1">INDEX(_Datos 113:113,,MATCH(_Búsqueda_Fechas_Pago, _Datos _Headers,0))</f>
        <v>45520</v>
      </c>
      <c r="G113" s="616">
        <f ca="1">INDEX(_Datos 113:113,,MATCH(_Búsqueda_Duración, _Datos _Headers,0))</f>
        <v>30</v>
      </c>
      <c r="H113" s="615"/>
      <c r="I113" s="76">
        <f t="shared" ca="1" si="6"/>
        <v>45520</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43595</v>
      </c>
      <c r="S113" s="30">
        <f>_DPP _Decenal</f>
        <v>10</v>
      </c>
      <c r="T113" s="615"/>
      <c r="U113" s="76">
        <f t="shared" ca="1" si="7"/>
        <v>45483</v>
      </c>
      <c r="V113" s="30">
        <f t="shared" ca="1" si="9"/>
        <v>30</v>
      </c>
    </row>
    <row r="114" spans="5:22">
      <c r="E114" s="98">
        <f t="shared" si="5"/>
        <v>30</v>
      </c>
      <c r="F114" s="580">
        <f ca="1">INDEX(_Datos 114:114,,MATCH(_Búsqueda_Fechas_Pago, _Datos _Headers,0))</f>
        <v>45551</v>
      </c>
      <c r="G114" s="616">
        <f ca="1">INDEX(_Datos 114:114,,MATCH(_Búsqueda_Duración, _Datos _Headers,0))</f>
        <v>30</v>
      </c>
      <c r="H114" s="615"/>
      <c r="I114" s="76">
        <f t="shared" ca="1" si="6"/>
        <v>45551</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43605</v>
      </c>
      <c r="S114" s="30">
        <f>_DPP _Decenal</f>
        <v>10</v>
      </c>
      <c r="T114" s="615"/>
      <c r="U114" s="76">
        <f t="shared" ca="1" si="7"/>
        <v>45513</v>
      </c>
      <c r="V114" s="30">
        <f t="shared" ca="1" si="9"/>
        <v>30</v>
      </c>
    </row>
    <row r="115" spans="5:22">
      <c r="E115" s="98">
        <f t="shared" si="5"/>
        <v>30</v>
      </c>
      <c r="F115" s="580">
        <f ca="1">INDEX(_Datos 115:115,,MATCH(_Búsqueda_Fechas_Pago, _Datos _Headers,0))</f>
        <v>45581</v>
      </c>
      <c r="G115" s="616">
        <f ca="1">INDEX(_Datos 115:115,,MATCH(_Búsqueda_Duración, _Datos _Headers,0))</f>
        <v>30</v>
      </c>
      <c r="H115" s="615"/>
      <c r="I115" s="76">
        <f t="shared" ca="1" si="6"/>
        <v>45581</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43616</v>
      </c>
      <c r="S115" s="30">
        <f>_DPP _Decenal</f>
        <v>10</v>
      </c>
      <c r="T115" s="615"/>
      <c r="U115" s="76">
        <f t="shared" ca="1" si="7"/>
        <v>45543</v>
      </c>
      <c r="V115" s="30">
        <f t="shared" ca="1" si="9"/>
        <v>30</v>
      </c>
    </row>
    <row r="116" spans="5:22">
      <c r="E116" s="98">
        <f t="shared" si="5"/>
        <v>30</v>
      </c>
      <c r="F116" s="580">
        <f ca="1">INDEX(_Datos 116:116,,MATCH(_Búsqueda_Fechas_Pago, _Datos _Headers,0))</f>
        <v>45612</v>
      </c>
      <c r="G116" s="616">
        <f ca="1">INDEX(_Datos 116:116,,MATCH(_Búsqueda_Duración, _Datos _Headers,0))</f>
        <v>30</v>
      </c>
      <c r="H116" s="615"/>
      <c r="I116" s="76">
        <f t="shared" ca="1" si="6"/>
        <v>45612</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43626</v>
      </c>
      <c r="S116" s="30">
        <f>_DPP _Decenal</f>
        <v>10</v>
      </c>
      <c r="T116" s="615"/>
      <c r="U116" s="76">
        <f t="shared" ca="1" si="7"/>
        <v>45573</v>
      </c>
      <c r="V116" s="30">
        <f t="shared" ca="1" si="9"/>
        <v>30</v>
      </c>
    </row>
    <row r="117" spans="5:22">
      <c r="E117" s="98">
        <f t="shared" si="5"/>
        <v>30</v>
      </c>
      <c r="F117" s="580">
        <f ca="1">INDEX(_Datos 117:117,,MATCH(_Búsqueda_Fechas_Pago, _Datos _Headers,0))</f>
        <v>45642</v>
      </c>
      <c r="G117" s="616">
        <f ca="1">INDEX(_Datos 117:117,,MATCH(_Búsqueda_Duración, _Datos _Headers,0))</f>
        <v>30</v>
      </c>
      <c r="H117" s="615"/>
      <c r="I117" s="76">
        <f t="shared" ca="1" si="6"/>
        <v>45642</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43636</v>
      </c>
      <c r="S117" s="30">
        <f>_DPP _Decenal</f>
        <v>10</v>
      </c>
      <c r="T117" s="615"/>
      <c r="U117" s="76">
        <f t="shared" ca="1" si="7"/>
        <v>45603</v>
      </c>
      <c r="V117" s="30">
        <f t="shared" ca="1" si="9"/>
        <v>30</v>
      </c>
    </row>
    <row r="118" spans="5:22">
      <c r="E118" s="98">
        <f t="shared" si="5"/>
        <v>30</v>
      </c>
      <c r="F118" s="580">
        <f ca="1">INDEX(_Datos 118:118,,MATCH(_Búsqueda_Fechas_Pago, _Datos _Headers,0))</f>
        <v>45673</v>
      </c>
      <c r="G118" s="616">
        <f ca="1">INDEX(_Datos 118:118,,MATCH(_Búsqueda_Duración, _Datos _Headers,0))</f>
        <v>30</v>
      </c>
      <c r="H118" s="615"/>
      <c r="I118" s="76">
        <f t="shared" ca="1" si="6"/>
        <v>45673</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43646</v>
      </c>
      <c r="S118" s="30">
        <f>_DPP _Decenal</f>
        <v>10</v>
      </c>
      <c r="T118" s="615"/>
      <c r="U118" s="76">
        <f t="shared" ca="1" si="7"/>
        <v>45633</v>
      </c>
      <c r="V118" s="30">
        <f t="shared" ca="1" si="9"/>
        <v>30</v>
      </c>
    </row>
    <row r="119" spans="5:22">
      <c r="E119" s="98">
        <f t="shared" si="5"/>
        <v>30</v>
      </c>
      <c r="F119" s="580">
        <f ca="1">INDEX(_Datos 119:119,,MATCH(_Búsqueda_Fechas_Pago, _Datos _Headers,0))</f>
        <v>45704</v>
      </c>
      <c r="G119" s="616">
        <f ca="1">INDEX(_Datos 119:119,,MATCH(_Búsqueda_Duración, _Datos _Headers,0))</f>
        <v>30</v>
      </c>
      <c r="H119" s="615"/>
      <c r="I119" s="76">
        <f t="shared" ca="1" si="6"/>
        <v>45704</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43656</v>
      </c>
      <c r="S119" s="30">
        <f>_DPP _Decenal</f>
        <v>10</v>
      </c>
      <c r="T119" s="615"/>
      <c r="U119" s="76">
        <f t="shared" ca="1" si="7"/>
        <v>45663</v>
      </c>
      <c r="V119" s="30">
        <f t="shared" ca="1" si="9"/>
        <v>30</v>
      </c>
    </row>
    <row r="120" spans="5:22">
      <c r="E120" s="98">
        <f t="shared" si="5"/>
        <v>30</v>
      </c>
      <c r="F120" s="580">
        <f ca="1">INDEX(_Datos 120:120,,MATCH(_Búsqueda_Fechas_Pago, _Datos _Headers,0))</f>
        <v>45732</v>
      </c>
      <c r="G120" s="616">
        <f ca="1">INDEX(_Datos 120:120,,MATCH(_Búsqueda_Duración, _Datos _Headers,0))</f>
        <v>30</v>
      </c>
      <c r="H120" s="615"/>
      <c r="I120" s="76">
        <f t="shared" ca="1" si="6"/>
        <v>45732</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43666</v>
      </c>
      <c r="S120" s="30">
        <f>_DPP _Decenal</f>
        <v>10</v>
      </c>
      <c r="T120" s="615"/>
      <c r="U120" s="76">
        <f t="shared" ca="1" si="7"/>
        <v>45693</v>
      </c>
      <c r="V120" s="30">
        <f t="shared" ca="1" si="9"/>
        <v>30</v>
      </c>
    </row>
    <row r="121" spans="5:22">
      <c r="E121" s="98">
        <f t="shared" si="5"/>
        <v>30</v>
      </c>
      <c r="F121" s="580">
        <f ca="1">INDEX(_Datos 121:121,,MATCH(_Búsqueda_Fechas_Pago, _Datos _Headers,0))</f>
        <v>45763</v>
      </c>
      <c r="G121" s="616">
        <f ca="1">INDEX(_Datos 121:121,,MATCH(_Búsqueda_Duración, _Datos _Headers,0))</f>
        <v>30</v>
      </c>
      <c r="H121" s="615"/>
      <c r="I121" s="76">
        <f t="shared" ca="1" si="6"/>
        <v>45763</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43677</v>
      </c>
      <c r="S121" s="30">
        <f>_DPP _Decenal</f>
        <v>10</v>
      </c>
      <c r="T121" s="615"/>
      <c r="U121" s="76">
        <f t="shared" ca="1" si="7"/>
        <v>45723</v>
      </c>
      <c r="V121" s="30">
        <f t="shared" ca="1" si="9"/>
        <v>30</v>
      </c>
    </row>
    <row r="122" spans="5:22">
      <c r="E122" s="98">
        <f t="shared" si="5"/>
        <v>30</v>
      </c>
      <c r="F122" s="580">
        <f ca="1">INDEX(_Datos 122:122,,MATCH(_Búsqueda_Fechas_Pago, _Datos _Headers,0))</f>
        <v>45793</v>
      </c>
      <c r="G122" s="616">
        <f ca="1">INDEX(_Datos 122:122,,MATCH(_Búsqueda_Duración, _Datos _Headers,0))</f>
        <v>30</v>
      </c>
      <c r="H122" s="615"/>
      <c r="I122" s="76">
        <f t="shared" ca="1" si="6"/>
        <v>45793</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43687</v>
      </c>
      <c r="S122" s="30">
        <f>_DPP _Decenal</f>
        <v>10</v>
      </c>
      <c r="T122" s="615"/>
      <c r="U122" s="76">
        <f t="shared" ca="1" si="7"/>
        <v>45753</v>
      </c>
      <c r="V122" s="30">
        <f t="shared" ca="1" si="9"/>
        <v>30</v>
      </c>
    </row>
    <row r="123" spans="5:22">
      <c r="E123" s="98">
        <f t="shared" si="5"/>
        <v>30</v>
      </c>
      <c r="F123" s="580">
        <f ca="1">INDEX(_Datos 123:123,,MATCH(_Búsqueda_Fechas_Pago, _Datos _Headers,0))</f>
        <v>45824</v>
      </c>
      <c r="G123" s="616">
        <f ca="1">INDEX(_Datos 123:123,,MATCH(_Búsqueda_Duración, _Datos _Headers,0))</f>
        <v>30</v>
      </c>
      <c r="H123" s="615"/>
      <c r="I123" s="76">
        <f t="shared" ca="1" si="6"/>
        <v>45824</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43697</v>
      </c>
      <c r="S123" s="30">
        <f>_DPP _Decenal</f>
        <v>10</v>
      </c>
      <c r="T123" s="615"/>
      <c r="U123" s="76">
        <f t="shared" ca="1" si="7"/>
        <v>45783</v>
      </c>
      <c r="V123" s="30">
        <f t="shared" ca="1" si="9"/>
        <v>30</v>
      </c>
    </row>
    <row r="124" spans="5:22">
      <c r="E124" s="98">
        <f t="shared" si="5"/>
        <v>30</v>
      </c>
      <c r="F124" s="580">
        <f ca="1">INDEX(_Datos 124:124,,MATCH(_Búsqueda_Fechas_Pago, _Datos _Headers,0))</f>
        <v>45854</v>
      </c>
      <c r="G124" s="616">
        <f ca="1">INDEX(_Datos 124:124,,MATCH(_Búsqueda_Duración, _Datos _Headers,0))</f>
        <v>30</v>
      </c>
      <c r="H124" s="615"/>
      <c r="I124" s="76">
        <f t="shared" ca="1" si="6"/>
        <v>45854</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43708</v>
      </c>
      <c r="S124" s="30">
        <f>_DPP _Decenal</f>
        <v>10</v>
      </c>
      <c r="T124" s="615"/>
      <c r="U124" s="76">
        <f t="shared" ca="1" si="7"/>
        <v>45813</v>
      </c>
      <c r="V124" s="30">
        <f t="shared" ca="1" si="9"/>
        <v>30</v>
      </c>
    </row>
    <row r="125" spans="5:22">
      <c r="E125" s="98">
        <f t="shared" si="5"/>
        <v>30</v>
      </c>
      <c r="F125" s="580">
        <f ca="1">INDEX(_Datos 125:125,,MATCH(_Búsqueda_Fechas_Pago, _Datos _Headers,0))</f>
        <v>45885</v>
      </c>
      <c r="G125" s="616">
        <f ca="1">INDEX(_Datos 125:125,,MATCH(_Búsqueda_Duración, _Datos _Headers,0))</f>
        <v>30</v>
      </c>
      <c r="H125" s="615"/>
      <c r="I125" s="76">
        <f t="shared" ca="1" si="6"/>
        <v>45885</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43718</v>
      </c>
      <c r="S125" s="30">
        <f>_DPP _Decenal</f>
        <v>10</v>
      </c>
      <c r="T125" s="615"/>
      <c r="U125" s="76">
        <f t="shared" ca="1" si="7"/>
        <v>45843</v>
      </c>
      <c r="V125" s="30">
        <f t="shared" ca="1" si="9"/>
        <v>30</v>
      </c>
    </row>
    <row r="126" spans="5:22">
      <c r="E126" s="98">
        <f t="shared" si="5"/>
        <v>30</v>
      </c>
      <c r="F126" s="580">
        <f ca="1">INDEX(_Datos 126:126,,MATCH(_Búsqueda_Fechas_Pago, _Datos _Headers,0))</f>
        <v>45916</v>
      </c>
      <c r="G126" s="616">
        <f ca="1">INDEX(_Datos 126:126,,MATCH(_Búsqueda_Duración, _Datos _Headers,0))</f>
        <v>30</v>
      </c>
      <c r="H126" s="615"/>
      <c r="I126" s="76">
        <f t="shared" ca="1" si="6"/>
        <v>45916</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43728</v>
      </c>
      <c r="S126" s="30">
        <f>_DPP _Decenal</f>
        <v>10</v>
      </c>
      <c r="T126" s="615"/>
      <c r="U126" s="76">
        <f t="shared" ca="1" si="7"/>
        <v>45873</v>
      </c>
      <c r="V126" s="30">
        <f t="shared" ca="1" si="9"/>
        <v>30</v>
      </c>
    </row>
    <row r="127" spans="5:22">
      <c r="E127" s="98">
        <f t="shared" si="5"/>
        <v>30</v>
      </c>
      <c r="F127" s="580">
        <f ca="1">INDEX(_Datos 127:127,,MATCH(_Búsqueda_Fechas_Pago, _Datos _Headers,0))</f>
        <v>45946</v>
      </c>
      <c r="G127" s="616">
        <f ca="1">INDEX(_Datos 127:127,,MATCH(_Búsqueda_Duración, _Datos _Headers,0))</f>
        <v>30</v>
      </c>
      <c r="H127" s="615"/>
      <c r="I127" s="76">
        <f t="shared" ca="1" si="6"/>
        <v>45946</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43738</v>
      </c>
      <c r="S127" s="30">
        <f>_DPP _Decenal</f>
        <v>10</v>
      </c>
      <c r="T127" s="615"/>
      <c r="U127" s="76">
        <f t="shared" ca="1" si="7"/>
        <v>45903</v>
      </c>
      <c r="V127" s="30">
        <f t="shared" ca="1" si="9"/>
        <v>30</v>
      </c>
    </row>
    <row r="128" spans="5:22">
      <c r="E128" s="98">
        <f t="shared" si="5"/>
        <v>30</v>
      </c>
      <c r="F128" s="580">
        <f ca="1">INDEX(_Datos 128:128,,MATCH(_Búsqueda_Fechas_Pago, _Datos _Headers,0))</f>
        <v>45977</v>
      </c>
      <c r="G128" s="616">
        <f ca="1">INDEX(_Datos 128:128,,MATCH(_Búsqueda_Duración, _Datos _Headers,0))</f>
        <v>30</v>
      </c>
      <c r="H128" s="615"/>
      <c r="I128" s="76">
        <f t="shared" ca="1" si="6"/>
        <v>45977</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43748</v>
      </c>
      <c r="S128" s="30">
        <f>_DPP _Decenal</f>
        <v>10</v>
      </c>
      <c r="T128" s="615"/>
      <c r="U128" s="76">
        <f t="shared" ca="1" si="7"/>
        <v>45933</v>
      </c>
      <c r="V128" s="30">
        <f t="shared" ca="1" si="9"/>
        <v>30</v>
      </c>
    </row>
    <row r="129" spans="5:22">
      <c r="E129" s="98">
        <f t="shared" si="5"/>
        <v>30</v>
      </c>
      <c r="F129" s="580">
        <f ca="1">INDEX(_Datos 129:129,,MATCH(_Búsqueda_Fechas_Pago, _Datos _Headers,0))</f>
        <v>46007</v>
      </c>
      <c r="G129" s="616">
        <f ca="1">INDEX(_Datos 129:129,,MATCH(_Búsqueda_Duración, _Datos _Headers,0))</f>
        <v>30</v>
      </c>
      <c r="H129" s="615"/>
      <c r="I129" s="76">
        <f t="shared" ca="1" si="6"/>
        <v>46007</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43758</v>
      </c>
      <c r="S129" s="30">
        <f>_DPP _Decenal</f>
        <v>10</v>
      </c>
      <c r="T129" s="615"/>
      <c r="U129" s="76">
        <f t="shared" ca="1" si="7"/>
        <v>45963</v>
      </c>
      <c r="V129" s="30">
        <f t="shared" ca="1" si="9"/>
        <v>30</v>
      </c>
    </row>
    <row r="130" spans="5:22">
      <c r="E130" s="98">
        <f t="shared" si="5"/>
        <v>30</v>
      </c>
      <c r="F130" s="580">
        <f ca="1">INDEX(_Datos 130:130,,MATCH(_Búsqueda_Fechas_Pago, _Datos _Headers,0))</f>
        <v>46038</v>
      </c>
      <c r="G130" s="616">
        <f ca="1">INDEX(_Datos 130:130,,MATCH(_Búsqueda_Duración, _Datos _Headers,0))</f>
        <v>30</v>
      </c>
      <c r="H130" s="615"/>
      <c r="I130" s="76">
        <f t="shared" ca="1" si="6"/>
        <v>46038</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43769</v>
      </c>
      <c r="S130" s="30">
        <f>_DPP _Decenal</f>
        <v>10</v>
      </c>
      <c r="T130" s="615"/>
      <c r="U130" s="76">
        <f t="shared" ca="1" si="7"/>
        <v>45993</v>
      </c>
      <c r="V130" s="30">
        <f t="shared" ca="1" si="9"/>
        <v>30</v>
      </c>
    </row>
    <row r="131" spans="5:22">
      <c r="E131" s="98">
        <f t="shared" si="5"/>
        <v>30</v>
      </c>
      <c r="F131" s="580">
        <f ca="1">INDEX(_Datos 131:131,,MATCH(_Búsqueda_Fechas_Pago, _Datos _Headers,0))</f>
        <v>46069</v>
      </c>
      <c r="G131" s="616">
        <f ca="1">INDEX(_Datos 131:131,,MATCH(_Búsqueda_Duración, _Datos _Headers,0))</f>
        <v>30</v>
      </c>
      <c r="H131" s="615"/>
      <c r="I131" s="76">
        <f t="shared" ca="1" si="6"/>
        <v>46069</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43779</v>
      </c>
      <c r="S131" s="30">
        <f>_DPP _Decenal</f>
        <v>10</v>
      </c>
      <c r="T131" s="615"/>
      <c r="U131" s="76">
        <f t="shared" ca="1" si="7"/>
        <v>46023</v>
      </c>
      <c r="V131" s="30">
        <f t="shared" ca="1" si="9"/>
        <v>30</v>
      </c>
    </row>
    <row r="132" spans="5:22">
      <c r="E132" s="98">
        <f t="shared" si="5"/>
        <v>30</v>
      </c>
      <c r="F132" s="580">
        <f ca="1">INDEX(_Datos 132:132,,MATCH(_Búsqueda_Fechas_Pago, _Datos _Headers,0))</f>
        <v>46097</v>
      </c>
      <c r="G132" s="616">
        <f ca="1">INDEX(_Datos 132:132,,MATCH(_Búsqueda_Duración, _Datos _Headers,0))</f>
        <v>30</v>
      </c>
      <c r="H132" s="615"/>
      <c r="I132" s="76">
        <f t="shared" ca="1" si="6"/>
        <v>46097</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43789</v>
      </c>
      <c r="S132" s="30">
        <f>_DPP _Decenal</f>
        <v>10</v>
      </c>
      <c r="T132" s="615"/>
      <c r="U132" s="76">
        <f t="shared" ca="1" si="7"/>
        <v>46053</v>
      </c>
      <c r="V132" s="30">
        <f t="shared" ca="1" si="9"/>
        <v>30</v>
      </c>
    </row>
    <row r="133" spans="5:22">
      <c r="E133" s="98">
        <f t="shared" si="5"/>
        <v>30</v>
      </c>
      <c r="F133" s="580">
        <f ca="1">INDEX(_Datos 133:133,,MATCH(_Búsqueda_Fechas_Pago, _Datos _Headers,0))</f>
        <v>46128</v>
      </c>
      <c r="G133" s="616">
        <f ca="1">INDEX(_Datos 133:133,,MATCH(_Búsqueda_Duración, _Datos _Headers,0))</f>
        <v>30</v>
      </c>
      <c r="H133" s="615"/>
      <c r="I133" s="76">
        <f t="shared" ca="1" si="6"/>
        <v>46128</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43799</v>
      </c>
      <c r="S133" s="30">
        <f>_DPP _Decenal</f>
        <v>10</v>
      </c>
      <c r="T133" s="615"/>
      <c r="U133" s="76">
        <f t="shared" ca="1" si="7"/>
        <v>46083</v>
      </c>
      <c r="V133" s="30">
        <f t="shared" ca="1" si="9"/>
        <v>30</v>
      </c>
    </row>
    <row r="134" spans="5:22">
      <c r="E134" s="98">
        <f t="shared" si="5"/>
        <v>30</v>
      </c>
      <c r="F134" s="580">
        <f ca="1">INDEX(_Datos 134:134,,MATCH(_Búsqueda_Fechas_Pago, _Datos _Headers,0))</f>
        <v>46158</v>
      </c>
      <c r="G134" s="616">
        <f ca="1">INDEX(_Datos 134:134,,MATCH(_Búsqueda_Duración, _Datos _Headers,0))</f>
        <v>30</v>
      </c>
      <c r="H134" s="615"/>
      <c r="I134" s="76">
        <f t="shared" ca="1" si="6"/>
        <v>46158</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43809</v>
      </c>
      <c r="S134" s="30">
        <f>_DPP _Decenal</f>
        <v>10</v>
      </c>
      <c r="T134" s="615"/>
      <c r="U134" s="76">
        <f t="shared" ca="1" si="7"/>
        <v>46113</v>
      </c>
      <c r="V134" s="30">
        <f t="shared" ca="1" si="9"/>
        <v>30</v>
      </c>
    </row>
    <row r="135" spans="5:22">
      <c r="E135" s="98">
        <f t="shared" si="5"/>
        <v>30</v>
      </c>
      <c r="F135" s="580">
        <f ca="1">INDEX(_Datos 135:135,,MATCH(_Búsqueda_Fechas_Pago, _Datos _Headers,0))</f>
        <v>46189</v>
      </c>
      <c r="G135" s="616">
        <f ca="1">INDEX(_Datos 135:135,,MATCH(_Búsqueda_Duración, _Datos _Headers,0))</f>
        <v>30</v>
      </c>
      <c r="H135" s="615"/>
      <c r="I135" s="76">
        <f t="shared" ca="1" si="6"/>
        <v>46189</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43819</v>
      </c>
      <c r="S135" s="30">
        <f>_DPP _Decenal</f>
        <v>10</v>
      </c>
      <c r="T135" s="615"/>
      <c r="U135" s="76">
        <f t="shared" ca="1" si="7"/>
        <v>46143</v>
      </c>
      <c r="V135" s="30">
        <f t="shared" ca="1" si="9"/>
        <v>30</v>
      </c>
    </row>
    <row r="136" spans="5:22">
      <c r="E136" s="98">
        <f t="shared" si="5"/>
        <v>30</v>
      </c>
      <c r="F136" s="580">
        <f ca="1">INDEX(_Datos 136:136,,MATCH(_Búsqueda_Fechas_Pago, _Datos _Headers,0))</f>
        <v>46219</v>
      </c>
      <c r="G136" s="616">
        <f ca="1">INDEX(_Datos 136:136,,MATCH(_Búsqueda_Duración, _Datos _Headers,0))</f>
        <v>30</v>
      </c>
      <c r="H136" s="615"/>
      <c r="I136" s="76">
        <f t="shared" ca="1" si="6"/>
        <v>46219</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43830</v>
      </c>
      <c r="S136" s="30">
        <f>_DPP _Decenal</f>
        <v>10</v>
      </c>
      <c r="T136" s="615"/>
      <c r="U136" s="76">
        <f t="shared" ca="1" si="7"/>
        <v>46173</v>
      </c>
      <c r="V136" s="30">
        <f t="shared" ca="1" si="9"/>
        <v>30</v>
      </c>
    </row>
    <row r="137" spans="5:22">
      <c r="E137" s="98">
        <f t="shared" si="5"/>
        <v>30</v>
      </c>
      <c r="F137" s="580">
        <f ca="1">INDEX(_Datos 137:137,,MATCH(_Búsqueda_Fechas_Pago, _Datos _Headers,0))</f>
        <v>46250</v>
      </c>
      <c r="G137" s="616">
        <f ca="1">INDEX(_Datos 137:137,,MATCH(_Búsqueda_Duración, _Datos _Headers,0))</f>
        <v>30</v>
      </c>
      <c r="H137" s="615"/>
      <c r="I137" s="76">
        <f t="shared" ca="1" si="6"/>
        <v>46250</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43840</v>
      </c>
      <c r="S137" s="30">
        <f>_DPP _Decenal</f>
        <v>10</v>
      </c>
      <c r="T137" s="615"/>
      <c r="U137" s="76">
        <f t="shared" ca="1" si="7"/>
        <v>46203</v>
      </c>
      <c r="V137" s="30">
        <f t="shared" ca="1" si="9"/>
        <v>30</v>
      </c>
    </row>
    <row r="138" spans="5:22">
      <c r="E138" s="98">
        <f t="shared" si="5"/>
        <v>30</v>
      </c>
      <c r="F138" s="580">
        <f ca="1">INDEX(_Datos 138:138,,MATCH(_Búsqueda_Fechas_Pago, _Datos _Headers,0))</f>
        <v>46281</v>
      </c>
      <c r="G138" s="616">
        <f ca="1">INDEX(_Datos 138:138,,MATCH(_Búsqueda_Duración, _Datos _Headers,0))</f>
        <v>30</v>
      </c>
      <c r="H138" s="615"/>
      <c r="I138" s="76">
        <f t="shared" ca="1" si="6"/>
        <v>46281</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43850</v>
      </c>
      <c r="S138" s="30">
        <f>_DPP _Decenal</f>
        <v>10</v>
      </c>
      <c r="T138" s="615"/>
      <c r="U138" s="76">
        <f t="shared" ca="1" si="7"/>
        <v>46233</v>
      </c>
      <c r="V138" s="30">
        <f t="shared" ca="1" si="9"/>
        <v>30</v>
      </c>
    </row>
    <row r="139" spans="5:22">
      <c r="E139" s="98">
        <f t="shared" si="5"/>
        <v>30</v>
      </c>
      <c r="F139" s="580">
        <f ca="1">INDEX(_Datos 139:139,,MATCH(_Búsqueda_Fechas_Pago, _Datos _Headers,0))</f>
        <v>46311</v>
      </c>
      <c r="G139" s="616">
        <f ca="1">INDEX(_Datos 139:139,,MATCH(_Búsqueda_Duración, _Datos _Headers,0))</f>
        <v>30</v>
      </c>
      <c r="H139" s="615"/>
      <c r="I139" s="76">
        <f t="shared" ca="1" si="6"/>
        <v>46311</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43861</v>
      </c>
      <c r="S139" s="30">
        <f>_DPP _Decenal</f>
        <v>10</v>
      </c>
      <c r="T139" s="615"/>
      <c r="U139" s="76">
        <f t="shared" ca="1" si="7"/>
        <v>46263</v>
      </c>
      <c r="V139" s="30">
        <f t="shared" ca="1" si="9"/>
        <v>30</v>
      </c>
    </row>
    <row r="140" spans="5:22">
      <c r="E140" s="98">
        <f t="shared" si="5"/>
        <v>30</v>
      </c>
      <c r="F140" s="580">
        <f ca="1">INDEX(_Datos 140:140,,MATCH(_Búsqueda_Fechas_Pago, _Datos _Headers,0))</f>
        <v>46342</v>
      </c>
      <c r="G140" s="616">
        <f ca="1">INDEX(_Datos 140:140,,MATCH(_Búsqueda_Duración, _Datos _Headers,0))</f>
        <v>30</v>
      </c>
      <c r="H140" s="615"/>
      <c r="I140" s="76">
        <f t="shared" ca="1" si="6"/>
        <v>46342</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43871</v>
      </c>
      <c r="S140" s="30">
        <f>_DPP _Decenal</f>
        <v>10</v>
      </c>
      <c r="T140" s="615"/>
      <c r="U140" s="76">
        <f t="shared" ca="1" si="7"/>
        <v>46293</v>
      </c>
      <c r="V140" s="30">
        <f t="shared" ca="1" si="9"/>
        <v>30</v>
      </c>
    </row>
    <row r="141" spans="5:22">
      <c r="E141" s="98">
        <f t="shared" si="5"/>
        <v>30</v>
      </c>
      <c r="F141" s="580">
        <f ca="1">INDEX(_Datos 141:141,,MATCH(_Búsqueda_Fechas_Pago, _Datos _Headers,0))</f>
        <v>46372</v>
      </c>
      <c r="G141" s="616">
        <f ca="1">INDEX(_Datos 141:141,,MATCH(_Búsqueda_Duración, _Datos _Headers,0))</f>
        <v>30</v>
      </c>
      <c r="H141" s="615"/>
      <c r="I141" s="76">
        <f t="shared" ca="1" si="6"/>
        <v>46372</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43881</v>
      </c>
      <c r="S141" s="30">
        <f>_DPP _Decenal</f>
        <v>10</v>
      </c>
      <c r="T141" s="615"/>
      <c r="U141" s="76">
        <f t="shared" ca="1" si="7"/>
        <v>46323</v>
      </c>
      <c r="V141" s="30">
        <f t="shared" ca="1" si="9"/>
        <v>30</v>
      </c>
    </row>
    <row r="142" spans="5:22">
      <c r="E142" s="98">
        <f t="shared" si="5"/>
        <v>30</v>
      </c>
      <c r="F142" s="580">
        <f ca="1">INDEX(_Datos 142:142,,MATCH(_Búsqueda_Fechas_Pago, _Datos _Headers,0))</f>
        <v>46403</v>
      </c>
      <c r="G142" s="616">
        <f ca="1">INDEX(_Datos 142:142,,MATCH(_Búsqueda_Duración, _Datos _Headers,0))</f>
        <v>30</v>
      </c>
      <c r="H142" s="615"/>
      <c r="I142" s="76">
        <f t="shared" ca="1" si="6"/>
        <v>46403</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43890</v>
      </c>
      <c r="S142" s="30">
        <f>_DPP _Decenal</f>
        <v>10</v>
      </c>
      <c r="T142" s="615"/>
      <c r="U142" s="76">
        <f t="shared" ca="1" si="7"/>
        <v>46353</v>
      </c>
      <c r="V142" s="30">
        <f t="shared" ca="1" si="9"/>
        <v>30</v>
      </c>
    </row>
    <row r="143" spans="5:22">
      <c r="E143" s="98">
        <f t="shared" si="5"/>
        <v>30</v>
      </c>
      <c r="F143" s="580">
        <f ca="1">INDEX(_Datos 143:143,,MATCH(_Búsqueda_Fechas_Pago, _Datos _Headers,0))</f>
        <v>46434</v>
      </c>
      <c r="G143" s="616">
        <f ca="1">INDEX(_Datos 143:143,,MATCH(_Búsqueda_Duración, _Datos _Headers,0))</f>
        <v>30</v>
      </c>
      <c r="H143" s="615"/>
      <c r="I143" s="76">
        <f t="shared" ca="1" si="6"/>
        <v>46434</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43900</v>
      </c>
      <c r="S143" s="30">
        <f>_DPP _Decenal</f>
        <v>10</v>
      </c>
      <c r="T143" s="615"/>
      <c r="U143" s="76">
        <f t="shared" ca="1" si="7"/>
        <v>46383</v>
      </c>
      <c r="V143" s="30">
        <f t="shared" ca="1" si="9"/>
        <v>30</v>
      </c>
    </row>
    <row r="144" spans="5:22">
      <c r="E144" s="98">
        <f t="shared" si="5"/>
        <v>30</v>
      </c>
      <c r="F144" s="580">
        <f ca="1">INDEX(_Datos 144:144,,MATCH(_Búsqueda_Fechas_Pago, _Datos _Headers,0))</f>
        <v>46462</v>
      </c>
      <c r="G144" s="616">
        <f ca="1">INDEX(_Datos 144:144,,MATCH(_Búsqueda_Duración, _Datos _Headers,0))</f>
        <v>30</v>
      </c>
      <c r="H144" s="615"/>
      <c r="I144" s="76">
        <f t="shared" ca="1" si="6"/>
        <v>46462</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43910</v>
      </c>
      <c r="S144" s="30">
        <f>_DPP _Decenal</f>
        <v>10</v>
      </c>
      <c r="T144" s="615"/>
      <c r="U144" s="76">
        <f t="shared" ca="1" si="7"/>
        <v>46413</v>
      </c>
      <c r="V144" s="30">
        <f t="shared" ca="1" si="9"/>
        <v>30</v>
      </c>
    </row>
    <row r="145" spans="5:22">
      <c r="E145" s="98">
        <f t="shared" si="5"/>
        <v>30</v>
      </c>
      <c r="F145" s="580">
        <f ca="1">INDEX(_Datos 145:145,,MATCH(_Búsqueda_Fechas_Pago, _Datos _Headers,0))</f>
        <v>46493</v>
      </c>
      <c r="G145" s="616">
        <f ca="1">INDEX(_Datos 145:145,,MATCH(_Búsqueda_Duración, _Datos _Headers,0))</f>
        <v>30</v>
      </c>
      <c r="H145" s="615"/>
      <c r="I145" s="76">
        <f t="shared" ca="1" si="6"/>
        <v>46493</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43921</v>
      </c>
      <c r="S145" s="30">
        <f>_DPP _Decenal</f>
        <v>10</v>
      </c>
      <c r="T145" s="615"/>
      <c r="U145" s="76">
        <f t="shared" ca="1" si="7"/>
        <v>46443</v>
      </c>
      <c r="V145" s="30">
        <f t="shared" ca="1" si="9"/>
        <v>30</v>
      </c>
    </row>
    <row r="146" spans="5:22">
      <c r="E146" s="98">
        <f t="shared" si="5"/>
        <v>30</v>
      </c>
      <c r="F146" s="580">
        <f ca="1">INDEX(_Datos 146:146,,MATCH(_Búsqueda_Fechas_Pago, _Datos _Headers,0))</f>
        <v>46523</v>
      </c>
      <c r="G146" s="616">
        <f ca="1">INDEX(_Datos 146:146,,MATCH(_Búsqueda_Duración, _Datos _Headers,0))</f>
        <v>30</v>
      </c>
      <c r="H146" s="615"/>
      <c r="I146" s="76">
        <f t="shared" ca="1" si="6"/>
        <v>46523</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43931</v>
      </c>
      <c r="S146" s="30">
        <f>_DPP _Decenal</f>
        <v>10</v>
      </c>
      <c r="T146" s="615"/>
      <c r="U146" s="76">
        <f t="shared" ca="1" si="7"/>
        <v>46473</v>
      </c>
      <c r="V146" s="30">
        <f t="shared" ca="1" si="9"/>
        <v>30</v>
      </c>
    </row>
    <row r="147" spans="5:22">
      <c r="E147" s="98">
        <f t="shared" ref="E147:E210" si="10">_Días_por_Periodo</f>
        <v>30</v>
      </c>
      <c r="F147" s="580">
        <f ca="1">INDEX(_Datos 147:147,,MATCH(_Búsqueda_Fechas_Pago, _Datos _Headers,0))</f>
        <v>46554</v>
      </c>
      <c r="G147" s="616">
        <f ca="1">INDEX(_Datos 147:147,,MATCH(_Búsqueda_Duración, _Datos _Headers,0))</f>
        <v>30</v>
      </c>
      <c r="H147" s="615"/>
      <c r="I147" s="76">
        <f t="shared" ca="1" si="6"/>
        <v>46554</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43941</v>
      </c>
      <c r="S147" s="30">
        <f>_DPP _Decenal</f>
        <v>10</v>
      </c>
      <c r="T147" s="615"/>
      <c r="U147" s="76">
        <f t="shared" ca="1" si="7"/>
        <v>46503</v>
      </c>
      <c r="V147" s="30">
        <f t="shared" ca="1" si="9"/>
        <v>30</v>
      </c>
    </row>
    <row r="148" spans="5:22">
      <c r="E148" s="98">
        <f t="shared" si="10"/>
        <v>30</v>
      </c>
      <c r="F148" s="580">
        <f ca="1">INDEX(_Datos 148:148,,MATCH(_Búsqueda_Fechas_Pago, _Datos _Headers,0))</f>
        <v>46584</v>
      </c>
      <c r="G148" s="616">
        <f ca="1">INDEX(_Datos 148:148,,MATCH(_Búsqueda_Duración, _Datos _Headers,0))</f>
        <v>30</v>
      </c>
      <c r="H148" s="615"/>
      <c r="I148" s="76">
        <f t="shared" ref="I148:I211" ca="1" si="11">IF(DAY(I147)&gt;=Const_Dia_Corte_Aniversario,EOMONTH(I147,1)+1,EOMONTH(I147,0)+DAY(I147))</f>
        <v>46584</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43951</v>
      </c>
      <c r="S148" s="30">
        <f>_DPP _Decenal</f>
        <v>10</v>
      </c>
      <c r="T148" s="615"/>
      <c r="U148" s="76">
        <f t="shared" ref="U148:U211" ca="1" si="12">U147 + _Días_por_Periodo</f>
        <v>46533</v>
      </c>
      <c r="V148" s="30">
        <f t="shared" ca="1" si="9"/>
        <v>30</v>
      </c>
    </row>
    <row r="149" spans="5:22">
      <c r="E149" s="98">
        <f t="shared" si="10"/>
        <v>30</v>
      </c>
      <c r="F149" s="580">
        <f ca="1">INDEX(_Datos 149:149,,MATCH(_Búsqueda_Fechas_Pago, _Datos _Headers,0))</f>
        <v>46615</v>
      </c>
      <c r="G149" s="616">
        <f ca="1">INDEX(_Datos 149:149,,MATCH(_Búsqueda_Duración, _Datos _Headers,0))</f>
        <v>30</v>
      </c>
      <c r="H149" s="615"/>
      <c r="I149" s="76">
        <f t="shared" ca="1" si="11"/>
        <v>46615</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43961</v>
      </c>
      <c r="S149" s="30">
        <f>_DPP _Decenal</f>
        <v>10</v>
      </c>
      <c r="T149" s="615"/>
      <c r="U149" s="76">
        <f t="shared" ca="1" si="12"/>
        <v>46563</v>
      </c>
      <c r="V149" s="30">
        <f t="shared" ref="V149:V212" ca="1" si="14">U149 - U148</f>
        <v>30</v>
      </c>
    </row>
    <row r="150" spans="5:22">
      <c r="E150" s="98">
        <f t="shared" si="10"/>
        <v>30</v>
      </c>
      <c r="F150" s="580">
        <f ca="1">INDEX(_Datos 150:150,,MATCH(_Búsqueda_Fechas_Pago, _Datos _Headers,0))</f>
        <v>46646</v>
      </c>
      <c r="G150" s="616">
        <f ca="1">INDEX(_Datos 150:150,,MATCH(_Búsqueda_Duración, _Datos _Headers,0))</f>
        <v>30</v>
      </c>
      <c r="H150" s="615"/>
      <c r="I150" s="76">
        <f t="shared" ca="1" si="11"/>
        <v>46646</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43971</v>
      </c>
      <c r="S150" s="30">
        <f>_DPP _Decenal</f>
        <v>10</v>
      </c>
      <c r="T150" s="615"/>
      <c r="U150" s="76">
        <f t="shared" ca="1" si="12"/>
        <v>46593</v>
      </c>
      <c r="V150" s="30">
        <f t="shared" ca="1" si="14"/>
        <v>30</v>
      </c>
    </row>
    <row r="151" spans="5:22">
      <c r="E151" s="98">
        <f t="shared" si="10"/>
        <v>30</v>
      </c>
      <c r="F151" s="580">
        <f ca="1">INDEX(_Datos 151:151,,MATCH(_Búsqueda_Fechas_Pago, _Datos _Headers,0))</f>
        <v>46676</v>
      </c>
      <c r="G151" s="616">
        <f ca="1">INDEX(_Datos 151:151,,MATCH(_Búsqueda_Duración, _Datos _Headers,0))</f>
        <v>30</v>
      </c>
      <c r="H151" s="615"/>
      <c r="I151" s="76">
        <f t="shared" ca="1" si="11"/>
        <v>46676</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43982</v>
      </c>
      <c r="S151" s="30">
        <f>_DPP _Decenal</f>
        <v>10</v>
      </c>
      <c r="T151" s="615"/>
      <c r="U151" s="76">
        <f t="shared" ca="1" si="12"/>
        <v>46623</v>
      </c>
      <c r="V151" s="30">
        <f t="shared" ca="1" si="14"/>
        <v>30</v>
      </c>
    </row>
    <row r="152" spans="5:22">
      <c r="E152" s="98">
        <f t="shared" si="10"/>
        <v>30</v>
      </c>
      <c r="F152" s="580">
        <f ca="1">INDEX(_Datos 152:152,,MATCH(_Búsqueda_Fechas_Pago, _Datos _Headers,0))</f>
        <v>46707</v>
      </c>
      <c r="G152" s="616">
        <f ca="1">INDEX(_Datos 152:152,,MATCH(_Búsqueda_Duración, _Datos _Headers,0))</f>
        <v>30</v>
      </c>
      <c r="H152" s="615"/>
      <c r="I152" s="76">
        <f t="shared" ca="1" si="11"/>
        <v>46707</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43992</v>
      </c>
      <c r="S152" s="30">
        <f>_DPP _Decenal</f>
        <v>10</v>
      </c>
      <c r="T152" s="615"/>
      <c r="U152" s="76">
        <f t="shared" ca="1" si="12"/>
        <v>46653</v>
      </c>
      <c r="V152" s="30">
        <f t="shared" ca="1" si="14"/>
        <v>30</v>
      </c>
    </row>
    <row r="153" spans="5:22">
      <c r="E153" s="98">
        <f t="shared" si="10"/>
        <v>30</v>
      </c>
      <c r="F153" s="580">
        <f ca="1">INDEX(_Datos 153:153,,MATCH(_Búsqueda_Fechas_Pago, _Datos _Headers,0))</f>
        <v>46737</v>
      </c>
      <c r="G153" s="616">
        <f ca="1">INDEX(_Datos 153:153,,MATCH(_Búsqueda_Duración, _Datos _Headers,0))</f>
        <v>30</v>
      </c>
      <c r="H153" s="615"/>
      <c r="I153" s="76">
        <f t="shared" ca="1" si="11"/>
        <v>46737</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44002</v>
      </c>
      <c r="S153" s="30">
        <f>_DPP _Decenal</f>
        <v>10</v>
      </c>
      <c r="T153" s="615"/>
      <c r="U153" s="76">
        <f t="shared" ca="1" si="12"/>
        <v>46683</v>
      </c>
      <c r="V153" s="30">
        <f t="shared" ca="1" si="14"/>
        <v>30</v>
      </c>
    </row>
    <row r="154" spans="5:22">
      <c r="E154" s="98">
        <f t="shared" si="10"/>
        <v>30</v>
      </c>
      <c r="F154" s="580">
        <f ca="1">INDEX(_Datos 154:154,,MATCH(_Búsqueda_Fechas_Pago, _Datos _Headers,0))</f>
        <v>46768</v>
      </c>
      <c r="G154" s="616">
        <f ca="1">INDEX(_Datos 154:154,,MATCH(_Búsqueda_Duración, _Datos _Headers,0))</f>
        <v>30</v>
      </c>
      <c r="H154" s="615"/>
      <c r="I154" s="76">
        <f t="shared" ca="1" si="11"/>
        <v>46768</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44012</v>
      </c>
      <c r="S154" s="30">
        <f>_DPP _Decenal</f>
        <v>10</v>
      </c>
      <c r="T154" s="615"/>
      <c r="U154" s="76">
        <f t="shared" ca="1" si="12"/>
        <v>46713</v>
      </c>
      <c r="V154" s="30">
        <f t="shared" ca="1" si="14"/>
        <v>30</v>
      </c>
    </row>
    <row r="155" spans="5:22">
      <c r="E155" s="98">
        <f t="shared" si="10"/>
        <v>30</v>
      </c>
      <c r="F155" s="580">
        <f ca="1">INDEX(_Datos 155:155,,MATCH(_Búsqueda_Fechas_Pago, _Datos _Headers,0))</f>
        <v>46799</v>
      </c>
      <c r="G155" s="616">
        <f ca="1">INDEX(_Datos 155:155,,MATCH(_Búsqueda_Duración, _Datos _Headers,0))</f>
        <v>30</v>
      </c>
      <c r="H155" s="615"/>
      <c r="I155" s="76">
        <f t="shared" ca="1" si="11"/>
        <v>46799</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44022</v>
      </c>
      <c r="S155" s="30">
        <f>_DPP _Decenal</f>
        <v>10</v>
      </c>
      <c r="T155" s="615"/>
      <c r="U155" s="76">
        <f t="shared" ca="1" si="12"/>
        <v>46743</v>
      </c>
      <c r="V155" s="30">
        <f t="shared" ca="1" si="14"/>
        <v>30</v>
      </c>
    </row>
    <row r="156" spans="5:22">
      <c r="E156" s="98">
        <f t="shared" si="10"/>
        <v>30</v>
      </c>
      <c r="F156" s="580">
        <f ca="1">INDEX(_Datos 156:156,,MATCH(_Búsqueda_Fechas_Pago, _Datos _Headers,0))</f>
        <v>46828</v>
      </c>
      <c r="G156" s="616">
        <f ca="1">INDEX(_Datos 156:156,,MATCH(_Búsqueda_Duración, _Datos _Headers,0))</f>
        <v>30</v>
      </c>
      <c r="H156" s="615"/>
      <c r="I156" s="76">
        <f t="shared" ca="1" si="11"/>
        <v>46828</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44032</v>
      </c>
      <c r="S156" s="30">
        <f>_DPP _Decenal</f>
        <v>10</v>
      </c>
      <c r="T156" s="615"/>
      <c r="U156" s="76">
        <f t="shared" ca="1" si="12"/>
        <v>46773</v>
      </c>
      <c r="V156" s="30">
        <f t="shared" ca="1" si="14"/>
        <v>30</v>
      </c>
    </row>
    <row r="157" spans="5:22">
      <c r="E157" s="98">
        <f t="shared" si="10"/>
        <v>30</v>
      </c>
      <c r="F157" s="580">
        <f ca="1">INDEX(_Datos 157:157,,MATCH(_Búsqueda_Fechas_Pago, _Datos _Headers,0))</f>
        <v>46859</v>
      </c>
      <c r="G157" s="616">
        <f ca="1">INDEX(_Datos 157:157,,MATCH(_Búsqueda_Duración, _Datos _Headers,0))</f>
        <v>30</v>
      </c>
      <c r="H157" s="615"/>
      <c r="I157" s="76">
        <f t="shared" ca="1" si="11"/>
        <v>46859</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44043</v>
      </c>
      <c r="S157" s="30">
        <f>_DPP _Decenal</f>
        <v>10</v>
      </c>
      <c r="T157" s="615"/>
      <c r="U157" s="76">
        <f t="shared" ca="1" si="12"/>
        <v>46803</v>
      </c>
      <c r="V157" s="30">
        <f t="shared" ca="1" si="14"/>
        <v>30</v>
      </c>
    </row>
    <row r="158" spans="5:22">
      <c r="E158" s="98">
        <f t="shared" si="10"/>
        <v>30</v>
      </c>
      <c r="F158" s="580">
        <f ca="1">INDEX(_Datos 158:158,,MATCH(_Búsqueda_Fechas_Pago, _Datos _Headers,0))</f>
        <v>46889</v>
      </c>
      <c r="G158" s="616">
        <f ca="1">INDEX(_Datos 158:158,,MATCH(_Búsqueda_Duración, _Datos _Headers,0))</f>
        <v>30</v>
      </c>
      <c r="H158" s="615"/>
      <c r="I158" s="76">
        <f t="shared" ca="1" si="11"/>
        <v>46889</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44053</v>
      </c>
      <c r="S158" s="30">
        <f>_DPP _Decenal</f>
        <v>10</v>
      </c>
      <c r="T158" s="615"/>
      <c r="U158" s="76">
        <f t="shared" ca="1" si="12"/>
        <v>46833</v>
      </c>
      <c r="V158" s="30">
        <f t="shared" ca="1" si="14"/>
        <v>30</v>
      </c>
    </row>
    <row r="159" spans="5:22">
      <c r="E159" s="98">
        <f t="shared" si="10"/>
        <v>30</v>
      </c>
      <c r="F159" s="580">
        <f ca="1">INDEX(_Datos 159:159,,MATCH(_Búsqueda_Fechas_Pago, _Datos _Headers,0))</f>
        <v>46920</v>
      </c>
      <c r="G159" s="616">
        <f ca="1">INDEX(_Datos 159:159,,MATCH(_Búsqueda_Duración, _Datos _Headers,0))</f>
        <v>30</v>
      </c>
      <c r="H159" s="615"/>
      <c r="I159" s="76">
        <f t="shared" ca="1" si="11"/>
        <v>46920</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44063</v>
      </c>
      <c r="S159" s="30">
        <f>_DPP _Decenal</f>
        <v>10</v>
      </c>
      <c r="T159" s="615"/>
      <c r="U159" s="76">
        <f t="shared" ca="1" si="12"/>
        <v>46863</v>
      </c>
      <c r="V159" s="30">
        <f t="shared" ca="1" si="14"/>
        <v>30</v>
      </c>
    </row>
    <row r="160" spans="5:22">
      <c r="E160" s="98">
        <f t="shared" si="10"/>
        <v>30</v>
      </c>
      <c r="F160" s="580">
        <f ca="1">INDEX(_Datos 160:160,,MATCH(_Búsqueda_Fechas_Pago, _Datos _Headers,0))</f>
        <v>46950</v>
      </c>
      <c r="G160" s="616">
        <f ca="1">INDEX(_Datos 160:160,,MATCH(_Búsqueda_Duración, _Datos _Headers,0))</f>
        <v>30</v>
      </c>
      <c r="H160" s="615"/>
      <c r="I160" s="76">
        <f t="shared" ca="1" si="11"/>
        <v>46950</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44074</v>
      </c>
      <c r="S160" s="30">
        <f>_DPP _Decenal</f>
        <v>10</v>
      </c>
      <c r="T160" s="615"/>
      <c r="U160" s="76">
        <f t="shared" ca="1" si="12"/>
        <v>46893</v>
      </c>
      <c r="V160" s="30">
        <f t="shared" ca="1" si="14"/>
        <v>30</v>
      </c>
    </row>
    <row r="161" spans="5:22">
      <c r="E161" s="98">
        <f t="shared" si="10"/>
        <v>30</v>
      </c>
      <c r="F161" s="580">
        <f ca="1">INDEX(_Datos 161:161,,MATCH(_Búsqueda_Fechas_Pago, _Datos _Headers,0))</f>
        <v>46981</v>
      </c>
      <c r="G161" s="616">
        <f ca="1">INDEX(_Datos 161:161,,MATCH(_Búsqueda_Duración, _Datos _Headers,0))</f>
        <v>30</v>
      </c>
      <c r="H161" s="615"/>
      <c r="I161" s="76">
        <f t="shared" ca="1" si="11"/>
        <v>46981</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44084</v>
      </c>
      <c r="S161" s="30">
        <f>_DPP _Decenal</f>
        <v>10</v>
      </c>
      <c r="T161" s="615"/>
      <c r="U161" s="76">
        <f t="shared" ca="1" si="12"/>
        <v>46923</v>
      </c>
      <c r="V161" s="30">
        <f t="shared" ca="1" si="14"/>
        <v>30</v>
      </c>
    </row>
    <row r="162" spans="5:22">
      <c r="E162" s="98">
        <f t="shared" si="10"/>
        <v>30</v>
      </c>
      <c r="F162" s="580">
        <f ca="1">INDEX(_Datos 162:162,,MATCH(_Búsqueda_Fechas_Pago, _Datos _Headers,0))</f>
        <v>47012</v>
      </c>
      <c r="G162" s="616">
        <f ca="1">INDEX(_Datos 162:162,,MATCH(_Búsqueda_Duración, _Datos _Headers,0))</f>
        <v>30</v>
      </c>
      <c r="H162" s="615"/>
      <c r="I162" s="76">
        <f t="shared" ca="1" si="11"/>
        <v>47012</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44094</v>
      </c>
      <c r="S162" s="30">
        <f>_DPP _Decenal</f>
        <v>10</v>
      </c>
      <c r="T162" s="615"/>
      <c r="U162" s="76">
        <f t="shared" ca="1" si="12"/>
        <v>46953</v>
      </c>
      <c r="V162" s="30">
        <f t="shared" ca="1" si="14"/>
        <v>30</v>
      </c>
    </row>
    <row r="163" spans="5:22">
      <c r="E163" s="98">
        <f t="shared" si="10"/>
        <v>30</v>
      </c>
      <c r="F163" s="580">
        <f ca="1">INDEX(_Datos 163:163,,MATCH(_Búsqueda_Fechas_Pago, _Datos _Headers,0))</f>
        <v>47042</v>
      </c>
      <c r="G163" s="616">
        <f ca="1">INDEX(_Datos 163:163,,MATCH(_Búsqueda_Duración, _Datos _Headers,0))</f>
        <v>30</v>
      </c>
      <c r="H163" s="615"/>
      <c r="I163" s="76">
        <f t="shared" ca="1" si="11"/>
        <v>47042</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44104</v>
      </c>
      <c r="S163" s="30">
        <f>_DPP _Decenal</f>
        <v>10</v>
      </c>
      <c r="T163" s="615"/>
      <c r="U163" s="76">
        <f t="shared" ca="1" si="12"/>
        <v>46983</v>
      </c>
      <c r="V163" s="30">
        <f t="shared" ca="1" si="14"/>
        <v>30</v>
      </c>
    </row>
    <row r="164" spans="5:22">
      <c r="E164" s="98">
        <f t="shared" si="10"/>
        <v>30</v>
      </c>
      <c r="F164" s="580">
        <f ca="1">INDEX(_Datos 164:164,,MATCH(_Búsqueda_Fechas_Pago, _Datos _Headers,0))</f>
        <v>47073</v>
      </c>
      <c r="G164" s="616">
        <f ca="1">INDEX(_Datos 164:164,,MATCH(_Búsqueda_Duración, _Datos _Headers,0))</f>
        <v>30</v>
      </c>
      <c r="H164" s="615"/>
      <c r="I164" s="76">
        <f t="shared" ca="1" si="11"/>
        <v>47073</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44114</v>
      </c>
      <c r="S164" s="30">
        <f>_DPP _Decenal</f>
        <v>10</v>
      </c>
      <c r="T164" s="615"/>
      <c r="U164" s="76">
        <f t="shared" ca="1" si="12"/>
        <v>47013</v>
      </c>
      <c r="V164" s="30">
        <f t="shared" ca="1" si="14"/>
        <v>30</v>
      </c>
    </row>
    <row r="165" spans="5:22">
      <c r="E165" s="98">
        <f t="shared" si="10"/>
        <v>30</v>
      </c>
      <c r="F165" s="580">
        <f ca="1">INDEX(_Datos 165:165,,MATCH(_Búsqueda_Fechas_Pago, _Datos _Headers,0))</f>
        <v>47103</v>
      </c>
      <c r="G165" s="616">
        <f ca="1">INDEX(_Datos 165:165,,MATCH(_Búsqueda_Duración, _Datos _Headers,0))</f>
        <v>30</v>
      </c>
      <c r="H165" s="615"/>
      <c r="I165" s="76">
        <f t="shared" ca="1" si="11"/>
        <v>47103</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44124</v>
      </c>
      <c r="S165" s="30">
        <f>_DPP _Decenal</f>
        <v>10</v>
      </c>
      <c r="T165" s="615"/>
      <c r="U165" s="76">
        <f t="shared" ca="1" si="12"/>
        <v>47043</v>
      </c>
      <c r="V165" s="30">
        <f t="shared" ca="1" si="14"/>
        <v>30</v>
      </c>
    </row>
    <row r="166" spans="5:22">
      <c r="E166" s="98">
        <f t="shared" si="10"/>
        <v>30</v>
      </c>
      <c r="F166" s="580">
        <f ca="1">INDEX(_Datos 166:166,,MATCH(_Búsqueda_Fechas_Pago, _Datos _Headers,0))</f>
        <v>47134</v>
      </c>
      <c r="G166" s="616">
        <f ca="1">INDEX(_Datos 166:166,,MATCH(_Búsqueda_Duración, _Datos _Headers,0))</f>
        <v>30</v>
      </c>
      <c r="H166" s="615"/>
      <c r="I166" s="76">
        <f t="shared" ca="1" si="11"/>
        <v>47134</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44135</v>
      </c>
      <c r="S166" s="30">
        <f>_DPP _Decenal</f>
        <v>10</v>
      </c>
      <c r="T166" s="615"/>
      <c r="U166" s="76">
        <f t="shared" ca="1" si="12"/>
        <v>47073</v>
      </c>
      <c r="V166" s="30">
        <f t="shared" ca="1" si="14"/>
        <v>30</v>
      </c>
    </row>
    <row r="167" spans="5:22">
      <c r="E167" s="98">
        <f t="shared" si="10"/>
        <v>30</v>
      </c>
      <c r="F167" s="580">
        <f ca="1">INDEX(_Datos 167:167,,MATCH(_Búsqueda_Fechas_Pago, _Datos _Headers,0))</f>
        <v>47165</v>
      </c>
      <c r="G167" s="616">
        <f ca="1">INDEX(_Datos 167:167,,MATCH(_Búsqueda_Duración, _Datos _Headers,0))</f>
        <v>30</v>
      </c>
      <c r="H167" s="615"/>
      <c r="I167" s="76">
        <f t="shared" ca="1" si="11"/>
        <v>47165</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44145</v>
      </c>
      <c r="S167" s="30">
        <f>_DPP _Decenal</f>
        <v>10</v>
      </c>
      <c r="T167" s="615"/>
      <c r="U167" s="76">
        <f t="shared" ca="1" si="12"/>
        <v>47103</v>
      </c>
      <c r="V167" s="30">
        <f t="shared" ca="1" si="14"/>
        <v>30</v>
      </c>
    </row>
    <row r="168" spans="5:22">
      <c r="E168" s="98">
        <f t="shared" si="10"/>
        <v>30</v>
      </c>
      <c r="F168" s="580">
        <f ca="1">INDEX(_Datos 168:168,,MATCH(_Búsqueda_Fechas_Pago, _Datos _Headers,0))</f>
        <v>47193</v>
      </c>
      <c r="G168" s="616">
        <f ca="1">INDEX(_Datos 168:168,,MATCH(_Búsqueda_Duración, _Datos _Headers,0))</f>
        <v>30</v>
      </c>
      <c r="H168" s="615"/>
      <c r="I168" s="76">
        <f t="shared" ca="1" si="11"/>
        <v>47193</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44155</v>
      </c>
      <c r="S168" s="30">
        <f>_DPP _Decenal</f>
        <v>10</v>
      </c>
      <c r="T168" s="615"/>
      <c r="U168" s="76">
        <f t="shared" ca="1" si="12"/>
        <v>47133</v>
      </c>
      <c r="V168" s="30">
        <f t="shared" ca="1" si="14"/>
        <v>30</v>
      </c>
    </row>
    <row r="169" spans="5:22">
      <c r="E169" s="98">
        <f t="shared" si="10"/>
        <v>30</v>
      </c>
      <c r="F169" s="580">
        <f ca="1">INDEX(_Datos 169:169,,MATCH(_Búsqueda_Fechas_Pago, _Datos _Headers,0))</f>
        <v>47224</v>
      </c>
      <c r="G169" s="616">
        <f ca="1">INDEX(_Datos 169:169,,MATCH(_Búsqueda_Duración, _Datos _Headers,0))</f>
        <v>30</v>
      </c>
      <c r="H169" s="615"/>
      <c r="I169" s="76">
        <f t="shared" ca="1" si="11"/>
        <v>47224</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44165</v>
      </c>
      <c r="S169" s="30">
        <f>_DPP _Decenal</f>
        <v>10</v>
      </c>
      <c r="T169" s="615"/>
      <c r="U169" s="76">
        <f t="shared" ca="1" si="12"/>
        <v>47163</v>
      </c>
      <c r="V169" s="30">
        <f t="shared" ca="1" si="14"/>
        <v>30</v>
      </c>
    </row>
    <row r="170" spans="5:22">
      <c r="E170" s="98">
        <f t="shared" si="10"/>
        <v>30</v>
      </c>
      <c r="F170" s="580">
        <f ca="1">INDEX(_Datos 170:170,,MATCH(_Búsqueda_Fechas_Pago, _Datos _Headers,0))</f>
        <v>47254</v>
      </c>
      <c r="G170" s="616">
        <f ca="1">INDEX(_Datos 170:170,,MATCH(_Búsqueda_Duración, _Datos _Headers,0))</f>
        <v>30</v>
      </c>
      <c r="H170" s="615"/>
      <c r="I170" s="76">
        <f t="shared" ca="1" si="11"/>
        <v>47254</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44175</v>
      </c>
      <c r="S170" s="30">
        <f>_DPP _Decenal</f>
        <v>10</v>
      </c>
      <c r="T170" s="615"/>
      <c r="U170" s="76">
        <f t="shared" ca="1" si="12"/>
        <v>47193</v>
      </c>
      <c r="V170" s="30">
        <f t="shared" ca="1" si="14"/>
        <v>30</v>
      </c>
    </row>
    <row r="171" spans="5:22">
      <c r="E171" s="98">
        <f t="shared" si="10"/>
        <v>30</v>
      </c>
      <c r="F171" s="580">
        <f ca="1">INDEX(_Datos 171:171,,MATCH(_Búsqueda_Fechas_Pago, _Datos _Headers,0))</f>
        <v>47285</v>
      </c>
      <c r="G171" s="616">
        <f ca="1">INDEX(_Datos 171:171,,MATCH(_Búsqueda_Duración, _Datos _Headers,0))</f>
        <v>30</v>
      </c>
      <c r="H171" s="615"/>
      <c r="I171" s="76">
        <f t="shared" ca="1" si="11"/>
        <v>47285</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44185</v>
      </c>
      <c r="S171" s="30">
        <f>_DPP _Decenal</f>
        <v>10</v>
      </c>
      <c r="T171" s="615"/>
      <c r="U171" s="76">
        <f t="shared" ca="1" si="12"/>
        <v>47223</v>
      </c>
      <c r="V171" s="30">
        <f t="shared" ca="1" si="14"/>
        <v>30</v>
      </c>
    </row>
    <row r="172" spans="5:22">
      <c r="E172" s="98">
        <f t="shared" si="10"/>
        <v>30</v>
      </c>
      <c r="F172" s="580">
        <f ca="1">INDEX(_Datos 172:172,,MATCH(_Búsqueda_Fechas_Pago, _Datos _Headers,0))</f>
        <v>47315</v>
      </c>
      <c r="G172" s="616">
        <f ca="1">INDEX(_Datos 172:172,,MATCH(_Búsqueda_Duración, _Datos _Headers,0))</f>
        <v>30</v>
      </c>
      <c r="H172" s="615"/>
      <c r="I172" s="76">
        <f t="shared" ca="1" si="11"/>
        <v>47315</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44196</v>
      </c>
      <c r="S172" s="30">
        <f>_DPP _Decenal</f>
        <v>10</v>
      </c>
      <c r="T172" s="615"/>
      <c r="U172" s="76">
        <f t="shared" ca="1" si="12"/>
        <v>47253</v>
      </c>
      <c r="V172" s="30">
        <f t="shared" ca="1" si="14"/>
        <v>30</v>
      </c>
    </row>
    <row r="173" spans="5:22">
      <c r="E173" s="98">
        <f t="shared" si="10"/>
        <v>30</v>
      </c>
      <c r="F173" s="580">
        <f ca="1">INDEX(_Datos 173:173,,MATCH(_Búsqueda_Fechas_Pago, _Datos _Headers,0))</f>
        <v>47346</v>
      </c>
      <c r="G173" s="616">
        <f ca="1">INDEX(_Datos 173:173,,MATCH(_Búsqueda_Duración, _Datos _Headers,0))</f>
        <v>30</v>
      </c>
      <c r="H173" s="615"/>
      <c r="I173" s="76">
        <f t="shared" ca="1" si="11"/>
        <v>47346</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44206</v>
      </c>
      <c r="S173" s="30">
        <f>_DPP _Decenal</f>
        <v>10</v>
      </c>
      <c r="T173" s="615"/>
      <c r="U173" s="76">
        <f t="shared" ca="1" si="12"/>
        <v>47283</v>
      </c>
      <c r="V173" s="30">
        <f t="shared" ca="1" si="14"/>
        <v>30</v>
      </c>
    </row>
    <row r="174" spans="5:22">
      <c r="E174" s="98">
        <f t="shared" si="10"/>
        <v>30</v>
      </c>
      <c r="F174" s="580">
        <f ca="1">INDEX(_Datos 174:174,,MATCH(_Búsqueda_Fechas_Pago, _Datos _Headers,0))</f>
        <v>47377</v>
      </c>
      <c r="G174" s="616">
        <f ca="1">INDEX(_Datos 174:174,,MATCH(_Búsqueda_Duración, _Datos _Headers,0))</f>
        <v>30</v>
      </c>
      <c r="H174" s="615"/>
      <c r="I174" s="76">
        <f t="shared" ca="1" si="11"/>
        <v>47377</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44216</v>
      </c>
      <c r="S174" s="30">
        <f>_DPP _Decenal</f>
        <v>10</v>
      </c>
      <c r="T174" s="615"/>
      <c r="U174" s="76">
        <f t="shared" ca="1" si="12"/>
        <v>47313</v>
      </c>
      <c r="V174" s="30">
        <f t="shared" ca="1" si="14"/>
        <v>30</v>
      </c>
    </row>
    <row r="175" spans="5:22">
      <c r="E175" s="98">
        <f t="shared" si="10"/>
        <v>30</v>
      </c>
      <c r="F175" s="580">
        <f ca="1">INDEX(_Datos 175:175,,MATCH(_Búsqueda_Fechas_Pago, _Datos _Headers,0))</f>
        <v>47407</v>
      </c>
      <c r="G175" s="616">
        <f ca="1">INDEX(_Datos 175:175,,MATCH(_Búsqueda_Duración, _Datos _Headers,0))</f>
        <v>30</v>
      </c>
      <c r="H175" s="615"/>
      <c r="I175" s="76">
        <f t="shared" ca="1" si="11"/>
        <v>47407</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44227</v>
      </c>
      <c r="S175" s="30">
        <f>_DPP _Decenal</f>
        <v>10</v>
      </c>
      <c r="T175" s="615"/>
      <c r="U175" s="76">
        <f t="shared" ca="1" si="12"/>
        <v>47343</v>
      </c>
      <c r="V175" s="30">
        <f t="shared" ca="1" si="14"/>
        <v>30</v>
      </c>
    </row>
    <row r="176" spans="5:22">
      <c r="E176" s="98">
        <f t="shared" si="10"/>
        <v>30</v>
      </c>
      <c r="F176" s="580">
        <f ca="1">INDEX(_Datos 176:176,,MATCH(_Búsqueda_Fechas_Pago, _Datos _Headers,0))</f>
        <v>47438</v>
      </c>
      <c r="G176" s="616">
        <f ca="1">INDEX(_Datos 176:176,,MATCH(_Búsqueda_Duración, _Datos _Headers,0))</f>
        <v>30</v>
      </c>
      <c r="H176" s="615"/>
      <c r="I176" s="76">
        <f t="shared" ca="1" si="11"/>
        <v>47438</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44237</v>
      </c>
      <c r="S176" s="30">
        <f>_DPP _Decenal</f>
        <v>10</v>
      </c>
      <c r="T176" s="615"/>
      <c r="U176" s="76">
        <f t="shared" ca="1" si="12"/>
        <v>47373</v>
      </c>
      <c r="V176" s="30">
        <f t="shared" ca="1" si="14"/>
        <v>30</v>
      </c>
    </row>
    <row r="177" spans="5:22">
      <c r="E177" s="98">
        <f t="shared" si="10"/>
        <v>30</v>
      </c>
      <c r="F177" s="580">
        <f ca="1">INDEX(_Datos 177:177,,MATCH(_Búsqueda_Fechas_Pago, _Datos _Headers,0))</f>
        <v>47468</v>
      </c>
      <c r="G177" s="616">
        <f ca="1">INDEX(_Datos 177:177,,MATCH(_Búsqueda_Duración, _Datos _Headers,0))</f>
        <v>30</v>
      </c>
      <c r="H177" s="615"/>
      <c r="I177" s="76">
        <f t="shared" ca="1" si="11"/>
        <v>47468</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44247</v>
      </c>
      <c r="S177" s="30">
        <f>_DPP _Decenal</f>
        <v>10</v>
      </c>
      <c r="T177" s="615"/>
      <c r="U177" s="76">
        <f t="shared" ca="1" si="12"/>
        <v>47403</v>
      </c>
      <c r="V177" s="30">
        <f t="shared" ca="1" si="14"/>
        <v>30</v>
      </c>
    </row>
    <row r="178" spans="5:22">
      <c r="E178" s="98">
        <f t="shared" si="10"/>
        <v>30</v>
      </c>
      <c r="F178" s="580">
        <f ca="1">INDEX(_Datos 178:178,,MATCH(_Búsqueda_Fechas_Pago, _Datos _Headers,0))</f>
        <v>47499</v>
      </c>
      <c r="G178" s="616">
        <f ca="1">INDEX(_Datos 178:178,,MATCH(_Búsqueda_Duración, _Datos _Headers,0))</f>
        <v>30</v>
      </c>
      <c r="H178" s="615"/>
      <c r="I178" s="76">
        <f t="shared" ca="1" si="11"/>
        <v>47499</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44255</v>
      </c>
      <c r="S178" s="30">
        <f>_DPP _Decenal</f>
        <v>10</v>
      </c>
      <c r="T178" s="615"/>
      <c r="U178" s="76">
        <f t="shared" ca="1" si="12"/>
        <v>47433</v>
      </c>
      <c r="V178" s="30">
        <f t="shared" ca="1" si="14"/>
        <v>30</v>
      </c>
    </row>
    <row r="179" spans="5:22">
      <c r="E179" s="98">
        <f t="shared" si="10"/>
        <v>30</v>
      </c>
      <c r="F179" s="580">
        <f ca="1">INDEX(_Datos 179:179,,MATCH(_Búsqueda_Fechas_Pago, _Datos _Headers,0))</f>
        <v>47530</v>
      </c>
      <c r="G179" s="616">
        <f ca="1">INDEX(_Datos 179:179,,MATCH(_Búsqueda_Duración, _Datos _Headers,0))</f>
        <v>30</v>
      </c>
      <c r="H179" s="615"/>
      <c r="I179" s="76">
        <f t="shared" ca="1" si="11"/>
        <v>47530</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44265</v>
      </c>
      <c r="S179" s="30">
        <f>_DPP _Decenal</f>
        <v>10</v>
      </c>
      <c r="T179" s="615"/>
      <c r="U179" s="76">
        <f t="shared" ca="1" si="12"/>
        <v>47463</v>
      </c>
      <c r="V179" s="30">
        <f t="shared" ca="1" si="14"/>
        <v>30</v>
      </c>
    </row>
    <row r="180" spans="5:22">
      <c r="E180" s="98">
        <f t="shared" si="10"/>
        <v>30</v>
      </c>
      <c r="F180" s="580">
        <f ca="1">INDEX(_Datos 180:180,,MATCH(_Búsqueda_Fechas_Pago, _Datos _Headers,0))</f>
        <v>47558</v>
      </c>
      <c r="G180" s="616">
        <f ca="1">INDEX(_Datos 180:180,,MATCH(_Búsqueda_Duración, _Datos _Headers,0))</f>
        <v>30</v>
      </c>
      <c r="H180" s="615"/>
      <c r="I180" s="76">
        <f t="shared" ca="1" si="11"/>
        <v>47558</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44275</v>
      </c>
      <c r="S180" s="30">
        <f>_DPP _Decenal</f>
        <v>10</v>
      </c>
      <c r="T180" s="615"/>
      <c r="U180" s="76">
        <f t="shared" ca="1" si="12"/>
        <v>47493</v>
      </c>
      <c r="V180" s="30">
        <f t="shared" ca="1" si="14"/>
        <v>30</v>
      </c>
    </row>
    <row r="181" spans="5:22">
      <c r="E181" s="98">
        <f t="shared" si="10"/>
        <v>30</v>
      </c>
      <c r="F181" s="580">
        <f ca="1">INDEX(_Datos 181:181,,MATCH(_Búsqueda_Fechas_Pago, _Datos _Headers,0))</f>
        <v>47589</v>
      </c>
      <c r="G181" s="616">
        <f ca="1">INDEX(_Datos 181:181,,MATCH(_Búsqueda_Duración, _Datos _Headers,0))</f>
        <v>30</v>
      </c>
      <c r="H181" s="615"/>
      <c r="I181" s="76">
        <f t="shared" ca="1" si="11"/>
        <v>47589</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44286</v>
      </c>
      <c r="S181" s="30">
        <f>_DPP _Decenal</f>
        <v>10</v>
      </c>
      <c r="T181" s="615"/>
      <c r="U181" s="76">
        <f t="shared" ca="1" si="12"/>
        <v>47523</v>
      </c>
      <c r="V181" s="30">
        <f t="shared" ca="1" si="14"/>
        <v>30</v>
      </c>
    </row>
    <row r="182" spans="5:22">
      <c r="E182" s="98">
        <f t="shared" si="10"/>
        <v>30</v>
      </c>
      <c r="F182" s="580">
        <f ca="1">INDEX(_Datos 182:182,,MATCH(_Búsqueda_Fechas_Pago, _Datos _Headers,0))</f>
        <v>47619</v>
      </c>
      <c r="G182" s="616">
        <f ca="1">INDEX(_Datos 182:182,,MATCH(_Búsqueda_Duración, _Datos _Headers,0))</f>
        <v>30</v>
      </c>
      <c r="H182" s="615"/>
      <c r="I182" s="76">
        <f t="shared" ca="1" si="11"/>
        <v>47619</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44296</v>
      </c>
      <c r="S182" s="30">
        <f>_DPP _Decenal</f>
        <v>10</v>
      </c>
      <c r="T182" s="615"/>
      <c r="U182" s="76">
        <f t="shared" ca="1" si="12"/>
        <v>47553</v>
      </c>
      <c r="V182" s="30">
        <f t="shared" ca="1" si="14"/>
        <v>30</v>
      </c>
    </row>
    <row r="183" spans="5:22">
      <c r="E183" s="98">
        <f t="shared" si="10"/>
        <v>30</v>
      </c>
      <c r="F183" s="580">
        <f ca="1">INDEX(_Datos 183:183,,MATCH(_Búsqueda_Fechas_Pago, _Datos _Headers,0))</f>
        <v>47650</v>
      </c>
      <c r="G183" s="616">
        <f ca="1">INDEX(_Datos 183:183,,MATCH(_Búsqueda_Duración, _Datos _Headers,0))</f>
        <v>30</v>
      </c>
      <c r="H183" s="615"/>
      <c r="I183" s="76">
        <f t="shared" ca="1" si="11"/>
        <v>47650</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44306</v>
      </c>
      <c r="S183" s="30">
        <f>_DPP _Decenal</f>
        <v>10</v>
      </c>
      <c r="T183" s="615"/>
      <c r="U183" s="76">
        <f t="shared" ca="1" si="12"/>
        <v>47583</v>
      </c>
      <c r="V183" s="30">
        <f t="shared" ca="1" si="14"/>
        <v>30</v>
      </c>
    </row>
    <row r="184" spans="5:22">
      <c r="E184" s="98">
        <f t="shared" si="10"/>
        <v>30</v>
      </c>
      <c r="F184" s="580">
        <f ca="1">INDEX(_Datos 184:184,,MATCH(_Búsqueda_Fechas_Pago, _Datos _Headers,0))</f>
        <v>47680</v>
      </c>
      <c r="G184" s="616">
        <f ca="1">INDEX(_Datos 184:184,,MATCH(_Búsqueda_Duración, _Datos _Headers,0))</f>
        <v>30</v>
      </c>
      <c r="H184" s="615"/>
      <c r="I184" s="76">
        <f t="shared" ca="1" si="11"/>
        <v>47680</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44316</v>
      </c>
      <c r="S184" s="30">
        <f>_DPP _Decenal</f>
        <v>10</v>
      </c>
      <c r="T184" s="615"/>
      <c r="U184" s="76">
        <f t="shared" ca="1" si="12"/>
        <v>47613</v>
      </c>
      <c r="V184" s="30">
        <f t="shared" ca="1" si="14"/>
        <v>30</v>
      </c>
    </row>
    <row r="185" spans="5:22">
      <c r="E185" s="98">
        <f t="shared" si="10"/>
        <v>30</v>
      </c>
      <c r="F185" s="580">
        <f ca="1">INDEX(_Datos 185:185,,MATCH(_Búsqueda_Fechas_Pago, _Datos _Headers,0))</f>
        <v>47711</v>
      </c>
      <c r="G185" s="616">
        <f ca="1">INDEX(_Datos 185:185,,MATCH(_Búsqueda_Duración, _Datos _Headers,0))</f>
        <v>30</v>
      </c>
      <c r="H185" s="615"/>
      <c r="I185" s="76">
        <f t="shared" ca="1" si="11"/>
        <v>47711</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44326</v>
      </c>
      <c r="S185" s="30">
        <f>_DPP _Decenal</f>
        <v>10</v>
      </c>
      <c r="T185" s="615"/>
      <c r="U185" s="76">
        <f t="shared" ca="1" si="12"/>
        <v>47643</v>
      </c>
      <c r="V185" s="30">
        <f t="shared" ca="1" si="14"/>
        <v>30</v>
      </c>
    </row>
    <row r="186" spans="5:22">
      <c r="E186" s="98">
        <f t="shared" si="10"/>
        <v>30</v>
      </c>
      <c r="F186" s="580">
        <f ca="1">INDEX(_Datos 186:186,,MATCH(_Búsqueda_Fechas_Pago, _Datos _Headers,0))</f>
        <v>47742</v>
      </c>
      <c r="G186" s="616">
        <f ca="1">INDEX(_Datos 186:186,,MATCH(_Búsqueda_Duración, _Datos _Headers,0))</f>
        <v>30</v>
      </c>
      <c r="H186" s="615"/>
      <c r="I186" s="76">
        <f t="shared" ca="1" si="11"/>
        <v>47742</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44336</v>
      </c>
      <c r="S186" s="30">
        <f>_DPP _Decenal</f>
        <v>10</v>
      </c>
      <c r="T186" s="615"/>
      <c r="U186" s="76">
        <f t="shared" ca="1" si="12"/>
        <v>47673</v>
      </c>
      <c r="V186" s="30">
        <f t="shared" ca="1" si="14"/>
        <v>30</v>
      </c>
    </row>
    <row r="187" spans="5:22">
      <c r="E187" s="98">
        <f t="shared" si="10"/>
        <v>30</v>
      </c>
      <c r="F187" s="580">
        <f ca="1">INDEX(_Datos 187:187,,MATCH(_Búsqueda_Fechas_Pago, _Datos _Headers,0))</f>
        <v>47772</v>
      </c>
      <c r="G187" s="616">
        <f ca="1">INDEX(_Datos 187:187,,MATCH(_Búsqueda_Duración, _Datos _Headers,0))</f>
        <v>30</v>
      </c>
      <c r="H187" s="615"/>
      <c r="I187" s="76">
        <f t="shared" ca="1" si="11"/>
        <v>47772</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44347</v>
      </c>
      <c r="S187" s="30">
        <f>_DPP _Decenal</f>
        <v>10</v>
      </c>
      <c r="T187" s="615"/>
      <c r="U187" s="76">
        <f t="shared" ca="1" si="12"/>
        <v>47703</v>
      </c>
      <c r="V187" s="30">
        <f t="shared" ca="1" si="14"/>
        <v>30</v>
      </c>
    </row>
    <row r="188" spans="5:22">
      <c r="E188" s="98">
        <f t="shared" si="10"/>
        <v>30</v>
      </c>
      <c r="F188" s="580">
        <f ca="1">INDEX(_Datos 188:188,,MATCH(_Búsqueda_Fechas_Pago, _Datos _Headers,0))</f>
        <v>47803</v>
      </c>
      <c r="G188" s="616">
        <f ca="1">INDEX(_Datos 188:188,,MATCH(_Búsqueda_Duración, _Datos _Headers,0))</f>
        <v>30</v>
      </c>
      <c r="H188" s="615"/>
      <c r="I188" s="76">
        <f t="shared" ca="1" si="11"/>
        <v>47803</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44357</v>
      </c>
      <c r="S188" s="30">
        <f>_DPP _Decenal</f>
        <v>10</v>
      </c>
      <c r="T188" s="615"/>
      <c r="U188" s="76">
        <f t="shared" ca="1" si="12"/>
        <v>47733</v>
      </c>
      <c r="V188" s="30">
        <f t="shared" ca="1" si="14"/>
        <v>30</v>
      </c>
    </row>
    <row r="189" spans="5:22">
      <c r="E189" s="98">
        <f t="shared" si="10"/>
        <v>30</v>
      </c>
      <c r="F189" s="580">
        <f ca="1">INDEX(_Datos 189:189,,MATCH(_Búsqueda_Fechas_Pago, _Datos _Headers,0))</f>
        <v>47833</v>
      </c>
      <c r="G189" s="616">
        <f ca="1">INDEX(_Datos 189:189,,MATCH(_Búsqueda_Duración, _Datos _Headers,0))</f>
        <v>30</v>
      </c>
      <c r="H189" s="615"/>
      <c r="I189" s="76">
        <f t="shared" ca="1" si="11"/>
        <v>47833</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44367</v>
      </c>
      <c r="S189" s="30">
        <f>_DPP _Decenal</f>
        <v>10</v>
      </c>
      <c r="T189" s="615"/>
      <c r="U189" s="76">
        <f t="shared" ca="1" si="12"/>
        <v>47763</v>
      </c>
      <c r="V189" s="30">
        <f t="shared" ca="1" si="14"/>
        <v>30</v>
      </c>
    </row>
    <row r="190" spans="5:22">
      <c r="E190" s="98">
        <f t="shared" si="10"/>
        <v>30</v>
      </c>
      <c r="F190" s="580">
        <f ca="1">INDEX(_Datos 190:190,,MATCH(_Búsqueda_Fechas_Pago, _Datos _Headers,0))</f>
        <v>47864</v>
      </c>
      <c r="G190" s="616">
        <f ca="1">INDEX(_Datos 190:190,,MATCH(_Búsqueda_Duración, _Datos _Headers,0))</f>
        <v>30</v>
      </c>
      <c r="H190" s="615"/>
      <c r="I190" s="76">
        <f t="shared" ca="1" si="11"/>
        <v>47864</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44377</v>
      </c>
      <c r="S190" s="30">
        <f>_DPP _Decenal</f>
        <v>10</v>
      </c>
      <c r="T190" s="615"/>
      <c r="U190" s="76">
        <f t="shared" ca="1" si="12"/>
        <v>47793</v>
      </c>
      <c r="V190" s="30">
        <f t="shared" ca="1" si="14"/>
        <v>30</v>
      </c>
    </row>
    <row r="191" spans="5:22">
      <c r="E191" s="98">
        <f t="shared" si="10"/>
        <v>30</v>
      </c>
      <c r="F191" s="580">
        <f ca="1">INDEX(_Datos 191:191,,MATCH(_Búsqueda_Fechas_Pago, _Datos _Headers,0))</f>
        <v>47895</v>
      </c>
      <c r="G191" s="616">
        <f ca="1">INDEX(_Datos 191:191,,MATCH(_Búsqueda_Duración, _Datos _Headers,0))</f>
        <v>30</v>
      </c>
      <c r="H191" s="615"/>
      <c r="I191" s="76">
        <f t="shared" ca="1" si="11"/>
        <v>47895</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44387</v>
      </c>
      <c r="S191" s="30">
        <f>_DPP _Decenal</f>
        <v>10</v>
      </c>
      <c r="T191" s="615"/>
      <c r="U191" s="76">
        <f t="shared" ca="1" si="12"/>
        <v>47823</v>
      </c>
      <c r="V191" s="30">
        <f t="shared" ca="1" si="14"/>
        <v>30</v>
      </c>
    </row>
    <row r="192" spans="5:22">
      <c r="E192" s="98">
        <f t="shared" si="10"/>
        <v>30</v>
      </c>
      <c r="F192" s="580">
        <f ca="1">INDEX(_Datos 192:192,,MATCH(_Búsqueda_Fechas_Pago, _Datos _Headers,0))</f>
        <v>47923</v>
      </c>
      <c r="G192" s="616">
        <f ca="1">INDEX(_Datos 192:192,,MATCH(_Búsqueda_Duración, _Datos _Headers,0))</f>
        <v>30</v>
      </c>
      <c r="H192" s="615"/>
      <c r="I192" s="76">
        <f t="shared" ca="1" si="11"/>
        <v>47923</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44397</v>
      </c>
      <c r="S192" s="30">
        <f>_DPP _Decenal</f>
        <v>10</v>
      </c>
      <c r="T192" s="615"/>
      <c r="U192" s="76">
        <f t="shared" ca="1" si="12"/>
        <v>47853</v>
      </c>
      <c r="V192" s="30">
        <f t="shared" ca="1" si="14"/>
        <v>30</v>
      </c>
    </row>
    <row r="193" spans="5:22">
      <c r="E193" s="98">
        <f t="shared" si="10"/>
        <v>30</v>
      </c>
      <c r="F193" s="580">
        <f ca="1">INDEX(_Datos 193:193,,MATCH(_Búsqueda_Fechas_Pago, _Datos _Headers,0))</f>
        <v>47954</v>
      </c>
      <c r="G193" s="616">
        <f ca="1">INDEX(_Datos 193:193,,MATCH(_Búsqueda_Duración, _Datos _Headers,0))</f>
        <v>30</v>
      </c>
      <c r="H193" s="615"/>
      <c r="I193" s="76">
        <f t="shared" ca="1" si="11"/>
        <v>47954</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44408</v>
      </c>
      <c r="S193" s="30">
        <f>_DPP _Decenal</f>
        <v>10</v>
      </c>
      <c r="T193" s="615"/>
      <c r="U193" s="76">
        <f t="shared" ca="1" si="12"/>
        <v>47883</v>
      </c>
      <c r="V193" s="30">
        <f t="shared" ca="1" si="14"/>
        <v>30</v>
      </c>
    </row>
    <row r="194" spans="5:22">
      <c r="E194" s="98">
        <f t="shared" si="10"/>
        <v>30</v>
      </c>
      <c r="F194" s="580">
        <f ca="1">INDEX(_Datos 194:194,,MATCH(_Búsqueda_Fechas_Pago, _Datos _Headers,0))</f>
        <v>47984</v>
      </c>
      <c r="G194" s="616">
        <f ca="1">INDEX(_Datos 194:194,,MATCH(_Búsqueda_Duración, _Datos _Headers,0))</f>
        <v>30</v>
      </c>
      <c r="H194" s="615"/>
      <c r="I194" s="76">
        <f t="shared" ca="1" si="11"/>
        <v>47984</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44418</v>
      </c>
      <c r="S194" s="30">
        <f>_DPP _Decenal</f>
        <v>10</v>
      </c>
      <c r="T194" s="615"/>
      <c r="U194" s="76">
        <f t="shared" ca="1" si="12"/>
        <v>47913</v>
      </c>
      <c r="V194" s="30">
        <f t="shared" ca="1" si="14"/>
        <v>30</v>
      </c>
    </row>
    <row r="195" spans="5:22">
      <c r="E195" s="98">
        <f t="shared" si="10"/>
        <v>30</v>
      </c>
      <c r="F195" s="580">
        <f ca="1">INDEX(_Datos 195:195,,MATCH(_Búsqueda_Fechas_Pago, _Datos _Headers,0))</f>
        <v>48015</v>
      </c>
      <c r="G195" s="616">
        <f ca="1">INDEX(_Datos 195:195,,MATCH(_Búsqueda_Duración, _Datos _Headers,0))</f>
        <v>30</v>
      </c>
      <c r="H195" s="615"/>
      <c r="I195" s="76">
        <f t="shared" ca="1" si="11"/>
        <v>48015</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44428</v>
      </c>
      <c r="S195" s="30">
        <f>_DPP _Decenal</f>
        <v>10</v>
      </c>
      <c r="T195" s="615"/>
      <c r="U195" s="76">
        <f t="shared" ca="1" si="12"/>
        <v>47943</v>
      </c>
      <c r="V195" s="30">
        <f t="shared" ca="1" si="14"/>
        <v>30</v>
      </c>
    </row>
    <row r="196" spans="5:22">
      <c r="E196" s="98">
        <f t="shared" si="10"/>
        <v>30</v>
      </c>
      <c r="F196" s="580">
        <f ca="1">INDEX(_Datos 196:196,,MATCH(_Búsqueda_Fechas_Pago, _Datos _Headers,0))</f>
        <v>48045</v>
      </c>
      <c r="G196" s="616">
        <f ca="1">INDEX(_Datos 196:196,,MATCH(_Búsqueda_Duración, _Datos _Headers,0))</f>
        <v>30</v>
      </c>
      <c r="H196" s="615"/>
      <c r="I196" s="76">
        <f t="shared" ca="1" si="11"/>
        <v>48045</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44439</v>
      </c>
      <c r="S196" s="30">
        <f>_DPP _Decenal</f>
        <v>10</v>
      </c>
      <c r="T196" s="615"/>
      <c r="U196" s="76">
        <f t="shared" ca="1" si="12"/>
        <v>47973</v>
      </c>
      <c r="V196" s="30">
        <f t="shared" ca="1" si="14"/>
        <v>30</v>
      </c>
    </row>
    <row r="197" spans="5:22">
      <c r="E197" s="98">
        <f t="shared" si="10"/>
        <v>30</v>
      </c>
      <c r="F197" s="580">
        <f ca="1">INDEX(_Datos 197:197,,MATCH(_Búsqueda_Fechas_Pago, _Datos _Headers,0))</f>
        <v>48076</v>
      </c>
      <c r="G197" s="616">
        <f ca="1">INDEX(_Datos 197:197,,MATCH(_Búsqueda_Duración, _Datos _Headers,0))</f>
        <v>30</v>
      </c>
      <c r="H197" s="615"/>
      <c r="I197" s="76">
        <f t="shared" ca="1" si="11"/>
        <v>48076</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44449</v>
      </c>
      <c r="S197" s="30">
        <f>_DPP _Decenal</f>
        <v>10</v>
      </c>
      <c r="T197" s="615"/>
      <c r="U197" s="76">
        <f t="shared" ca="1" si="12"/>
        <v>48003</v>
      </c>
      <c r="V197" s="30">
        <f t="shared" ca="1" si="14"/>
        <v>30</v>
      </c>
    </row>
    <row r="198" spans="5:22">
      <c r="E198" s="98">
        <f t="shared" si="10"/>
        <v>30</v>
      </c>
      <c r="F198" s="580">
        <f ca="1">INDEX(_Datos 198:198,,MATCH(_Búsqueda_Fechas_Pago, _Datos _Headers,0))</f>
        <v>48107</v>
      </c>
      <c r="G198" s="616">
        <f ca="1">INDEX(_Datos 198:198,,MATCH(_Búsqueda_Duración, _Datos _Headers,0))</f>
        <v>30</v>
      </c>
      <c r="H198" s="615"/>
      <c r="I198" s="76">
        <f t="shared" ca="1" si="11"/>
        <v>48107</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44459</v>
      </c>
      <c r="S198" s="30">
        <f>_DPP _Decenal</f>
        <v>10</v>
      </c>
      <c r="T198" s="615"/>
      <c r="U198" s="76">
        <f t="shared" ca="1" si="12"/>
        <v>48033</v>
      </c>
      <c r="V198" s="30">
        <f t="shared" ca="1" si="14"/>
        <v>30</v>
      </c>
    </row>
    <row r="199" spans="5:22">
      <c r="E199" s="98">
        <f t="shared" si="10"/>
        <v>30</v>
      </c>
      <c r="F199" s="580">
        <f ca="1">INDEX(_Datos 199:199,,MATCH(_Búsqueda_Fechas_Pago, _Datos _Headers,0))</f>
        <v>48137</v>
      </c>
      <c r="G199" s="616">
        <f ca="1">INDEX(_Datos 199:199,,MATCH(_Búsqueda_Duración, _Datos _Headers,0))</f>
        <v>30</v>
      </c>
      <c r="H199" s="615"/>
      <c r="I199" s="76">
        <f t="shared" ca="1" si="11"/>
        <v>48137</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44469</v>
      </c>
      <c r="S199" s="30">
        <f>_DPP _Decenal</f>
        <v>10</v>
      </c>
      <c r="T199" s="615"/>
      <c r="U199" s="76">
        <f t="shared" ca="1" si="12"/>
        <v>48063</v>
      </c>
      <c r="V199" s="30">
        <f t="shared" ca="1" si="14"/>
        <v>30</v>
      </c>
    </row>
    <row r="200" spans="5:22">
      <c r="E200" s="98">
        <f t="shared" si="10"/>
        <v>30</v>
      </c>
      <c r="F200" s="580">
        <f ca="1">INDEX(_Datos 200:200,,MATCH(_Búsqueda_Fechas_Pago, _Datos _Headers,0))</f>
        <v>48168</v>
      </c>
      <c r="G200" s="616">
        <f ca="1">INDEX(_Datos 200:200,,MATCH(_Búsqueda_Duración, _Datos _Headers,0))</f>
        <v>30</v>
      </c>
      <c r="H200" s="615"/>
      <c r="I200" s="76">
        <f t="shared" ca="1" si="11"/>
        <v>48168</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44479</v>
      </c>
      <c r="S200" s="30">
        <f>_DPP _Decenal</f>
        <v>10</v>
      </c>
      <c r="T200" s="615"/>
      <c r="U200" s="76">
        <f t="shared" ca="1" si="12"/>
        <v>48093</v>
      </c>
      <c r="V200" s="30">
        <f t="shared" ca="1" si="14"/>
        <v>30</v>
      </c>
    </row>
    <row r="201" spans="5:22">
      <c r="E201" s="98">
        <f t="shared" si="10"/>
        <v>30</v>
      </c>
      <c r="F201" s="580">
        <f ca="1">INDEX(_Datos 201:201,,MATCH(_Búsqueda_Fechas_Pago, _Datos _Headers,0))</f>
        <v>48198</v>
      </c>
      <c r="G201" s="616">
        <f ca="1">INDEX(_Datos 201:201,,MATCH(_Búsqueda_Duración, _Datos _Headers,0))</f>
        <v>30</v>
      </c>
      <c r="H201" s="615"/>
      <c r="I201" s="76">
        <f t="shared" ca="1" si="11"/>
        <v>48198</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44489</v>
      </c>
      <c r="S201" s="30">
        <f>_DPP _Decenal</f>
        <v>10</v>
      </c>
      <c r="T201" s="615"/>
      <c r="U201" s="76">
        <f t="shared" ca="1" si="12"/>
        <v>48123</v>
      </c>
      <c r="V201" s="30">
        <f t="shared" ca="1" si="14"/>
        <v>30</v>
      </c>
    </row>
    <row r="202" spans="5:22">
      <c r="E202" s="98">
        <f t="shared" si="10"/>
        <v>30</v>
      </c>
      <c r="F202" s="580">
        <f ca="1">INDEX(_Datos 202:202,,MATCH(_Búsqueda_Fechas_Pago, _Datos _Headers,0))</f>
        <v>48229</v>
      </c>
      <c r="G202" s="616">
        <f ca="1">INDEX(_Datos 202:202,,MATCH(_Búsqueda_Duración, _Datos _Headers,0))</f>
        <v>30</v>
      </c>
      <c r="H202" s="615"/>
      <c r="I202" s="76">
        <f t="shared" ca="1" si="11"/>
        <v>48229</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44500</v>
      </c>
      <c r="S202" s="30">
        <f>_DPP _Decenal</f>
        <v>10</v>
      </c>
      <c r="T202" s="615"/>
      <c r="U202" s="76">
        <f t="shared" ca="1" si="12"/>
        <v>48153</v>
      </c>
      <c r="V202" s="30">
        <f t="shared" ca="1" si="14"/>
        <v>30</v>
      </c>
    </row>
    <row r="203" spans="5:22">
      <c r="E203" s="98">
        <f t="shared" si="10"/>
        <v>30</v>
      </c>
      <c r="F203" s="580">
        <f ca="1">INDEX(_Datos 203:203,,MATCH(_Búsqueda_Fechas_Pago, _Datos _Headers,0))</f>
        <v>48260</v>
      </c>
      <c r="G203" s="616">
        <f ca="1">INDEX(_Datos 203:203,,MATCH(_Búsqueda_Duración, _Datos _Headers,0))</f>
        <v>30</v>
      </c>
      <c r="H203" s="615"/>
      <c r="I203" s="76">
        <f t="shared" ca="1" si="11"/>
        <v>48260</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44510</v>
      </c>
      <c r="S203" s="30">
        <f>_DPP _Decenal</f>
        <v>10</v>
      </c>
      <c r="T203" s="615"/>
      <c r="U203" s="76">
        <f t="shared" ca="1" si="12"/>
        <v>48183</v>
      </c>
      <c r="V203" s="30">
        <f t="shared" ca="1" si="14"/>
        <v>30</v>
      </c>
    </row>
    <row r="204" spans="5:22">
      <c r="E204" s="98">
        <f t="shared" si="10"/>
        <v>30</v>
      </c>
      <c r="F204" s="580">
        <f ca="1">INDEX(_Datos 204:204,,MATCH(_Búsqueda_Fechas_Pago, _Datos _Headers,0))</f>
        <v>48289</v>
      </c>
      <c r="G204" s="616">
        <f ca="1">INDEX(_Datos 204:204,,MATCH(_Búsqueda_Duración, _Datos _Headers,0))</f>
        <v>30</v>
      </c>
      <c r="H204" s="615"/>
      <c r="I204" s="76">
        <f t="shared" ca="1" si="11"/>
        <v>48289</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44520</v>
      </c>
      <c r="S204" s="30">
        <f>_DPP _Decenal</f>
        <v>10</v>
      </c>
      <c r="T204" s="615"/>
      <c r="U204" s="76">
        <f t="shared" ca="1" si="12"/>
        <v>48213</v>
      </c>
      <c r="V204" s="30">
        <f t="shared" ca="1" si="14"/>
        <v>30</v>
      </c>
    </row>
    <row r="205" spans="5:22">
      <c r="E205" s="98">
        <f t="shared" si="10"/>
        <v>30</v>
      </c>
      <c r="F205" s="580">
        <f ca="1">INDEX(_Datos 205:205,,MATCH(_Búsqueda_Fechas_Pago, _Datos _Headers,0))</f>
        <v>48320</v>
      </c>
      <c r="G205" s="616">
        <f ca="1">INDEX(_Datos 205:205,,MATCH(_Búsqueda_Duración, _Datos _Headers,0))</f>
        <v>30</v>
      </c>
      <c r="H205" s="615"/>
      <c r="I205" s="76">
        <f t="shared" ca="1" si="11"/>
        <v>48320</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44530</v>
      </c>
      <c r="S205" s="30">
        <f>_DPP _Decenal</f>
        <v>10</v>
      </c>
      <c r="T205" s="615"/>
      <c r="U205" s="76">
        <f t="shared" ca="1" si="12"/>
        <v>48243</v>
      </c>
      <c r="V205" s="30">
        <f t="shared" ca="1" si="14"/>
        <v>30</v>
      </c>
    </row>
    <row r="206" spans="5:22">
      <c r="E206" s="98">
        <f t="shared" si="10"/>
        <v>30</v>
      </c>
      <c r="F206" s="580">
        <f ca="1">INDEX(_Datos 206:206,,MATCH(_Búsqueda_Fechas_Pago, _Datos _Headers,0))</f>
        <v>48350</v>
      </c>
      <c r="G206" s="616">
        <f ca="1">INDEX(_Datos 206:206,,MATCH(_Búsqueda_Duración, _Datos _Headers,0))</f>
        <v>30</v>
      </c>
      <c r="H206" s="615"/>
      <c r="I206" s="76">
        <f t="shared" ca="1" si="11"/>
        <v>48350</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44540</v>
      </c>
      <c r="S206" s="30">
        <f>_DPP _Decenal</f>
        <v>10</v>
      </c>
      <c r="T206" s="615"/>
      <c r="U206" s="76">
        <f t="shared" ca="1" si="12"/>
        <v>48273</v>
      </c>
      <c r="V206" s="30">
        <f t="shared" ca="1" si="14"/>
        <v>30</v>
      </c>
    </row>
    <row r="207" spans="5:22">
      <c r="E207" s="98">
        <f t="shared" si="10"/>
        <v>30</v>
      </c>
      <c r="F207" s="580">
        <f ca="1">INDEX(_Datos 207:207,,MATCH(_Búsqueda_Fechas_Pago, _Datos _Headers,0))</f>
        <v>48381</v>
      </c>
      <c r="G207" s="616">
        <f ca="1">INDEX(_Datos 207:207,,MATCH(_Búsqueda_Duración, _Datos _Headers,0))</f>
        <v>30</v>
      </c>
      <c r="H207" s="615"/>
      <c r="I207" s="76">
        <f t="shared" ca="1" si="11"/>
        <v>48381</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44550</v>
      </c>
      <c r="S207" s="30">
        <f>_DPP _Decenal</f>
        <v>10</v>
      </c>
      <c r="T207" s="615"/>
      <c r="U207" s="76">
        <f t="shared" ca="1" si="12"/>
        <v>48303</v>
      </c>
      <c r="V207" s="30">
        <f t="shared" ca="1" si="14"/>
        <v>30</v>
      </c>
    </row>
    <row r="208" spans="5:22">
      <c r="E208" s="98">
        <f t="shared" si="10"/>
        <v>30</v>
      </c>
      <c r="F208" s="580">
        <f ca="1">INDEX(_Datos 208:208,,MATCH(_Búsqueda_Fechas_Pago, _Datos _Headers,0))</f>
        <v>48411</v>
      </c>
      <c r="G208" s="616">
        <f ca="1">INDEX(_Datos 208:208,,MATCH(_Búsqueda_Duración, _Datos _Headers,0))</f>
        <v>30</v>
      </c>
      <c r="H208" s="615"/>
      <c r="I208" s="76">
        <f t="shared" ca="1" si="11"/>
        <v>48411</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44561</v>
      </c>
      <c r="S208" s="30">
        <f>_DPP _Decenal</f>
        <v>10</v>
      </c>
      <c r="T208" s="615"/>
      <c r="U208" s="76">
        <f t="shared" ca="1" si="12"/>
        <v>48333</v>
      </c>
      <c r="V208" s="30">
        <f t="shared" ca="1" si="14"/>
        <v>30</v>
      </c>
    </row>
    <row r="209" spans="5:22">
      <c r="E209" s="98">
        <f t="shared" si="10"/>
        <v>30</v>
      </c>
      <c r="F209" s="580">
        <f ca="1">INDEX(_Datos 209:209,,MATCH(_Búsqueda_Fechas_Pago, _Datos _Headers,0))</f>
        <v>48442</v>
      </c>
      <c r="G209" s="616">
        <f ca="1">INDEX(_Datos 209:209,,MATCH(_Búsqueda_Duración, _Datos _Headers,0))</f>
        <v>30</v>
      </c>
      <c r="H209" s="615"/>
      <c r="I209" s="76">
        <f t="shared" ca="1" si="11"/>
        <v>48442</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44571</v>
      </c>
      <c r="S209" s="30">
        <f>_DPP _Decenal</f>
        <v>10</v>
      </c>
      <c r="T209" s="615"/>
      <c r="U209" s="76">
        <f t="shared" ca="1" si="12"/>
        <v>48363</v>
      </c>
      <c r="V209" s="30">
        <f t="shared" ca="1" si="14"/>
        <v>30</v>
      </c>
    </row>
    <row r="210" spans="5:22">
      <c r="E210" s="98">
        <f t="shared" si="10"/>
        <v>30</v>
      </c>
      <c r="F210" s="580">
        <f ca="1">INDEX(_Datos 210:210,,MATCH(_Búsqueda_Fechas_Pago, _Datos _Headers,0))</f>
        <v>48473</v>
      </c>
      <c r="G210" s="616">
        <f ca="1">INDEX(_Datos 210:210,,MATCH(_Búsqueda_Duración, _Datos _Headers,0))</f>
        <v>30</v>
      </c>
      <c r="H210" s="615"/>
      <c r="I210" s="76">
        <f t="shared" ca="1" si="11"/>
        <v>48473</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44581</v>
      </c>
      <c r="S210" s="30">
        <f>_DPP _Decenal</f>
        <v>10</v>
      </c>
      <c r="T210" s="615"/>
      <c r="U210" s="76">
        <f t="shared" ca="1" si="12"/>
        <v>48393</v>
      </c>
      <c r="V210" s="30">
        <f t="shared" ca="1" si="14"/>
        <v>30</v>
      </c>
    </row>
    <row r="211" spans="5:22">
      <c r="E211" s="98">
        <f t="shared" ref="E211:E274" si="15">_Días_por_Periodo</f>
        <v>30</v>
      </c>
      <c r="F211" s="580">
        <f ca="1">INDEX(_Datos 211:211,,MATCH(_Búsqueda_Fechas_Pago, _Datos _Headers,0))</f>
        <v>48503</v>
      </c>
      <c r="G211" s="616">
        <f ca="1">INDEX(_Datos 211:211,,MATCH(_Búsqueda_Duración, _Datos _Headers,0))</f>
        <v>30</v>
      </c>
      <c r="H211" s="615"/>
      <c r="I211" s="76">
        <f t="shared" ca="1" si="11"/>
        <v>48503</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44592</v>
      </c>
      <c r="S211" s="30">
        <f>_DPP _Decenal</f>
        <v>10</v>
      </c>
      <c r="T211" s="615"/>
      <c r="U211" s="76">
        <f t="shared" ca="1" si="12"/>
        <v>48423</v>
      </c>
      <c r="V211" s="30">
        <f t="shared" ca="1" si="14"/>
        <v>30</v>
      </c>
    </row>
    <row r="212" spans="5:22">
      <c r="E212" s="98">
        <f t="shared" si="15"/>
        <v>30</v>
      </c>
      <c r="F212" s="580">
        <f ca="1">INDEX(_Datos 212:212,,MATCH(_Búsqueda_Fechas_Pago, _Datos _Headers,0))</f>
        <v>48534</v>
      </c>
      <c r="G212" s="616">
        <f ca="1">INDEX(_Datos 212:212,,MATCH(_Búsqueda_Duración, _Datos _Headers,0))</f>
        <v>30</v>
      </c>
      <c r="H212" s="615"/>
      <c r="I212" s="76">
        <f t="shared" ref="I212:I278" ca="1" si="16">IF(DAY(I211)&gt;=Const_Dia_Corte_Aniversario,EOMONTH(I211,1)+1,EOMONTH(I211,0)+DAY(I211))</f>
        <v>48534</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44602</v>
      </c>
      <c r="S212" s="30">
        <f>_DPP _Decenal</f>
        <v>10</v>
      </c>
      <c r="T212" s="615"/>
      <c r="U212" s="76">
        <f t="shared" ref="U212:U275" ca="1" si="17">U211 + _Días_por_Periodo</f>
        <v>48453</v>
      </c>
      <c r="V212" s="30">
        <f t="shared" ca="1" si="14"/>
        <v>30</v>
      </c>
    </row>
    <row r="213" spans="5:22">
      <c r="E213" s="98">
        <f t="shared" si="15"/>
        <v>30</v>
      </c>
      <c r="F213" s="580">
        <f ca="1">INDEX(_Datos 213:213,,MATCH(_Búsqueda_Fechas_Pago, _Datos _Headers,0))</f>
        <v>48564</v>
      </c>
      <c r="G213" s="616">
        <f ca="1">INDEX(_Datos 213:213,,MATCH(_Búsqueda_Duración, _Datos _Headers,0))</f>
        <v>30</v>
      </c>
      <c r="H213" s="615"/>
      <c r="I213" s="76">
        <f t="shared" ca="1" si="16"/>
        <v>48564</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44612</v>
      </c>
      <c r="S213" s="30">
        <f>_DPP _Decenal</f>
        <v>10</v>
      </c>
      <c r="T213" s="615"/>
      <c r="U213" s="76">
        <f t="shared" ca="1" si="17"/>
        <v>48483</v>
      </c>
      <c r="V213" s="30">
        <f t="shared" ref="V213:V276" ca="1" si="19">U213 - U212</f>
        <v>30</v>
      </c>
    </row>
    <row r="214" spans="5:22">
      <c r="E214" s="98">
        <f t="shared" si="15"/>
        <v>30</v>
      </c>
      <c r="F214" s="580">
        <f ca="1">INDEX(_Datos 214:214,,MATCH(_Búsqueda_Fechas_Pago, _Datos _Headers,0))</f>
        <v>48595</v>
      </c>
      <c r="G214" s="616">
        <f ca="1">INDEX(_Datos 214:214,,MATCH(_Búsqueda_Duración, _Datos _Headers,0))</f>
        <v>30</v>
      </c>
      <c r="H214" s="615"/>
      <c r="I214" s="76">
        <f t="shared" ca="1" si="16"/>
        <v>48595</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44620</v>
      </c>
      <c r="S214" s="30">
        <f>_DPP _Decenal</f>
        <v>10</v>
      </c>
      <c r="T214" s="615"/>
      <c r="U214" s="76">
        <f t="shared" ca="1" si="17"/>
        <v>48513</v>
      </c>
      <c r="V214" s="30">
        <f t="shared" ca="1" si="19"/>
        <v>30</v>
      </c>
    </row>
    <row r="215" spans="5:22">
      <c r="E215" s="98">
        <f t="shared" si="15"/>
        <v>30</v>
      </c>
      <c r="F215" s="580">
        <f ca="1">INDEX(_Datos 215:215,,MATCH(_Búsqueda_Fechas_Pago, _Datos _Headers,0))</f>
        <v>48626</v>
      </c>
      <c r="G215" s="616">
        <f ca="1">INDEX(_Datos 215:215,,MATCH(_Búsqueda_Duración, _Datos _Headers,0))</f>
        <v>30</v>
      </c>
      <c r="H215" s="615"/>
      <c r="I215" s="76">
        <f t="shared" ca="1" si="16"/>
        <v>48626</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44630</v>
      </c>
      <c r="S215" s="30">
        <f>_DPP _Decenal</f>
        <v>10</v>
      </c>
      <c r="T215" s="615"/>
      <c r="U215" s="76">
        <f t="shared" ca="1" si="17"/>
        <v>48543</v>
      </c>
      <c r="V215" s="30">
        <f t="shared" ca="1" si="19"/>
        <v>30</v>
      </c>
    </row>
    <row r="216" spans="5:22">
      <c r="E216" s="98">
        <f t="shared" si="15"/>
        <v>30</v>
      </c>
      <c r="F216" s="580">
        <f ca="1">INDEX(_Datos 216:216,,MATCH(_Búsqueda_Fechas_Pago, _Datos _Headers,0))</f>
        <v>48654</v>
      </c>
      <c r="G216" s="616">
        <f ca="1">INDEX(_Datos 216:216,,MATCH(_Búsqueda_Duración, _Datos _Headers,0))</f>
        <v>30</v>
      </c>
      <c r="H216" s="615"/>
      <c r="I216" s="76">
        <f t="shared" ca="1" si="16"/>
        <v>48654</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44640</v>
      </c>
      <c r="S216" s="30">
        <f>_DPP _Decenal</f>
        <v>10</v>
      </c>
      <c r="T216" s="615"/>
      <c r="U216" s="76">
        <f t="shared" ca="1" si="17"/>
        <v>48573</v>
      </c>
      <c r="V216" s="30">
        <f t="shared" ca="1" si="19"/>
        <v>30</v>
      </c>
    </row>
    <row r="217" spans="5:22">
      <c r="E217" s="98">
        <f t="shared" si="15"/>
        <v>30</v>
      </c>
      <c r="F217" s="580">
        <f ca="1">INDEX(_Datos 217:217,,MATCH(_Búsqueda_Fechas_Pago, _Datos _Headers,0))</f>
        <v>48685</v>
      </c>
      <c r="G217" s="616">
        <f ca="1">INDEX(_Datos 217:217,,MATCH(_Búsqueda_Duración, _Datos _Headers,0))</f>
        <v>30</v>
      </c>
      <c r="H217" s="615"/>
      <c r="I217" s="76">
        <f t="shared" ca="1" si="16"/>
        <v>48685</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44651</v>
      </c>
      <c r="S217" s="30">
        <f>_DPP _Decenal</f>
        <v>10</v>
      </c>
      <c r="T217" s="615"/>
      <c r="U217" s="76">
        <f t="shared" ca="1" si="17"/>
        <v>48603</v>
      </c>
      <c r="V217" s="30">
        <f t="shared" ca="1" si="19"/>
        <v>30</v>
      </c>
    </row>
    <row r="218" spans="5:22">
      <c r="E218" s="98">
        <f t="shared" si="15"/>
        <v>30</v>
      </c>
      <c r="F218" s="580">
        <f ca="1">INDEX(_Datos 218:218,,MATCH(_Búsqueda_Fechas_Pago, _Datos _Headers,0))</f>
        <v>48715</v>
      </c>
      <c r="G218" s="616">
        <f ca="1">INDEX(_Datos 218:218,,MATCH(_Búsqueda_Duración, _Datos _Headers,0))</f>
        <v>30</v>
      </c>
      <c r="H218" s="615"/>
      <c r="I218" s="76">
        <f t="shared" ca="1" si="16"/>
        <v>48715</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44661</v>
      </c>
      <c r="S218" s="30">
        <f>_DPP _Decenal</f>
        <v>10</v>
      </c>
      <c r="T218" s="615"/>
      <c r="U218" s="76">
        <f t="shared" ca="1" si="17"/>
        <v>48633</v>
      </c>
      <c r="V218" s="30">
        <f t="shared" ca="1" si="19"/>
        <v>30</v>
      </c>
    </row>
    <row r="219" spans="5:22">
      <c r="E219" s="98">
        <f t="shared" si="15"/>
        <v>30</v>
      </c>
      <c r="F219" s="580">
        <f ca="1">INDEX(_Datos 219:219,,MATCH(_Búsqueda_Fechas_Pago, _Datos _Headers,0))</f>
        <v>48746</v>
      </c>
      <c r="G219" s="616">
        <f ca="1">INDEX(_Datos 219:219,,MATCH(_Búsqueda_Duración, _Datos _Headers,0))</f>
        <v>30</v>
      </c>
      <c r="H219" s="615"/>
      <c r="I219" s="76">
        <f t="shared" ca="1" si="16"/>
        <v>48746</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44671</v>
      </c>
      <c r="S219" s="30">
        <f>_DPP _Decenal</f>
        <v>10</v>
      </c>
      <c r="T219" s="615"/>
      <c r="U219" s="76">
        <f t="shared" ca="1" si="17"/>
        <v>48663</v>
      </c>
      <c r="V219" s="30">
        <f t="shared" ca="1" si="19"/>
        <v>30</v>
      </c>
    </row>
    <row r="220" spans="5:22">
      <c r="E220" s="98">
        <f t="shared" si="15"/>
        <v>30</v>
      </c>
      <c r="F220" s="580">
        <f ca="1">INDEX(_Datos 220:220,,MATCH(_Búsqueda_Fechas_Pago, _Datos _Headers,0))</f>
        <v>48776</v>
      </c>
      <c r="G220" s="616">
        <f ca="1">INDEX(_Datos 220:220,,MATCH(_Búsqueda_Duración, _Datos _Headers,0))</f>
        <v>30</v>
      </c>
      <c r="H220" s="615"/>
      <c r="I220" s="76">
        <f t="shared" ca="1" si="16"/>
        <v>48776</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44681</v>
      </c>
      <c r="S220" s="30">
        <f>_DPP _Decenal</f>
        <v>10</v>
      </c>
      <c r="T220" s="615"/>
      <c r="U220" s="76">
        <f t="shared" ca="1" si="17"/>
        <v>48693</v>
      </c>
      <c r="V220" s="30">
        <f t="shared" ca="1" si="19"/>
        <v>30</v>
      </c>
    </row>
    <row r="221" spans="5:22">
      <c r="E221" s="98">
        <f t="shared" si="15"/>
        <v>30</v>
      </c>
      <c r="F221" s="580">
        <f ca="1">INDEX(_Datos 221:221,,MATCH(_Búsqueda_Fechas_Pago, _Datos _Headers,0))</f>
        <v>48807</v>
      </c>
      <c r="G221" s="616">
        <f ca="1">INDEX(_Datos 221:221,,MATCH(_Búsqueda_Duración, _Datos _Headers,0))</f>
        <v>30</v>
      </c>
      <c r="H221" s="615"/>
      <c r="I221" s="76">
        <f t="shared" ca="1" si="16"/>
        <v>48807</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44691</v>
      </c>
      <c r="S221" s="30">
        <f>_DPP _Decenal</f>
        <v>10</v>
      </c>
      <c r="T221" s="615"/>
      <c r="U221" s="76">
        <f t="shared" ca="1" si="17"/>
        <v>48723</v>
      </c>
      <c r="V221" s="30">
        <f t="shared" ca="1" si="19"/>
        <v>30</v>
      </c>
    </row>
    <row r="222" spans="5:22">
      <c r="E222" s="98">
        <f t="shared" si="15"/>
        <v>30</v>
      </c>
      <c r="F222" s="580">
        <f ca="1">INDEX(_Datos 222:222,,MATCH(_Búsqueda_Fechas_Pago, _Datos _Headers,0))</f>
        <v>48838</v>
      </c>
      <c r="G222" s="616">
        <f ca="1">INDEX(_Datos 222:222,,MATCH(_Búsqueda_Duración, _Datos _Headers,0))</f>
        <v>30</v>
      </c>
      <c r="H222" s="615"/>
      <c r="I222" s="76">
        <f t="shared" ca="1" si="16"/>
        <v>48838</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44701</v>
      </c>
      <c r="S222" s="30">
        <f>_DPP _Decenal</f>
        <v>10</v>
      </c>
      <c r="T222" s="615"/>
      <c r="U222" s="76">
        <f t="shared" ca="1" si="17"/>
        <v>48753</v>
      </c>
      <c r="V222" s="30">
        <f t="shared" ca="1" si="19"/>
        <v>30</v>
      </c>
    </row>
    <row r="223" spans="5:22">
      <c r="E223" s="98">
        <f t="shared" si="15"/>
        <v>30</v>
      </c>
      <c r="F223" s="580">
        <f ca="1">INDEX(_Datos 223:223,,MATCH(_Búsqueda_Fechas_Pago, _Datos _Headers,0))</f>
        <v>48868</v>
      </c>
      <c r="G223" s="616">
        <f ca="1">INDEX(_Datos 223:223,,MATCH(_Búsqueda_Duración, _Datos _Headers,0))</f>
        <v>30</v>
      </c>
      <c r="H223" s="615"/>
      <c r="I223" s="76">
        <f t="shared" ca="1" si="16"/>
        <v>48868</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44712</v>
      </c>
      <c r="S223" s="30">
        <f>_DPP _Decenal</f>
        <v>10</v>
      </c>
      <c r="T223" s="615"/>
      <c r="U223" s="76">
        <f t="shared" ca="1" si="17"/>
        <v>48783</v>
      </c>
      <c r="V223" s="30">
        <f t="shared" ca="1" si="19"/>
        <v>30</v>
      </c>
    </row>
    <row r="224" spans="5:22">
      <c r="E224" s="98">
        <f t="shared" si="15"/>
        <v>30</v>
      </c>
      <c r="F224" s="580">
        <f ca="1">INDEX(_Datos 224:224,,MATCH(_Búsqueda_Fechas_Pago, _Datos _Headers,0))</f>
        <v>48899</v>
      </c>
      <c r="G224" s="616">
        <f ca="1">INDEX(_Datos 224:224,,MATCH(_Búsqueda_Duración, _Datos _Headers,0))</f>
        <v>30</v>
      </c>
      <c r="H224" s="615"/>
      <c r="I224" s="76">
        <f t="shared" ca="1" si="16"/>
        <v>48899</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44722</v>
      </c>
      <c r="S224" s="30">
        <f>_DPP _Decenal</f>
        <v>10</v>
      </c>
      <c r="T224" s="615"/>
      <c r="U224" s="76">
        <f t="shared" ca="1" si="17"/>
        <v>48813</v>
      </c>
      <c r="V224" s="30">
        <f t="shared" ca="1" si="19"/>
        <v>30</v>
      </c>
    </row>
    <row r="225" spans="5:22">
      <c r="E225" s="98">
        <f t="shared" si="15"/>
        <v>30</v>
      </c>
      <c r="F225" s="580">
        <f ca="1">INDEX(_Datos 225:225,,MATCH(_Búsqueda_Fechas_Pago, _Datos _Headers,0))</f>
        <v>48929</v>
      </c>
      <c r="G225" s="616">
        <f ca="1">INDEX(_Datos 225:225,,MATCH(_Búsqueda_Duración, _Datos _Headers,0))</f>
        <v>30</v>
      </c>
      <c r="H225" s="615"/>
      <c r="I225" s="76">
        <f t="shared" ca="1" si="16"/>
        <v>48929</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44732</v>
      </c>
      <c r="S225" s="30">
        <f>_DPP _Decenal</f>
        <v>10</v>
      </c>
      <c r="T225" s="615"/>
      <c r="U225" s="76">
        <f t="shared" ca="1" si="17"/>
        <v>48843</v>
      </c>
      <c r="V225" s="30">
        <f t="shared" ca="1" si="19"/>
        <v>30</v>
      </c>
    </row>
    <row r="226" spans="5:22">
      <c r="E226" s="98">
        <f t="shared" si="15"/>
        <v>30</v>
      </c>
      <c r="F226" s="580">
        <f ca="1">INDEX(_Datos 226:226,,MATCH(_Búsqueda_Fechas_Pago, _Datos _Headers,0))</f>
        <v>48960</v>
      </c>
      <c r="G226" s="616">
        <f ca="1">INDEX(_Datos 226:226,,MATCH(_Búsqueda_Duración, _Datos _Headers,0))</f>
        <v>30</v>
      </c>
      <c r="H226" s="615"/>
      <c r="I226" s="76">
        <f t="shared" ca="1" si="16"/>
        <v>48960</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44742</v>
      </c>
      <c r="S226" s="30">
        <f>_DPP _Decenal</f>
        <v>10</v>
      </c>
      <c r="T226" s="615"/>
      <c r="U226" s="76">
        <f t="shared" ca="1" si="17"/>
        <v>48873</v>
      </c>
      <c r="V226" s="30">
        <f t="shared" ca="1" si="19"/>
        <v>30</v>
      </c>
    </row>
    <row r="227" spans="5:22">
      <c r="E227" s="98">
        <f t="shared" si="15"/>
        <v>30</v>
      </c>
      <c r="F227" s="580">
        <f ca="1">INDEX(_Datos 227:227,,MATCH(_Búsqueda_Fechas_Pago, _Datos _Headers,0))</f>
        <v>48991</v>
      </c>
      <c r="G227" s="616">
        <f ca="1">INDEX(_Datos 227:227,,MATCH(_Búsqueda_Duración, _Datos _Headers,0))</f>
        <v>30</v>
      </c>
      <c r="H227" s="615"/>
      <c r="I227" s="76">
        <f t="shared" ca="1" si="16"/>
        <v>48991</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44752</v>
      </c>
      <c r="S227" s="30">
        <f>_DPP _Decenal</f>
        <v>10</v>
      </c>
      <c r="T227" s="615"/>
      <c r="U227" s="76">
        <f t="shared" ca="1" si="17"/>
        <v>48903</v>
      </c>
      <c r="V227" s="30">
        <f t="shared" ca="1" si="19"/>
        <v>30</v>
      </c>
    </row>
    <row r="228" spans="5:22">
      <c r="E228" s="98">
        <f t="shared" si="15"/>
        <v>30</v>
      </c>
      <c r="F228" s="580">
        <f ca="1">INDEX(_Datos 228:228,,MATCH(_Búsqueda_Fechas_Pago, _Datos _Headers,0))</f>
        <v>49019</v>
      </c>
      <c r="G228" s="616">
        <f ca="1">INDEX(_Datos 228:228,,MATCH(_Búsqueda_Duración, _Datos _Headers,0))</f>
        <v>30</v>
      </c>
      <c r="H228" s="615"/>
      <c r="I228" s="76">
        <f t="shared" ca="1" si="16"/>
        <v>49019</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44762</v>
      </c>
      <c r="S228" s="30">
        <f>_DPP _Decenal</f>
        <v>10</v>
      </c>
      <c r="T228" s="615"/>
      <c r="U228" s="76">
        <f t="shared" ca="1" si="17"/>
        <v>48933</v>
      </c>
      <c r="V228" s="30">
        <f t="shared" ca="1" si="19"/>
        <v>30</v>
      </c>
    </row>
    <row r="229" spans="5:22">
      <c r="E229" s="98">
        <f t="shared" si="15"/>
        <v>30</v>
      </c>
      <c r="F229" s="580">
        <f ca="1">INDEX(_Datos 229:229,,MATCH(_Búsqueda_Fechas_Pago, _Datos _Headers,0))</f>
        <v>49050</v>
      </c>
      <c r="G229" s="616">
        <f ca="1">INDEX(_Datos 229:229,,MATCH(_Búsqueda_Duración, _Datos _Headers,0))</f>
        <v>30</v>
      </c>
      <c r="H229" s="615"/>
      <c r="I229" s="76">
        <f t="shared" ca="1" si="16"/>
        <v>49050</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44773</v>
      </c>
      <c r="S229" s="30">
        <f>_DPP _Decenal</f>
        <v>10</v>
      </c>
      <c r="T229" s="615"/>
      <c r="U229" s="76">
        <f t="shared" ca="1" si="17"/>
        <v>48963</v>
      </c>
      <c r="V229" s="30">
        <f t="shared" ca="1" si="19"/>
        <v>30</v>
      </c>
    </row>
    <row r="230" spans="5:22">
      <c r="E230" s="98">
        <f t="shared" si="15"/>
        <v>30</v>
      </c>
      <c r="F230" s="580">
        <f ca="1">INDEX(_Datos 230:230,,MATCH(_Búsqueda_Fechas_Pago, _Datos _Headers,0))</f>
        <v>49080</v>
      </c>
      <c r="G230" s="616">
        <f ca="1">INDEX(_Datos 230:230,,MATCH(_Búsqueda_Duración, _Datos _Headers,0))</f>
        <v>30</v>
      </c>
      <c r="H230" s="615"/>
      <c r="I230" s="76">
        <f t="shared" ca="1" si="16"/>
        <v>49080</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44783</v>
      </c>
      <c r="S230" s="30">
        <f>_DPP _Decenal</f>
        <v>10</v>
      </c>
      <c r="T230" s="615"/>
      <c r="U230" s="76">
        <f t="shared" ca="1" si="17"/>
        <v>48993</v>
      </c>
      <c r="V230" s="30">
        <f t="shared" ca="1" si="19"/>
        <v>30</v>
      </c>
    </row>
    <row r="231" spans="5:22">
      <c r="E231" s="98">
        <f t="shared" si="15"/>
        <v>30</v>
      </c>
      <c r="F231" s="580">
        <f ca="1">INDEX(_Datos 231:231,,MATCH(_Búsqueda_Fechas_Pago, _Datos _Headers,0))</f>
        <v>49111</v>
      </c>
      <c r="G231" s="616">
        <f ca="1">INDEX(_Datos 231:231,,MATCH(_Búsqueda_Duración, _Datos _Headers,0))</f>
        <v>30</v>
      </c>
      <c r="H231" s="615"/>
      <c r="I231" s="76">
        <f t="shared" ca="1" si="16"/>
        <v>49111</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44793</v>
      </c>
      <c r="S231" s="30">
        <f>_DPP _Decenal</f>
        <v>10</v>
      </c>
      <c r="T231" s="615"/>
      <c r="U231" s="76">
        <f t="shared" ca="1" si="17"/>
        <v>49023</v>
      </c>
      <c r="V231" s="30">
        <f t="shared" ca="1" si="19"/>
        <v>30</v>
      </c>
    </row>
    <row r="232" spans="5:22">
      <c r="E232" s="98">
        <f t="shared" si="15"/>
        <v>30</v>
      </c>
      <c r="F232" s="580">
        <f ca="1">INDEX(_Datos 232:232,,MATCH(_Búsqueda_Fechas_Pago, _Datos _Headers,0))</f>
        <v>49141</v>
      </c>
      <c r="G232" s="616">
        <f ca="1">INDEX(_Datos 232:232,,MATCH(_Búsqueda_Duración, _Datos _Headers,0))</f>
        <v>30</v>
      </c>
      <c r="H232" s="615"/>
      <c r="I232" s="76">
        <f t="shared" ca="1" si="16"/>
        <v>49141</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44804</v>
      </c>
      <c r="S232" s="30">
        <f>_DPP _Decenal</f>
        <v>10</v>
      </c>
      <c r="T232" s="615"/>
      <c r="U232" s="76">
        <f t="shared" ca="1" si="17"/>
        <v>49053</v>
      </c>
      <c r="V232" s="30">
        <f t="shared" ca="1" si="19"/>
        <v>30</v>
      </c>
    </row>
    <row r="233" spans="5:22">
      <c r="E233" s="98">
        <f t="shared" si="15"/>
        <v>30</v>
      </c>
      <c r="F233" s="580">
        <f ca="1">INDEX(_Datos 233:233,,MATCH(_Búsqueda_Fechas_Pago, _Datos _Headers,0))</f>
        <v>49172</v>
      </c>
      <c r="G233" s="616">
        <f ca="1">INDEX(_Datos 233:233,,MATCH(_Búsqueda_Duración, _Datos _Headers,0))</f>
        <v>30</v>
      </c>
      <c r="H233" s="615"/>
      <c r="I233" s="76">
        <f t="shared" ca="1" si="16"/>
        <v>49172</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44814</v>
      </c>
      <c r="S233" s="30">
        <f>_DPP _Decenal</f>
        <v>10</v>
      </c>
      <c r="T233" s="615"/>
      <c r="U233" s="76">
        <f t="shared" ca="1" si="17"/>
        <v>49083</v>
      </c>
      <c r="V233" s="30">
        <f t="shared" ca="1" si="19"/>
        <v>30</v>
      </c>
    </row>
    <row r="234" spans="5:22">
      <c r="E234" s="98">
        <f t="shared" si="15"/>
        <v>30</v>
      </c>
      <c r="F234" s="580">
        <f ca="1">INDEX(_Datos 234:234,,MATCH(_Búsqueda_Fechas_Pago, _Datos _Headers,0))</f>
        <v>49203</v>
      </c>
      <c r="G234" s="616">
        <f ca="1">INDEX(_Datos 234:234,,MATCH(_Búsqueda_Duración, _Datos _Headers,0))</f>
        <v>30</v>
      </c>
      <c r="H234" s="615"/>
      <c r="I234" s="76">
        <f t="shared" ca="1" si="16"/>
        <v>49203</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44824</v>
      </c>
      <c r="S234" s="30">
        <f>_DPP _Decenal</f>
        <v>10</v>
      </c>
      <c r="T234" s="615"/>
      <c r="U234" s="76">
        <f t="shared" ca="1" si="17"/>
        <v>49113</v>
      </c>
      <c r="V234" s="30">
        <f t="shared" ca="1" si="19"/>
        <v>30</v>
      </c>
    </row>
    <row r="235" spans="5:22">
      <c r="E235" s="98">
        <f t="shared" si="15"/>
        <v>30</v>
      </c>
      <c r="F235" s="580">
        <f ca="1">INDEX(_Datos 235:235,,MATCH(_Búsqueda_Fechas_Pago, _Datos _Headers,0))</f>
        <v>49233</v>
      </c>
      <c r="G235" s="616">
        <f ca="1">INDEX(_Datos 235:235,,MATCH(_Búsqueda_Duración, _Datos _Headers,0))</f>
        <v>30</v>
      </c>
      <c r="H235" s="615"/>
      <c r="I235" s="76">
        <f t="shared" ca="1" si="16"/>
        <v>49233</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44834</v>
      </c>
      <c r="S235" s="30">
        <f>_DPP _Decenal</f>
        <v>10</v>
      </c>
      <c r="T235" s="615"/>
      <c r="U235" s="76">
        <f t="shared" ca="1" si="17"/>
        <v>49143</v>
      </c>
      <c r="V235" s="30">
        <f t="shared" ca="1" si="19"/>
        <v>30</v>
      </c>
    </row>
    <row r="236" spans="5:22">
      <c r="E236" s="98">
        <f t="shared" si="15"/>
        <v>30</v>
      </c>
      <c r="F236" s="580">
        <f ca="1">INDEX(_Datos 236:236,,MATCH(_Búsqueda_Fechas_Pago, _Datos _Headers,0))</f>
        <v>49264</v>
      </c>
      <c r="G236" s="616">
        <f ca="1">INDEX(_Datos 236:236,,MATCH(_Búsqueda_Duración, _Datos _Headers,0))</f>
        <v>30</v>
      </c>
      <c r="H236" s="615"/>
      <c r="I236" s="76">
        <f t="shared" ca="1" si="16"/>
        <v>49264</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44844</v>
      </c>
      <c r="S236" s="30">
        <f>_DPP _Decenal</f>
        <v>10</v>
      </c>
      <c r="T236" s="615"/>
      <c r="U236" s="76">
        <f t="shared" ca="1" si="17"/>
        <v>49173</v>
      </c>
      <c r="V236" s="30">
        <f t="shared" ca="1" si="19"/>
        <v>30</v>
      </c>
    </row>
    <row r="237" spans="5:22">
      <c r="E237" s="98">
        <f t="shared" si="15"/>
        <v>30</v>
      </c>
      <c r="F237" s="580">
        <f ca="1">INDEX(_Datos 237:237,,MATCH(_Búsqueda_Fechas_Pago, _Datos _Headers,0))</f>
        <v>49294</v>
      </c>
      <c r="G237" s="616">
        <f ca="1">INDEX(_Datos 237:237,,MATCH(_Búsqueda_Duración, _Datos _Headers,0))</f>
        <v>30</v>
      </c>
      <c r="H237" s="615"/>
      <c r="I237" s="76">
        <f t="shared" ca="1" si="16"/>
        <v>49294</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44854</v>
      </c>
      <c r="S237" s="30">
        <f>_DPP _Decenal</f>
        <v>10</v>
      </c>
      <c r="T237" s="615"/>
      <c r="U237" s="76">
        <f t="shared" ca="1" si="17"/>
        <v>49203</v>
      </c>
      <c r="V237" s="30">
        <f t="shared" ca="1" si="19"/>
        <v>30</v>
      </c>
    </row>
    <row r="238" spans="5:22">
      <c r="E238" s="98">
        <f t="shared" si="15"/>
        <v>30</v>
      </c>
      <c r="F238" s="580">
        <f ca="1">INDEX(_Datos 238:238,,MATCH(_Búsqueda_Fechas_Pago, _Datos _Headers,0))</f>
        <v>49325</v>
      </c>
      <c r="G238" s="616">
        <f ca="1">INDEX(_Datos 238:238,,MATCH(_Búsqueda_Duración, _Datos _Headers,0))</f>
        <v>30</v>
      </c>
      <c r="H238" s="615"/>
      <c r="I238" s="76">
        <f t="shared" ca="1" si="16"/>
        <v>49325</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44865</v>
      </c>
      <c r="S238" s="30">
        <f>_DPP _Decenal</f>
        <v>10</v>
      </c>
      <c r="T238" s="615"/>
      <c r="U238" s="76">
        <f t="shared" ca="1" si="17"/>
        <v>49233</v>
      </c>
      <c r="V238" s="30">
        <f t="shared" ca="1" si="19"/>
        <v>30</v>
      </c>
    </row>
    <row r="239" spans="5:22">
      <c r="E239" s="98">
        <f t="shared" si="15"/>
        <v>30</v>
      </c>
      <c r="F239" s="580">
        <f ca="1">INDEX(_Datos 239:239,,MATCH(_Búsqueda_Fechas_Pago, _Datos _Headers,0))</f>
        <v>49356</v>
      </c>
      <c r="G239" s="616">
        <f ca="1">INDEX(_Datos 239:239,,MATCH(_Búsqueda_Duración, _Datos _Headers,0))</f>
        <v>30</v>
      </c>
      <c r="H239" s="615"/>
      <c r="I239" s="76">
        <f t="shared" ca="1" si="16"/>
        <v>49356</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44875</v>
      </c>
      <c r="S239" s="30">
        <f>_DPP _Decenal</f>
        <v>10</v>
      </c>
      <c r="T239" s="615"/>
      <c r="U239" s="76">
        <f t="shared" ca="1" si="17"/>
        <v>49263</v>
      </c>
      <c r="V239" s="30">
        <f t="shared" ca="1" si="19"/>
        <v>30</v>
      </c>
    </row>
    <row r="240" spans="5:22">
      <c r="E240" s="98">
        <f t="shared" si="15"/>
        <v>30</v>
      </c>
      <c r="F240" s="580">
        <f ca="1">INDEX(_Datos 240:240,,MATCH(_Búsqueda_Fechas_Pago, _Datos _Headers,0))</f>
        <v>49384</v>
      </c>
      <c r="G240" s="616">
        <f ca="1">INDEX(_Datos 240:240,,MATCH(_Búsqueda_Duración, _Datos _Headers,0))</f>
        <v>30</v>
      </c>
      <c r="H240" s="615"/>
      <c r="I240" s="76">
        <f t="shared" ca="1" si="16"/>
        <v>49384</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44885</v>
      </c>
      <c r="S240" s="30">
        <f>_DPP _Decenal</f>
        <v>10</v>
      </c>
      <c r="T240" s="615"/>
      <c r="U240" s="76">
        <f t="shared" ca="1" si="17"/>
        <v>49293</v>
      </c>
      <c r="V240" s="30">
        <f t="shared" ca="1" si="19"/>
        <v>30</v>
      </c>
    </row>
    <row r="241" spans="5:22">
      <c r="E241" s="98">
        <f t="shared" si="15"/>
        <v>30</v>
      </c>
      <c r="F241" s="580">
        <f ca="1">INDEX(_Datos 241:241,,MATCH(_Búsqueda_Fechas_Pago, _Datos _Headers,0))</f>
        <v>49415</v>
      </c>
      <c r="G241" s="616">
        <f ca="1">INDEX(_Datos 241:241,,MATCH(_Búsqueda_Duración, _Datos _Headers,0))</f>
        <v>30</v>
      </c>
      <c r="H241" s="615"/>
      <c r="I241" s="76">
        <f t="shared" ca="1" si="16"/>
        <v>49415</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44895</v>
      </c>
      <c r="S241" s="30">
        <f>_DPP _Decenal</f>
        <v>10</v>
      </c>
      <c r="T241" s="615"/>
      <c r="U241" s="76">
        <f t="shared" ca="1" si="17"/>
        <v>49323</v>
      </c>
      <c r="V241" s="30">
        <f t="shared" ca="1" si="19"/>
        <v>30</v>
      </c>
    </row>
    <row r="242" spans="5:22">
      <c r="E242" s="98">
        <f t="shared" si="15"/>
        <v>30</v>
      </c>
      <c r="F242" s="580">
        <f ca="1">INDEX(_Datos 242:242,,MATCH(_Búsqueda_Fechas_Pago, _Datos _Headers,0))</f>
        <v>49445</v>
      </c>
      <c r="G242" s="616">
        <f ca="1">INDEX(_Datos 242:242,,MATCH(_Búsqueda_Duración, _Datos _Headers,0))</f>
        <v>30</v>
      </c>
      <c r="H242" s="615"/>
      <c r="I242" s="76">
        <f t="shared" ca="1" si="16"/>
        <v>49445</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44905</v>
      </c>
      <c r="S242" s="30">
        <f>_DPP _Decenal</f>
        <v>10</v>
      </c>
      <c r="T242" s="615"/>
      <c r="U242" s="76">
        <f t="shared" ca="1" si="17"/>
        <v>49353</v>
      </c>
      <c r="V242" s="30">
        <f t="shared" ca="1" si="19"/>
        <v>30</v>
      </c>
    </row>
    <row r="243" spans="5:22">
      <c r="E243" s="98">
        <f t="shared" si="15"/>
        <v>30</v>
      </c>
      <c r="F243" s="580">
        <f ca="1">INDEX(_Datos 243:243,,MATCH(_Búsqueda_Fechas_Pago, _Datos _Headers,0))</f>
        <v>49476</v>
      </c>
      <c r="G243" s="616">
        <f ca="1">INDEX(_Datos 243:243,,MATCH(_Búsqueda_Duración, _Datos _Headers,0))</f>
        <v>30</v>
      </c>
      <c r="H243" s="615"/>
      <c r="I243" s="76">
        <f t="shared" ca="1" si="16"/>
        <v>49476</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44915</v>
      </c>
      <c r="S243" s="30">
        <f>_DPP _Decenal</f>
        <v>10</v>
      </c>
      <c r="T243" s="615"/>
      <c r="U243" s="76">
        <f t="shared" ca="1" si="17"/>
        <v>49383</v>
      </c>
      <c r="V243" s="30">
        <f t="shared" ca="1" si="19"/>
        <v>30</v>
      </c>
    </row>
    <row r="244" spans="5:22">
      <c r="E244" s="98">
        <f t="shared" si="15"/>
        <v>30</v>
      </c>
      <c r="F244" s="580">
        <f ca="1">INDEX(_Datos 244:244,,MATCH(_Búsqueda_Fechas_Pago, _Datos _Headers,0))</f>
        <v>49506</v>
      </c>
      <c r="G244" s="616">
        <f ca="1">INDEX(_Datos 244:244,,MATCH(_Búsqueda_Duración, _Datos _Headers,0))</f>
        <v>30</v>
      </c>
      <c r="H244" s="615"/>
      <c r="I244" s="76">
        <f t="shared" ca="1" si="16"/>
        <v>49506</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44926</v>
      </c>
      <c r="S244" s="30">
        <f>_DPP _Decenal</f>
        <v>10</v>
      </c>
      <c r="T244" s="615"/>
      <c r="U244" s="76">
        <f t="shared" ca="1" si="17"/>
        <v>49413</v>
      </c>
      <c r="V244" s="30">
        <f t="shared" ca="1" si="19"/>
        <v>30</v>
      </c>
    </row>
    <row r="245" spans="5:22">
      <c r="E245" s="98">
        <f t="shared" si="15"/>
        <v>30</v>
      </c>
      <c r="F245" s="580">
        <f ca="1">INDEX(_Datos 245:245,,MATCH(_Búsqueda_Fechas_Pago, _Datos _Headers,0))</f>
        <v>49537</v>
      </c>
      <c r="G245" s="616">
        <f ca="1">INDEX(_Datos 245:245,,MATCH(_Búsqueda_Duración, _Datos _Headers,0))</f>
        <v>30</v>
      </c>
      <c r="H245" s="615"/>
      <c r="I245" s="76">
        <f t="shared" ca="1" si="16"/>
        <v>49537</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44936</v>
      </c>
      <c r="S245" s="30">
        <f>_DPP _Decenal</f>
        <v>10</v>
      </c>
      <c r="T245" s="615"/>
      <c r="U245" s="76">
        <f t="shared" ca="1" si="17"/>
        <v>49443</v>
      </c>
      <c r="V245" s="30">
        <f t="shared" ca="1" si="19"/>
        <v>30</v>
      </c>
    </row>
    <row r="246" spans="5:22">
      <c r="E246" s="98">
        <f t="shared" si="15"/>
        <v>30</v>
      </c>
      <c r="F246" s="580">
        <f ca="1">INDEX(_Datos 246:246,,MATCH(_Búsqueda_Fechas_Pago, _Datos _Headers,0))</f>
        <v>49568</v>
      </c>
      <c r="G246" s="616">
        <f ca="1">INDEX(_Datos 246:246,,MATCH(_Búsqueda_Duración, _Datos _Headers,0))</f>
        <v>30</v>
      </c>
      <c r="H246" s="615"/>
      <c r="I246" s="76">
        <f t="shared" ca="1" si="16"/>
        <v>49568</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44946</v>
      </c>
      <c r="S246" s="30">
        <f>_DPP _Decenal</f>
        <v>10</v>
      </c>
      <c r="T246" s="615"/>
      <c r="U246" s="76">
        <f t="shared" ca="1" si="17"/>
        <v>49473</v>
      </c>
      <c r="V246" s="30">
        <f t="shared" ca="1" si="19"/>
        <v>30</v>
      </c>
    </row>
    <row r="247" spans="5:22">
      <c r="E247" s="98">
        <f t="shared" si="15"/>
        <v>30</v>
      </c>
      <c r="F247" s="580">
        <f ca="1">INDEX(_Datos 247:247,,MATCH(_Búsqueda_Fechas_Pago, _Datos _Headers,0))</f>
        <v>49598</v>
      </c>
      <c r="G247" s="616">
        <f ca="1">INDEX(_Datos 247:247,,MATCH(_Búsqueda_Duración, _Datos _Headers,0))</f>
        <v>30</v>
      </c>
      <c r="H247" s="615"/>
      <c r="I247" s="76">
        <f t="shared" ca="1" si="16"/>
        <v>49598</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44957</v>
      </c>
      <c r="S247" s="30">
        <f>_DPP _Decenal</f>
        <v>10</v>
      </c>
      <c r="T247" s="615"/>
      <c r="U247" s="76">
        <f t="shared" ca="1" si="17"/>
        <v>49503</v>
      </c>
      <c r="V247" s="30">
        <f t="shared" ca="1" si="19"/>
        <v>30</v>
      </c>
    </row>
    <row r="248" spans="5:22">
      <c r="E248" s="98">
        <f t="shared" si="15"/>
        <v>30</v>
      </c>
      <c r="F248" s="580">
        <f ca="1">INDEX(_Datos 248:248,,MATCH(_Búsqueda_Fechas_Pago, _Datos _Headers,0))</f>
        <v>49629</v>
      </c>
      <c r="G248" s="616">
        <f ca="1">INDEX(_Datos 248:248,,MATCH(_Búsqueda_Duración, _Datos _Headers,0))</f>
        <v>30</v>
      </c>
      <c r="H248" s="615"/>
      <c r="I248" s="76">
        <f t="shared" ca="1" si="16"/>
        <v>49629</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44967</v>
      </c>
      <c r="S248" s="30">
        <f>_DPP _Decenal</f>
        <v>10</v>
      </c>
      <c r="T248" s="615"/>
      <c r="U248" s="76">
        <f t="shared" ca="1" si="17"/>
        <v>49533</v>
      </c>
      <c r="V248" s="30">
        <f t="shared" ca="1" si="19"/>
        <v>30</v>
      </c>
    </row>
    <row r="249" spans="5:22">
      <c r="E249" s="98">
        <f t="shared" si="15"/>
        <v>30</v>
      </c>
      <c r="F249" s="580">
        <f ca="1">INDEX(_Datos 249:249,,MATCH(_Búsqueda_Fechas_Pago, _Datos _Headers,0))</f>
        <v>49659</v>
      </c>
      <c r="G249" s="616">
        <f ca="1">INDEX(_Datos 249:249,,MATCH(_Búsqueda_Duración, _Datos _Headers,0))</f>
        <v>30</v>
      </c>
      <c r="H249" s="615"/>
      <c r="I249" s="76">
        <f t="shared" ca="1" si="16"/>
        <v>49659</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44977</v>
      </c>
      <c r="S249" s="30">
        <f>_DPP _Decenal</f>
        <v>10</v>
      </c>
      <c r="T249" s="615"/>
      <c r="U249" s="76">
        <f t="shared" ca="1" si="17"/>
        <v>49563</v>
      </c>
      <c r="V249" s="30">
        <f t="shared" ca="1" si="19"/>
        <v>30</v>
      </c>
    </row>
    <row r="250" spans="5:22">
      <c r="E250" s="98">
        <f t="shared" si="15"/>
        <v>30</v>
      </c>
      <c r="F250" s="580">
        <f ca="1">INDEX(_Datos 250:250,,MATCH(_Búsqueda_Fechas_Pago, _Datos _Headers,0))</f>
        <v>49690</v>
      </c>
      <c r="G250" s="616">
        <f ca="1">INDEX(_Datos 250:250,,MATCH(_Búsqueda_Duración, _Datos _Headers,0))</f>
        <v>30</v>
      </c>
      <c r="H250" s="615"/>
      <c r="I250" s="76">
        <f t="shared" ca="1" si="16"/>
        <v>49690</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44985</v>
      </c>
      <c r="S250" s="30">
        <f>_DPP _Decenal</f>
        <v>10</v>
      </c>
      <c r="T250" s="615"/>
      <c r="U250" s="76">
        <f t="shared" ca="1" si="17"/>
        <v>49593</v>
      </c>
      <c r="V250" s="30">
        <f t="shared" ca="1" si="19"/>
        <v>30</v>
      </c>
    </row>
    <row r="251" spans="5:22">
      <c r="E251" s="98">
        <f t="shared" si="15"/>
        <v>30</v>
      </c>
      <c r="F251" s="580">
        <f ca="1">INDEX(_Datos 251:251,,MATCH(_Búsqueda_Fechas_Pago, _Datos _Headers,0))</f>
        <v>49721</v>
      </c>
      <c r="G251" s="616">
        <f ca="1">INDEX(_Datos 251:251,,MATCH(_Búsqueda_Duración, _Datos _Headers,0))</f>
        <v>30</v>
      </c>
      <c r="H251" s="615"/>
      <c r="I251" s="76">
        <f t="shared" ca="1" si="16"/>
        <v>49721</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44995</v>
      </c>
      <c r="S251" s="30">
        <f>_DPP _Decenal</f>
        <v>10</v>
      </c>
      <c r="T251" s="615"/>
      <c r="U251" s="76">
        <f t="shared" ca="1" si="17"/>
        <v>49623</v>
      </c>
      <c r="V251" s="30">
        <f t="shared" ca="1" si="19"/>
        <v>30</v>
      </c>
    </row>
    <row r="252" spans="5:22">
      <c r="E252" s="98">
        <f t="shared" si="15"/>
        <v>30</v>
      </c>
      <c r="F252" s="580">
        <f ca="1">INDEX(_Datos 252:252,,MATCH(_Búsqueda_Fechas_Pago, _Datos _Headers,0))</f>
        <v>49750</v>
      </c>
      <c r="G252" s="616">
        <f ca="1">INDEX(_Datos 252:252,,MATCH(_Búsqueda_Duración, _Datos _Headers,0))</f>
        <v>30</v>
      </c>
      <c r="H252" s="615"/>
      <c r="I252" s="76">
        <f t="shared" ca="1" si="16"/>
        <v>49750</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45005</v>
      </c>
      <c r="S252" s="30">
        <f>_DPP _Decenal</f>
        <v>10</v>
      </c>
      <c r="T252" s="615"/>
      <c r="U252" s="76">
        <f t="shared" ca="1" si="17"/>
        <v>49653</v>
      </c>
      <c r="V252" s="30">
        <f t="shared" ca="1" si="19"/>
        <v>30</v>
      </c>
    </row>
    <row r="253" spans="5:22">
      <c r="E253" s="98">
        <f t="shared" si="15"/>
        <v>30</v>
      </c>
      <c r="F253" s="580">
        <f ca="1">INDEX(_Datos 253:253,,MATCH(_Búsqueda_Fechas_Pago, _Datos _Headers,0))</f>
        <v>49781</v>
      </c>
      <c r="G253" s="616">
        <f ca="1">INDEX(_Datos 253:253,,MATCH(_Búsqueda_Duración, _Datos _Headers,0))</f>
        <v>30</v>
      </c>
      <c r="H253" s="615"/>
      <c r="I253" s="76">
        <f t="shared" ca="1" si="16"/>
        <v>49781</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45016</v>
      </c>
      <c r="S253" s="30">
        <f>_DPP _Decenal</f>
        <v>10</v>
      </c>
      <c r="T253" s="615"/>
      <c r="U253" s="76">
        <f t="shared" ca="1" si="17"/>
        <v>49683</v>
      </c>
      <c r="V253" s="30">
        <f t="shared" ca="1" si="19"/>
        <v>30</v>
      </c>
    </row>
    <row r="254" spans="5:22">
      <c r="E254" s="98">
        <f t="shared" si="15"/>
        <v>30</v>
      </c>
      <c r="F254" s="580">
        <f ca="1">INDEX(_Datos 254:254,,MATCH(_Búsqueda_Fechas_Pago, _Datos _Headers,0))</f>
        <v>49811</v>
      </c>
      <c r="G254" s="616">
        <f ca="1">INDEX(_Datos 254:254,,MATCH(_Búsqueda_Duración, _Datos _Headers,0))</f>
        <v>30</v>
      </c>
      <c r="H254" s="615"/>
      <c r="I254" s="76">
        <f t="shared" ca="1" si="16"/>
        <v>49811</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45026</v>
      </c>
      <c r="S254" s="30">
        <f>_DPP _Decenal</f>
        <v>10</v>
      </c>
      <c r="T254" s="615"/>
      <c r="U254" s="76">
        <f t="shared" ca="1" si="17"/>
        <v>49713</v>
      </c>
      <c r="V254" s="30">
        <f t="shared" ca="1" si="19"/>
        <v>30</v>
      </c>
    </row>
    <row r="255" spans="5:22">
      <c r="E255" s="98">
        <f t="shared" si="15"/>
        <v>30</v>
      </c>
      <c r="F255" s="580">
        <f ca="1">INDEX(_Datos 255:255,,MATCH(_Búsqueda_Fechas_Pago, _Datos _Headers,0))</f>
        <v>49842</v>
      </c>
      <c r="G255" s="616">
        <f ca="1">INDEX(_Datos 255:255,,MATCH(_Búsqueda_Duración, _Datos _Headers,0))</f>
        <v>30</v>
      </c>
      <c r="H255" s="615"/>
      <c r="I255" s="76">
        <f t="shared" ca="1" si="16"/>
        <v>49842</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45036</v>
      </c>
      <c r="S255" s="30">
        <f>_DPP _Decenal</f>
        <v>10</v>
      </c>
      <c r="T255" s="615"/>
      <c r="U255" s="76">
        <f t="shared" ca="1" si="17"/>
        <v>49743</v>
      </c>
      <c r="V255" s="30">
        <f t="shared" ca="1" si="19"/>
        <v>30</v>
      </c>
    </row>
    <row r="256" spans="5:22">
      <c r="E256" s="98">
        <f t="shared" si="15"/>
        <v>30</v>
      </c>
      <c r="F256" s="580">
        <f ca="1">INDEX(_Datos 256:256,,MATCH(_Búsqueda_Fechas_Pago, _Datos _Headers,0))</f>
        <v>49872</v>
      </c>
      <c r="G256" s="616">
        <f ca="1">INDEX(_Datos 256:256,,MATCH(_Búsqueda_Duración, _Datos _Headers,0))</f>
        <v>30</v>
      </c>
      <c r="H256" s="615"/>
      <c r="I256" s="76">
        <f t="shared" ca="1" si="16"/>
        <v>49872</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45046</v>
      </c>
      <c r="S256" s="30">
        <f>_DPP _Decenal</f>
        <v>10</v>
      </c>
      <c r="T256" s="615"/>
      <c r="U256" s="76">
        <f t="shared" ca="1" si="17"/>
        <v>49773</v>
      </c>
      <c r="V256" s="30">
        <f t="shared" ca="1" si="19"/>
        <v>30</v>
      </c>
    </row>
    <row r="257" spans="5:22">
      <c r="E257" s="98">
        <f t="shared" si="15"/>
        <v>30</v>
      </c>
      <c r="F257" s="580">
        <f ca="1">INDEX(_Datos 257:257,,MATCH(_Búsqueda_Fechas_Pago, _Datos _Headers,0))</f>
        <v>49903</v>
      </c>
      <c r="G257" s="616">
        <f ca="1">INDEX(_Datos 257:257,,MATCH(_Búsqueda_Duración, _Datos _Headers,0))</f>
        <v>30</v>
      </c>
      <c r="H257" s="615"/>
      <c r="I257" s="76">
        <f t="shared" ca="1" si="16"/>
        <v>49903</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45056</v>
      </c>
      <c r="S257" s="30">
        <f>_DPP _Decenal</f>
        <v>10</v>
      </c>
      <c r="T257" s="615"/>
      <c r="U257" s="76">
        <f t="shared" ca="1" si="17"/>
        <v>49803</v>
      </c>
      <c r="V257" s="30">
        <f t="shared" ca="1" si="19"/>
        <v>30</v>
      </c>
    </row>
    <row r="258" spans="5:22">
      <c r="E258" s="98">
        <f t="shared" si="15"/>
        <v>30</v>
      </c>
      <c r="F258" s="580">
        <f ca="1">INDEX(_Datos 258:258,,MATCH(_Búsqueda_Fechas_Pago, _Datos _Headers,0))</f>
        <v>49934</v>
      </c>
      <c r="G258" s="616">
        <f ca="1">INDEX(_Datos 258:258,,MATCH(_Búsqueda_Duración, _Datos _Headers,0))</f>
        <v>30</v>
      </c>
      <c r="H258" s="615"/>
      <c r="I258" s="76">
        <f t="shared" ca="1" si="16"/>
        <v>49934</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45066</v>
      </c>
      <c r="S258" s="30">
        <f>_DPP _Decenal</f>
        <v>10</v>
      </c>
      <c r="T258" s="615"/>
      <c r="U258" s="76">
        <f t="shared" ca="1" si="17"/>
        <v>49833</v>
      </c>
      <c r="V258" s="30">
        <f t="shared" ca="1" si="19"/>
        <v>30</v>
      </c>
    </row>
    <row r="259" spans="5:22">
      <c r="E259" s="98">
        <f t="shared" si="15"/>
        <v>30</v>
      </c>
      <c r="F259" s="580">
        <f ca="1">INDEX(_Datos 259:259,,MATCH(_Búsqueda_Fechas_Pago, _Datos _Headers,0))</f>
        <v>49964</v>
      </c>
      <c r="G259" s="616">
        <f ca="1">INDEX(_Datos 259:259,,MATCH(_Búsqueda_Duración, _Datos _Headers,0))</f>
        <v>30</v>
      </c>
      <c r="H259" s="615"/>
      <c r="I259" s="76">
        <f t="shared" ca="1" si="16"/>
        <v>49964</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45077</v>
      </c>
      <c r="S259" s="30">
        <f>_DPP _Decenal</f>
        <v>10</v>
      </c>
      <c r="T259" s="615"/>
      <c r="U259" s="76">
        <f t="shared" ca="1" si="17"/>
        <v>49863</v>
      </c>
      <c r="V259" s="30">
        <f t="shared" ca="1" si="19"/>
        <v>30</v>
      </c>
    </row>
    <row r="260" spans="5:22">
      <c r="E260" s="98">
        <f t="shared" si="15"/>
        <v>30</v>
      </c>
      <c r="F260" s="580">
        <f ca="1">INDEX(_Datos 260:260,,MATCH(_Búsqueda_Fechas_Pago, _Datos _Headers,0))</f>
        <v>49995</v>
      </c>
      <c r="G260" s="616">
        <f ca="1">INDEX(_Datos 260:260,,MATCH(_Búsqueda_Duración, _Datos _Headers,0))</f>
        <v>30</v>
      </c>
      <c r="H260" s="615"/>
      <c r="I260" s="76">
        <f t="shared" ca="1" si="16"/>
        <v>49995</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45087</v>
      </c>
      <c r="S260" s="30">
        <f>_DPP _Decenal</f>
        <v>10</v>
      </c>
      <c r="T260" s="615"/>
      <c r="U260" s="76">
        <f t="shared" ca="1" si="17"/>
        <v>49893</v>
      </c>
      <c r="V260" s="30">
        <f t="shared" ca="1" si="19"/>
        <v>30</v>
      </c>
    </row>
    <row r="261" spans="5:22">
      <c r="E261" s="98">
        <f t="shared" si="15"/>
        <v>30</v>
      </c>
      <c r="F261" s="580">
        <f ca="1">INDEX(_Datos 261:261,,MATCH(_Búsqueda_Fechas_Pago, _Datos _Headers,0))</f>
        <v>50025</v>
      </c>
      <c r="G261" s="616">
        <f ca="1">INDEX(_Datos 261:261,,MATCH(_Búsqueda_Duración, _Datos _Headers,0))</f>
        <v>30</v>
      </c>
      <c r="H261" s="615"/>
      <c r="I261" s="76">
        <f t="shared" ca="1" si="16"/>
        <v>50025</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45097</v>
      </c>
      <c r="S261" s="30">
        <f>_DPP _Decenal</f>
        <v>10</v>
      </c>
      <c r="T261" s="615"/>
      <c r="U261" s="76">
        <f t="shared" ca="1" si="17"/>
        <v>49923</v>
      </c>
      <c r="V261" s="30">
        <f t="shared" ca="1" si="19"/>
        <v>30</v>
      </c>
    </row>
    <row r="262" spans="5:22">
      <c r="E262" s="98">
        <f t="shared" si="15"/>
        <v>30</v>
      </c>
      <c r="F262" s="580">
        <f ca="1">INDEX(_Datos 262:262,,MATCH(_Búsqueda_Fechas_Pago, _Datos _Headers,0))</f>
        <v>50056</v>
      </c>
      <c r="G262" s="616">
        <f ca="1">INDEX(_Datos 262:262,,MATCH(_Búsqueda_Duración, _Datos _Headers,0))</f>
        <v>30</v>
      </c>
      <c r="H262" s="615"/>
      <c r="I262" s="76">
        <f t="shared" ca="1" si="16"/>
        <v>50056</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45107</v>
      </c>
      <c r="S262" s="30">
        <f>_DPP _Decenal</f>
        <v>10</v>
      </c>
      <c r="T262" s="615"/>
      <c r="U262" s="76">
        <f t="shared" ca="1" si="17"/>
        <v>49953</v>
      </c>
      <c r="V262" s="30">
        <f t="shared" ca="1" si="19"/>
        <v>30</v>
      </c>
    </row>
    <row r="263" spans="5:22">
      <c r="E263" s="98">
        <f t="shared" si="15"/>
        <v>30</v>
      </c>
      <c r="F263" s="580">
        <f ca="1">INDEX(_Datos 263:263,,MATCH(_Búsqueda_Fechas_Pago, _Datos _Headers,0))</f>
        <v>50087</v>
      </c>
      <c r="G263" s="616">
        <f ca="1">INDEX(_Datos 263:263,,MATCH(_Búsqueda_Duración, _Datos _Headers,0))</f>
        <v>30</v>
      </c>
      <c r="H263" s="615"/>
      <c r="I263" s="76">
        <f t="shared" ca="1" si="16"/>
        <v>50087</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45117</v>
      </c>
      <c r="S263" s="30">
        <f>_DPP _Decenal</f>
        <v>10</v>
      </c>
      <c r="T263" s="615"/>
      <c r="U263" s="76">
        <f t="shared" ca="1" si="17"/>
        <v>49983</v>
      </c>
      <c r="V263" s="30">
        <f t="shared" ca="1" si="19"/>
        <v>30</v>
      </c>
    </row>
    <row r="264" spans="5:22">
      <c r="E264" s="98">
        <f t="shared" si="15"/>
        <v>30</v>
      </c>
      <c r="F264" s="580">
        <f ca="1">INDEX(_Datos 264:264,,MATCH(_Búsqueda_Fechas_Pago, _Datos _Headers,0))</f>
        <v>50115</v>
      </c>
      <c r="G264" s="616">
        <f ca="1">INDEX(_Datos 264:264,,MATCH(_Búsqueda_Duración, _Datos _Headers,0))</f>
        <v>30</v>
      </c>
      <c r="H264" s="615"/>
      <c r="I264" s="76">
        <f t="shared" ca="1" si="16"/>
        <v>50115</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45127</v>
      </c>
      <c r="S264" s="30">
        <f>_DPP _Decenal</f>
        <v>10</v>
      </c>
      <c r="T264" s="615"/>
      <c r="U264" s="76">
        <f t="shared" ca="1" si="17"/>
        <v>50013</v>
      </c>
      <c r="V264" s="30">
        <f t="shared" ca="1" si="19"/>
        <v>30</v>
      </c>
    </row>
    <row r="265" spans="5:22">
      <c r="E265" s="98">
        <f t="shared" si="15"/>
        <v>30</v>
      </c>
      <c r="F265" s="580">
        <f ca="1">INDEX(_Datos 265:265,,MATCH(_Búsqueda_Fechas_Pago, _Datos _Headers,0))</f>
        <v>50146</v>
      </c>
      <c r="G265" s="616">
        <f ca="1">INDEX(_Datos 265:265,,MATCH(_Búsqueda_Duración, _Datos _Headers,0))</f>
        <v>30</v>
      </c>
      <c r="H265" s="615"/>
      <c r="I265" s="76">
        <f t="shared" ca="1" si="16"/>
        <v>50146</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45138</v>
      </c>
      <c r="S265" s="30">
        <f>_DPP _Decenal</f>
        <v>10</v>
      </c>
      <c r="T265" s="615"/>
      <c r="U265" s="76">
        <f t="shared" ca="1" si="17"/>
        <v>50043</v>
      </c>
      <c r="V265" s="30">
        <f t="shared" ca="1" si="19"/>
        <v>30</v>
      </c>
    </row>
    <row r="266" spans="5:22">
      <c r="E266" s="98">
        <f t="shared" si="15"/>
        <v>30</v>
      </c>
      <c r="F266" s="580">
        <f ca="1">INDEX(_Datos 266:266,,MATCH(_Búsqueda_Fechas_Pago, _Datos _Headers,0))</f>
        <v>50176</v>
      </c>
      <c r="G266" s="616">
        <f ca="1">INDEX(_Datos 266:266,,MATCH(_Búsqueda_Duración, _Datos _Headers,0))</f>
        <v>30</v>
      </c>
      <c r="H266" s="615"/>
      <c r="I266" s="76">
        <f t="shared" ca="1" si="16"/>
        <v>50176</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45148</v>
      </c>
      <c r="S266" s="30">
        <f>_DPP _Decenal</f>
        <v>10</v>
      </c>
      <c r="T266" s="615"/>
      <c r="U266" s="76">
        <f t="shared" ca="1" si="17"/>
        <v>50073</v>
      </c>
      <c r="V266" s="30">
        <f t="shared" ca="1" si="19"/>
        <v>30</v>
      </c>
    </row>
    <row r="267" spans="5:22">
      <c r="E267" s="98">
        <f t="shared" si="15"/>
        <v>30</v>
      </c>
      <c r="F267" s="580">
        <f ca="1">INDEX(_Datos 267:267,,MATCH(_Búsqueda_Fechas_Pago, _Datos _Headers,0))</f>
        <v>50207</v>
      </c>
      <c r="G267" s="616">
        <f ca="1">INDEX(_Datos 267:267,,MATCH(_Búsqueda_Duración, _Datos _Headers,0))</f>
        <v>30</v>
      </c>
      <c r="H267" s="615"/>
      <c r="I267" s="76">
        <f t="shared" ca="1" si="16"/>
        <v>50207</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45158</v>
      </c>
      <c r="S267" s="30">
        <f>_DPP _Decenal</f>
        <v>10</v>
      </c>
      <c r="T267" s="615"/>
      <c r="U267" s="76">
        <f t="shared" ca="1" si="17"/>
        <v>50103</v>
      </c>
      <c r="V267" s="30">
        <f t="shared" ca="1" si="19"/>
        <v>30</v>
      </c>
    </row>
    <row r="268" spans="5:22">
      <c r="E268" s="98">
        <f t="shared" si="15"/>
        <v>30</v>
      </c>
      <c r="F268" s="580">
        <f ca="1">INDEX(_Datos 268:268,,MATCH(_Búsqueda_Fechas_Pago, _Datos _Headers,0))</f>
        <v>50237</v>
      </c>
      <c r="G268" s="616">
        <f ca="1">INDEX(_Datos 268:268,,MATCH(_Búsqueda_Duración, _Datos _Headers,0))</f>
        <v>30</v>
      </c>
      <c r="H268" s="615"/>
      <c r="I268" s="76">
        <f t="shared" ca="1" si="16"/>
        <v>50237</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45169</v>
      </c>
      <c r="S268" s="30">
        <f>_DPP _Decenal</f>
        <v>10</v>
      </c>
      <c r="T268" s="615"/>
      <c r="U268" s="76">
        <f t="shared" ca="1" si="17"/>
        <v>50133</v>
      </c>
      <c r="V268" s="30">
        <f t="shared" ca="1" si="19"/>
        <v>30</v>
      </c>
    </row>
    <row r="269" spans="5:22">
      <c r="E269" s="98">
        <f t="shared" si="15"/>
        <v>30</v>
      </c>
      <c r="F269" s="580">
        <f ca="1">INDEX(_Datos 269:269,,MATCH(_Búsqueda_Fechas_Pago, _Datos _Headers,0))</f>
        <v>50268</v>
      </c>
      <c r="G269" s="616">
        <f ca="1">INDEX(_Datos 269:269,,MATCH(_Búsqueda_Duración, _Datos _Headers,0))</f>
        <v>30</v>
      </c>
      <c r="H269" s="615"/>
      <c r="I269" s="76">
        <f t="shared" ca="1" si="16"/>
        <v>50268</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45179</v>
      </c>
      <c r="S269" s="30">
        <f>_DPP _Decenal</f>
        <v>10</v>
      </c>
      <c r="T269" s="615"/>
      <c r="U269" s="76">
        <f t="shared" ca="1" si="17"/>
        <v>50163</v>
      </c>
      <c r="V269" s="30">
        <f t="shared" ca="1" si="19"/>
        <v>30</v>
      </c>
    </row>
    <row r="270" spans="5:22">
      <c r="E270" s="98">
        <f t="shared" si="15"/>
        <v>30</v>
      </c>
      <c r="F270" s="580">
        <f ca="1">INDEX(_Datos 270:270,,MATCH(_Búsqueda_Fechas_Pago, _Datos _Headers,0))</f>
        <v>50299</v>
      </c>
      <c r="G270" s="616">
        <f ca="1">INDEX(_Datos 270:270,,MATCH(_Búsqueda_Duración, _Datos _Headers,0))</f>
        <v>30</v>
      </c>
      <c r="H270" s="615"/>
      <c r="I270" s="76">
        <f t="shared" ca="1" si="16"/>
        <v>50299</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45189</v>
      </c>
      <c r="S270" s="30">
        <f>_DPP _Decenal</f>
        <v>10</v>
      </c>
      <c r="T270" s="615"/>
      <c r="U270" s="76">
        <f t="shared" ca="1" si="17"/>
        <v>50193</v>
      </c>
      <c r="V270" s="30">
        <f t="shared" ca="1" si="19"/>
        <v>30</v>
      </c>
    </row>
    <row r="271" spans="5:22">
      <c r="E271" s="98">
        <f t="shared" si="15"/>
        <v>30</v>
      </c>
      <c r="F271" s="580">
        <f ca="1">INDEX(_Datos 271:271,,MATCH(_Búsqueda_Fechas_Pago, _Datos _Headers,0))</f>
        <v>50329</v>
      </c>
      <c r="G271" s="616">
        <f ca="1">INDEX(_Datos 271:271,,MATCH(_Búsqueda_Duración, _Datos _Headers,0))</f>
        <v>30</v>
      </c>
      <c r="H271" s="615"/>
      <c r="I271" s="76">
        <f t="shared" ca="1" si="16"/>
        <v>50329</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45199</v>
      </c>
      <c r="S271" s="30">
        <f>_DPP _Decenal</f>
        <v>10</v>
      </c>
      <c r="T271" s="615"/>
      <c r="U271" s="76">
        <f t="shared" ca="1" si="17"/>
        <v>50223</v>
      </c>
      <c r="V271" s="30">
        <f t="shared" ca="1" si="19"/>
        <v>30</v>
      </c>
    </row>
    <row r="272" spans="5:22">
      <c r="E272" s="98">
        <f t="shared" si="15"/>
        <v>30</v>
      </c>
      <c r="F272" s="580">
        <f ca="1">INDEX(_Datos 272:272,,MATCH(_Búsqueda_Fechas_Pago, _Datos _Headers,0))</f>
        <v>50360</v>
      </c>
      <c r="G272" s="616">
        <f ca="1">INDEX(_Datos 272:272,,MATCH(_Búsqueda_Duración, _Datos _Headers,0))</f>
        <v>30</v>
      </c>
      <c r="H272" s="615"/>
      <c r="I272" s="76">
        <f t="shared" ca="1" si="16"/>
        <v>50360</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45209</v>
      </c>
      <c r="S272" s="30">
        <f>_DPP _Decenal</f>
        <v>10</v>
      </c>
      <c r="T272" s="615"/>
      <c r="U272" s="76">
        <f t="shared" ca="1" si="17"/>
        <v>50253</v>
      </c>
      <c r="V272" s="30">
        <f t="shared" ca="1" si="19"/>
        <v>30</v>
      </c>
    </row>
    <row r="273" spans="5:22">
      <c r="E273" s="98">
        <f t="shared" si="15"/>
        <v>30</v>
      </c>
      <c r="F273" s="580">
        <f ca="1">INDEX(_Datos 273:273,,MATCH(_Búsqueda_Fechas_Pago, _Datos _Headers,0))</f>
        <v>50390</v>
      </c>
      <c r="G273" s="616">
        <f ca="1">INDEX(_Datos 273:273,,MATCH(_Búsqueda_Duración, _Datos _Headers,0))</f>
        <v>30</v>
      </c>
      <c r="H273" s="615"/>
      <c r="I273" s="76">
        <f t="shared" ca="1" si="16"/>
        <v>50390</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45219</v>
      </c>
      <c r="S273" s="30">
        <f>_DPP _Decenal</f>
        <v>10</v>
      </c>
      <c r="T273" s="615"/>
      <c r="U273" s="76">
        <f t="shared" ca="1" si="17"/>
        <v>50283</v>
      </c>
      <c r="V273" s="30">
        <f t="shared" ca="1" si="19"/>
        <v>30</v>
      </c>
    </row>
    <row r="274" spans="5:22">
      <c r="E274" s="98">
        <f t="shared" si="15"/>
        <v>30</v>
      </c>
      <c r="F274" s="580">
        <f ca="1">INDEX(_Datos 274:274,,MATCH(_Búsqueda_Fechas_Pago, _Datos _Headers,0))</f>
        <v>50421</v>
      </c>
      <c r="G274" s="616">
        <f ca="1">INDEX(_Datos 274:274,,MATCH(_Búsqueda_Duración, _Datos _Headers,0))</f>
        <v>30</v>
      </c>
      <c r="H274" s="615"/>
      <c r="I274" s="76">
        <f t="shared" ca="1" si="16"/>
        <v>50421</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45230</v>
      </c>
      <c r="S274" s="30">
        <f>_DPP _Decenal</f>
        <v>10</v>
      </c>
      <c r="T274" s="615"/>
      <c r="U274" s="76">
        <f t="shared" ca="1" si="17"/>
        <v>50313</v>
      </c>
      <c r="V274" s="30">
        <f t="shared" ca="1" si="19"/>
        <v>30</v>
      </c>
    </row>
    <row r="275" spans="5:22">
      <c r="E275" s="98">
        <f t="shared" ref="E275:E278" si="20">_Días_por_Periodo</f>
        <v>30</v>
      </c>
      <c r="F275" s="580">
        <f ca="1">INDEX(_Datos 275:275,,MATCH(_Búsqueda_Fechas_Pago, _Datos _Headers,0))</f>
        <v>50452</v>
      </c>
      <c r="G275" s="616">
        <f ca="1">INDEX(_Datos 275:275,,MATCH(_Búsqueda_Duración, _Datos _Headers,0))</f>
        <v>30</v>
      </c>
      <c r="H275" s="615"/>
      <c r="I275" s="76">
        <f t="shared" ca="1" si="16"/>
        <v>50452</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45240</v>
      </c>
      <c r="S275" s="30">
        <f>_DPP _Decenal</f>
        <v>10</v>
      </c>
      <c r="T275" s="615"/>
      <c r="U275" s="76">
        <f t="shared" ca="1" si="17"/>
        <v>50343</v>
      </c>
      <c r="V275" s="30">
        <f t="shared" ca="1" si="19"/>
        <v>30</v>
      </c>
    </row>
    <row r="276" spans="5:22">
      <c r="E276" s="98">
        <f t="shared" si="20"/>
        <v>30</v>
      </c>
      <c r="F276" s="580">
        <f ca="1">INDEX(_Datos 276:276,,MATCH(_Búsqueda_Fechas_Pago, _Datos _Headers,0))</f>
        <v>50480</v>
      </c>
      <c r="G276" s="616">
        <f ca="1">INDEX(_Datos 276:276,,MATCH(_Búsqueda_Duración, _Datos _Headers,0))</f>
        <v>30</v>
      </c>
      <c r="H276" s="615"/>
      <c r="I276" s="76">
        <f t="shared" ca="1" si="16"/>
        <v>50480</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45250</v>
      </c>
      <c r="S276" s="30">
        <f>_DPP _Decenal</f>
        <v>10</v>
      </c>
      <c r="T276" s="615"/>
      <c r="U276" s="76">
        <f t="shared" ref="U276:U278" ca="1" si="21">U275 + _Días_por_Periodo</f>
        <v>50373</v>
      </c>
      <c r="V276" s="30">
        <f t="shared" ca="1" si="19"/>
        <v>30</v>
      </c>
    </row>
    <row r="277" spans="5:22">
      <c r="E277" s="98">
        <f t="shared" si="20"/>
        <v>30</v>
      </c>
      <c r="F277" s="580">
        <f ca="1">INDEX(_Datos 277:277,,MATCH(_Búsqueda_Fechas_Pago, _Datos _Headers,0))</f>
        <v>50511</v>
      </c>
      <c r="G277" s="616">
        <f ca="1">INDEX(_Datos 277:277,,MATCH(_Búsqueda_Duración, _Datos _Headers,0))</f>
        <v>30</v>
      </c>
      <c r="H277" s="615"/>
      <c r="I277" s="76">
        <f t="shared" ca="1" si="16"/>
        <v>50511</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45260</v>
      </c>
      <c r="S277" s="30">
        <f>_DPP _Decenal</f>
        <v>10</v>
      </c>
      <c r="T277" s="615"/>
      <c r="U277" s="76">
        <f t="shared" ca="1" si="21"/>
        <v>50403</v>
      </c>
      <c r="V277" s="30">
        <f t="shared" ref="V277:V278" ca="1" si="23">U277 - U276</f>
        <v>30</v>
      </c>
    </row>
    <row r="278" spans="5:22">
      <c r="E278" s="98">
        <f t="shared" si="20"/>
        <v>30</v>
      </c>
      <c r="F278" s="580">
        <f ca="1">INDEX(_Datos 278:278,,MATCH(_Búsqueda_Fechas_Pago, _Datos _Headers,0))</f>
        <v>50541</v>
      </c>
      <c r="G278" s="570">
        <f ca="1">INDEX(_Datos 278:278,,MATCH(_Búsqueda_Duración, _Datos _Headers,0))</f>
        <v>30</v>
      </c>
      <c r="I278" s="76">
        <f t="shared" ca="1" si="16"/>
        <v>50541</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45270</v>
      </c>
      <c r="S278" s="30">
        <f>_DPP _Decenal</f>
        <v>10</v>
      </c>
      <c r="U278" s="76">
        <f t="shared" ca="1" si="21"/>
        <v>50433</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498"/>
      <c r="J2" s="498"/>
      <c r="K2" s="498"/>
    </row>
    <row r="3" spans="1:11" ht="15.75" thickBot="1">
      <c r="A3" s="222" t="s">
        <v>104</v>
      </c>
      <c r="B3" s="222"/>
      <c r="C3" s="222"/>
      <c r="D3" s="222"/>
      <c r="E3" s="222"/>
      <c r="F3" s="222"/>
      <c r="G3" s="222"/>
      <c r="H3" s="222"/>
      <c r="I3" s="222"/>
      <c r="J3" s="222"/>
      <c r="K3" s="222"/>
    </row>
    <row r="5" spans="1:11">
      <c r="A5" s="42" t="s">
        <v>132</v>
      </c>
      <c r="B5" s="42" t="s">
        <v>133</v>
      </c>
      <c r="D5" s="498"/>
      <c r="E5" s="498"/>
      <c r="F5" s="498"/>
      <c r="G5" s="42" t="s">
        <v>132</v>
      </c>
      <c r="H5" s="42" t="s">
        <v>133</v>
      </c>
      <c r="J5" s="42" t="s">
        <v>132</v>
      </c>
      <c r="K5" s="42" t="s">
        <v>133</v>
      </c>
    </row>
    <row r="6" spans="1:11">
      <c r="A6" s="11" t="s">
        <v>106</v>
      </c>
      <c r="B6" s="11" t="s">
        <v>131</v>
      </c>
      <c r="D6" s="498"/>
      <c r="E6" s="498"/>
      <c r="F6" s="498"/>
      <c r="G6" s="11" t="s">
        <v>105</v>
      </c>
      <c r="H6" s="11" t="s">
        <v>131</v>
      </c>
      <c r="J6" s="11" t="s">
        <v>122</v>
      </c>
      <c r="K6" s="11" t="s">
        <v>123</v>
      </c>
    </row>
    <row r="7" spans="1:11">
      <c r="D7" s="498"/>
      <c r="E7" s="498"/>
      <c r="F7" s="498"/>
    </row>
    <row r="8" spans="1:11">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c r="A9" s="225" t="s">
        <v>20</v>
      </c>
      <c r="B9" s="582">
        <f>FREC.DiasPorPeriodo</f>
        <v>30</v>
      </c>
      <c r="D9" s="498"/>
      <c r="E9" s="498"/>
      <c r="F9" s="498"/>
      <c r="G9" s="225" t="s">
        <v>20</v>
      </c>
      <c r="H9" s="582">
        <f>FREC.DiasPorPeriodo</f>
        <v>30</v>
      </c>
      <c r="J9" s="225" t="s">
        <v>21</v>
      </c>
      <c r="K9" s="71">
        <f ca="1">PeriodosPorAño</f>
        <v>12</v>
      </c>
    </row>
    <row r="10" spans="1:11">
      <c r="A10" s="225" t="s">
        <v>1662</v>
      </c>
      <c r="B10" s="71">
        <f ca="1">PeriodosPorAño</f>
        <v>12</v>
      </c>
      <c r="D10" s="498"/>
      <c r="E10" s="498"/>
      <c r="F10" s="498"/>
      <c r="G10" s="225" t="s">
        <v>1662</v>
      </c>
      <c r="H10" s="71">
        <f ca="1">PeriodosPorAño</f>
        <v>12</v>
      </c>
      <c r="J10" s="225" t="s">
        <v>22</v>
      </c>
      <c r="K10" s="71">
        <f ca="1">NumeroDePagos</f>
        <v>12</v>
      </c>
    </row>
    <row r="11" spans="1:11">
      <c r="A11" s="225" t="s">
        <v>1659</v>
      </c>
      <c r="B11" s="71">
        <f ca="1">NumeroDePagos</f>
        <v>12</v>
      </c>
      <c r="D11" s="498"/>
      <c r="E11" s="498"/>
      <c r="F11" s="498"/>
      <c r="G11" s="225" t="s">
        <v>1659</v>
      </c>
      <c r="H11" s="71">
        <f ca="1">NumeroDePagos</f>
        <v>12</v>
      </c>
      <c r="J11" s="225" t="s">
        <v>1660</v>
      </c>
      <c r="K11" s="220">
        <f ca="1">IvaParaIntereses</f>
        <v>0.12</v>
      </c>
    </row>
    <row r="12" spans="1:11">
      <c r="A12" s="225" t="s">
        <v>1660</v>
      </c>
      <c r="B12" s="220">
        <f ca="1">IvaParaIntereses</f>
        <v>0.12</v>
      </c>
      <c r="D12" s="498"/>
      <c r="E12" s="498"/>
      <c r="F12" s="498"/>
      <c r="G12" s="225" t="s">
        <v>1660</v>
      </c>
      <c r="H12" s="220">
        <f ca="1">IvaParaIntereses</f>
        <v>0.12</v>
      </c>
      <c r="J12" s="225" t="s">
        <v>24</v>
      </c>
      <c r="K12" s="220">
        <f ca="1">TasaInteres</f>
        <v>0.129</v>
      </c>
    </row>
    <row r="13" spans="1:11">
      <c r="A13" s="225" t="s">
        <v>1646</v>
      </c>
      <c r="B13" s="220">
        <f ca="1">TasaInteres</f>
        <v>0.129</v>
      </c>
      <c r="D13" s="498"/>
      <c r="E13" s="498"/>
      <c r="F13" s="498"/>
      <c r="G13" s="225" t="s">
        <v>1646</v>
      </c>
      <c r="H13" s="220">
        <f ca="1">TasaInteres</f>
        <v>0.129</v>
      </c>
      <c r="J13" s="225" t="s">
        <v>14</v>
      </c>
      <c r="K13" s="71">
        <f>CONST_DIAS_EN_AÑO</f>
        <v>360</v>
      </c>
    </row>
    <row r="14" spans="1:11">
      <c r="A14" s="225" t="s">
        <v>14</v>
      </c>
      <c r="B14" s="71">
        <f>CONST_DIAS_EN_AÑO</f>
        <v>360</v>
      </c>
      <c r="D14" s="498"/>
      <c r="E14" s="498"/>
      <c r="F14" s="498"/>
      <c r="G14" s="225" t="s">
        <v>14</v>
      </c>
      <c r="H14" s="71">
        <f>CONST_DIAS_EN_AÑO</f>
        <v>360</v>
      </c>
      <c r="J14" s="225" t="s">
        <v>25</v>
      </c>
      <c r="K14" s="71">
        <f ca="1">Id_Abono_Anticipado</f>
        <v>1</v>
      </c>
    </row>
    <row r="15" spans="1:11">
      <c r="A15" s="226" t="s">
        <v>42</v>
      </c>
      <c r="B15" s="71" t="s">
        <v>1661</v>
      </c>
      <c r="D15" s="498"/>
      <c r="E15" s="498"/>
      <c r="F15" s="498"/>
      <c r="G15" s="226" t="s">
        <v>42</v>
      </c>
      <c r="H15" s="71" t="s">
        <v>1661</v>
      </c>
      <c r="J15" s="226" t="s">
        <v>119</v>
      </c>
      <c r="K15" s="71" t="s">
        <v>106</v>
      </c>
    </row>
    <row r="16" spans="1:11">
      <c r="A16" s="226" t="s">
        <v>43</v>
      </c>
      <c r="B16" s="583" t="b">
        <v>0</v>
      </c>
      <c r="D16" s="498"/>
      <c r="E16" s="498"/>
      <c r="F16" s="498"/>
      <c r="G16" s="226" t="s">
        <v>43</v>
      </c>
      <c r="H16" s="36" t="b">
        <v>1</v>
      </c>
      <c r="J16" s="226" t="s">
        <v>120</v>
      </c>
      <c r="K16" s="71" t="s">
        <v>105</v>
      </c>
    </row>
    <row r="17" spans="1:11">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c r="A18" s="225" t="s">
        <v>1656</v>
      </c>
      <c r="B18" s="71">
        <f ca="1">Id_Abono_Anticipado</f>
        <v>1</v>
      </c>
      <c r="D18" s="498"/>
      <c r="E18" s="498"/>
      <c r="F18" s="498"/>
      <c r="G18" s="225" t="s">
        <v>1656</v>
      </c>
      <c r="H18" s="71">
        <f ca="1">Id_Abono_Anticipado</f>
        <v>1</v>
      </c>
    </row>
    <row r="19" spans="1:11">
      <c r="A19" s="226" t="s">
        <v>102</v>
      </c>
      <c r="B19" s="71" t="s">
        <v>5049</v>
      </c>
      <c r="D19" s="498"/>
      <c r="E19" s="498"/>
      <c r="F19" s="498"/>
      <c r="G19" s="226" t="s">
        <v>102</v>
      </c>
      <c r="H19" s="71" t="s">
        <v>5050</v>
      </c>
    </row>
    <row r="20" spans="1:11">
      <c r="A20" s="227" t="s">
        <v>101</v>
      </c>
      <c r="B20" s="72" t="s">
        <v>2104</v>
      </c>
      <c r="D20" s="498"/>
      <c r="E20" s="498"/>
      <c r="F20" s="498"/>
      <c r="G20" s="227" t="s">
        <v>101</v>
      </c>
      <c r="H20" s="72" t="s">
        <v>2104</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5" t="s">
        <v>487</v>
      </c>
      <c r="D25" s="11" t="s">
        <v>75</v>
      </c>
      <c r="E25" s="11" t="s">
        <v>73</v>
      </c>
      <c r="F25" s="615" t="s">
        <v>487</v>
      </c>
      <c r="G25" s="11" t="s">
        <v>76</v>
      </c>
      <c r="H25" s="11" t="s">
        <v>73</v>
      </c>
      <c r="I25" s="615" t="s">
        <v>487</v>
      </c>
      <c r="J25" s="11" t="s">
        <v>2397</v>
      </c>
      <c r="K25" s="241" t="s">
        <v>2398</v>
      </c>
    </row>
    <row r="27" spans="1:11">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c r="A28" s="33" t="s">
        <v>20</v>
      </c>
      <c r="B28" s="582">
        <f>FREC.DiasPorPeriodo</f>
        <v>30</v>
      </c>
      <c r="D28" s="33" t="s">
        <v>20</v>
      </c>
      <c r="E28" s="582">
        <f>FREC.DiasPorPeriodo</f>
        <v>30</v>
      </c>
      <c r="G28" s="33" t="s">
        <v>20</v>
      </c>
      <c r="H28" s="582">
        <f>FREC.DiasPorPeriodo</f>
        <v>30</v>
      </c>
      <c r="J28" s="33" t="s">
        <v>2394</v>
      </c>
      <c r="K28" s="71">
        <f ca="1">PeriodosPorAño</f>
        <v>12</v>
      </c>
    </row>
    <row r="29" spans="1:11">
      <c r="A29" s="33" t="s">
        <v>1662</v>
      </c>
      <c r="B29" s="71">
        <f ca="1">PeriodosPorAño</f>
        <v>12</v>
      </c>
      <c r="D29" s="33" t="s">
        <v>1662</v>
      </c>
      <c r="E29" s="71">
        <f ca="1">PeriodosPorAño</f>
        <v>12</v>
      </c>
      <c r="G29" s="33" t="s">
        <v>1662</v>
      </c>
      <c r="H29" s="71">
        <f ca="1">PeriodosPorAño</f>
        <v>12</v>
      </c>
      <c r="J29" s="37" t="s">
        <v>2395</v>
      </c>
      <c r="K29" s="72">
        <f ca="1">NumeroDePagos</f>
        <v>12</v>
      </c>
    </row>
    <row r="30" spans="1:11">
      <c r="A30" s="33" t="s">
        <v>1659</v>
      </c>
      <c r="B30" s="71">
        <f ca="1">NumeroDePagos</f>
        <v>12</v>
      </c>
      <c r="D30" s="33" t="s">
        <v>1659</v>
      </c>
      <c r="E30" s="71">
        <f ca="1">NumeroDePagos</f>
        <v>12</v>
      </c>
      <c r="G30" s="33" t="s">
        <v>1659</v>
      </c>
      <c r="H30" s="71">
        <f ca="1">NumeroDePagos</f>
        <v>12</v>
      </c>
    </row>
    <row r="31" spans="1:11">
      <c r="A31" s="33" t="s">
        <v>1660</v>
      </c>
      <c r="B31" s="220">
        <f ca="1">IvaParaIntereses</f>
        <v>0.12</v>
      </c>
      <c r="D31" s="33" t="s">
        <v>1660</v>
      </c>
      <c r="E31" s="220">
        <f ca="1">IvaParaIntereses</f>
        <v>0.12</v>
      </c>
      <c r="G31" s="33" t="s">
        <v>1660</v>
      </c>
      <c r="H31" s="220">
        <f ca="1">IvaParaIntereses</f>
        <v>0.12</v>
      </c>
    </row>
    <row r="32" spans="1:11">
      <c r="A32" s="33" t="s">
        <v>1646</v>
      </c>
      <c r="B32" s="220">
        <f ca="1">TasaInteres</f>
        <v>0.129</v>
      </c>
      <c r="D32" s="33" t="s">
        <v>1646</v>
      </c>
      <c r="E32" s="220">
        <f ca="1">TasaInteres</f>
        <v>0.129</v>
      </c>
      <c r="G32" s="33" t="s">
        <v>1646</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1661</v>
      </c>
      <c r="D34" s="33" t="s">
        <v>42</v>
      </c>
      <c r="E34" s="71" t="s">
        <v>1661</v>
      </c>
      <c r="G34" s="33" t="s">
        <v>42</v>
      </c>
      <c r="H34" s="71" t="s">
        <v>1661</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151.10550000000001</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c r="A2" s="629" t="s">
        <v>5041</v>
      </c>
      <c r="C2" s="615"/>
      <c r="D2" s="248"/>
      <c r="E2" s="436"/>
      <c r="F2" s="208"/>
      <c r="G2" s="438"/>
      <c r="H2" s="438"/>
      <c r="I2" s="438"/>
      <c r="J2" s="438"/>
      <c r="K2" s="438"/>
      <c r="L2" s="438"/>
      <c r="M2" s="438"/>
      <c r="N2" s="438"/>
    </row>
    <row r="3" spans="1:31" s="436" customFormat="1">
      <c r="A3" s="615"/>
      <c r="B3" s="615"/>
      <c r="C3" s="615"/>
    </row>
    <row r="4" spans="1:31" s="437" customFormat="1" hidden="1">
      <c r="A4" s="615"/>
      <c r="B4" s="615"/>
      <c r="C4" s="615"/>
    </row>
    <row r="5" spans="1:31" hidden="1">
      <c r="A5" s="615"/>
      <c r="B5" s="615"/>
      <c r="D5" s="436"/>
      <c r="E5" s="436"/>
      <c r="F5" s="436"/>
      <c r="G5" s="209"/>
      <c r="H5" s="209"/>
      <c r="I5" s="209"/>
      <c r="J5" s="209"/>
      <c r="K5" s="209"/>
      <c r="L5" s="209"/>
      <c r="M5" s="209"/>
      <c r="N5" s="209"/>
    </row>
    <row r="6" spans="1:31" hidden="1">
      <c r="A6" s="615"/>
      <c r="B6" s="615"/>
      <c r="E6" s="34"/>
      <c r="F6" s="35"/>
      <c r="H6" s="664"/>
      <c r="I6" s="664"/>
    </row>
    <row r="7" spans="1:31" hidden="1">
      <c r="A7" s="615"/>
      <c r="B7" s="615"/>
      <c r="E7" s="34"/>
      <c r="F7" s="35"/>
      <c r="H7" s="664"/>
      <c r="I7" s="664"/>
      <c r="J7" s="90"/>
    </row>
    <row r="8" spans="1:31" hidden="1">
      <c r="A8" s="615"/>
      <c r="B8" s="615"/>
      <c r="E8" s="34"/>
      <c r="F8" s="35"/>
      <c r="H8" s="664"/>
      <c r="I8" s="664"/>
      <c r="J8" s="90"/>
      <c r="M8" s="86"/>
    </row>
    <row r="9" spans="1:31" hidden="1">
      <c r="A9" s="615"/>
      <c r="B9" s="615"/>
      <c r="E9" s="34"/>
      <c r="F9" s="35"/>
      <c r="H9" s="664"/>
      <c r="I9" s="664"/>
      <c r="M9" s="86"/>
    </row>
    <row r="10" spans="1:31" hidden="1">
      <c r="A10" s="615"/>
      <c r="B10" s="615"/>
      <c r="E10" s="34"/>
      <c r="F10" s="35"/>
      <c r="H10" s="664"/>
      <c r="I10" s="664"/>
      <c r="J10" s="90"/>
      <c r="L10" s="91"/>
    </row>
    <row r="11" spans="1:31" hidden="1">
      <c r="A11" s="615"/>
      <c r="B11" s="615"/>
      <c r="E11" s="34"/>
      <c r="F11" s="35"/>
      <c r="H11" s="664"/>
      <c r="I11" s="664"/>
    </row>
    <row r="12" spans="1:31" hidden="1">
      <c r="A12" s="615"/>
      <c r="B12" s="615"/>
      <c r="E12" s="34"/>
      <c r="F12" s="35"/>
    </row>
    <row r="13" spans="1:31">
      <c r="A13" s="615"/>
      <c r="B13" s="615"/>
      <c r="K13" s="90"/>
      <c r="R13" s="1001" t="s">
        <v>1632</v>
      </c>
      <c r="S13" s="1002"/>
      <c r="T13" s="1003"/>
      <c r="V13" s="663" t="s">
        <v>108</v>
      </c>
      <c r="W13" s="662"/>
      <c r="X13" s="1004" t="s">
        <v>109</v>
      </c>
      <c r="Y13" s="1004"/>
      <c r="Z13" s="662"/>
      <c r="AA13" s="1004" t="s">
        <v>110</v>
      </c>
      <c r="AB13" s="1004"/>
      <c r="AC13" s="662"/>
      <c r="AD13" s="1004" t="s">
        <v>111</v>
      </c>
      <c r="AE13" s="1005"/>
    </row>
    <row r="14" spans="1:31" s="437" customFormat="1" ht="15" customHeight="1">
      <c r="A14" s="615"/>
      <c r="B14" s="615"/>
      <c r="C14" s="615"/>
      <c r="F14" s="657"/>
      <c r="G14" s="438"/>
      <c r="H14" s="438"/>
      <c r="I14" s="438"/>
      <c r="J14" s="438"/>
      <c r="K14" s="438"/>
      <c r="L14" s="438"/>
      <c r="M14" s="438"/>
      <c r="N14" s="438"/>
    </row>
    <row r="15" spans="1:31" s="80" customFormat="1" ht="45" customHeight="1">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c r="A16" s="228" t="s">
        <v>20</v>
      </c>
      <c r="B16" s="623">
        <f>'Configuración de Tablas'!K8</f>
        <v>30</v>
      </c>
      <c r="C16" s="415"/>
    </row>
    <row r="17" spans="1:36">
      <c r="A17" s="230" t="s">
        <v>21</v>
      </c>
      <c r="B17" s="623">
        <f ca="1">'Configuración de Tablas'!K9</f>
        <v>12</v>
      </c>
      <c r="C17" s="415"/>
      <c r="D17" s="617" t="s">
        <v>1642</v>
      </c>
      <c r="G17" s="261">
        <f ca="1">SUM(__Capital)</f>
        <v>148332.94226000001</v>
      </c>
      <c r="H17" s="261"/>
      <c r="I17" s="261"/>
      <c r="J17" s="261">
        <f ca="1">SUM(__Interes)</f>
        <v>10379.493676344155</v>
      </c>
      <c r="K17" s="261">
        <f ca="1">SUM(__IVA)</f>
        <v>1245.5392411612982</v>
      </c>
      <c r="M17" s="261">
        <f>SUM(__Abono_Anticipado)</f>
        <v>0</v>
      </c>
      <c r="X17" s="1006" t="s">
        <v>116</v>
      </c>
      <c r="Y17" s="1006"/>
      <c r="AH17" s="646" t="s">
        <v>56</v>
      </c>
    </row>
    <row r="18" spans="1:36">
      <c r="A18" s="230" t="s">
        <v>22</v>
      </c>
      <c r="B18" s="623">
        <f ca="1">'Configuración de Tablas'!K10</f>
        <v>12</v>
      </c>
      <c r="C18" s="415"/>
      <c r="P18" s="615"/>
      <c r="R18" s="615"/>
      <c r="S18" s="615"/>
      <c r="T18" s="615"/>
      <c r="W18" s="615"/>
      <c r="X18" s="615"/>
      <c r="Y18" s="615"/>
      <c r="Z18" s="615"/>
      <c r="AA18" s="615"/>
      <c r="AB18" s="615"/>
      <c r="AC18" s="615"/>
      <c r="AD18" s="615"/>
      <c r="AE18" s="615"/>
    </row>
    <row r="19" spans="1:36">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11563.746291368447</v>
      </c>
      <c r="H19" s="83">
        <f t="shared" ref="H19:H82" ca="1" si="0" xml:space="preserve"> __Saldo_Inicial * _Tasa.Diaria</f>
        <v>53.152637643166671</v>
      </c>
      <c r="I19" s="84">
        <f ca="1">T_AutoYSeguroMulti!__Dias_Interes_Periodo</f>
        <v>26</v>
      </c>
      <c r="J19" s="84">
        <f t="shared" ref="J19:J82" ca="1" si="1" xml:space="preserve"> __Interes_Diario * __Dias_Interes_Periodo</f>
        <v>1381.9685787223334</v>
      </c>
      <c r="K19" s="84">
        <f t="shared" ref="K19:K82" ca="1" si="2" xml:space="preserve"> __Interes * i.Iva.Intereses</f>
        <v>165.83622944667999</v>
      </c>
      <c r="L19" s="84">
        <f t="shared" ref="L19:L82" ca="1" si="3" xml:space="preserve"> __Capital + __Interes + __IVA</f>
        <v>13111.551099537461</v>
      </c>
      <c r="M19" s="643">
        <f>INDEX(TablaCliente!_CapturaAbonoAnticipadoTablaCliente,__Amortizacion)</f>
        <v>0</v>
      </c>
      <c r="N19" s="84">
        <f t="shared" ref="N19:N82" ca="1" si="4">MAX( __Saldo_Inicial-__Capital-__Abono_Anticipado, 0)</f>
        <v>136769.19596863157</v>
      </c>
      <c r="P19" s="615" t="b">
        <v>1</v>
      </c>
      <c r="Q19" s="98"/>
      <c r="R19" s="84">
        <f ca="1" xml:space="preserve"> T_AutoYSeguroMulti!_Pago.Fijo + T_SeguroAnual!__Pago_Fijo</f>
        <v>13349.674916178847</v>
      </c>
      <c r="S19" s="84">
        <f ca="1" xml:space="preserve"> T_AutoYSeguroMulti!__Capital + T_SeguroAnual!__Capital</f>
        <v>11563.746291368447</v>
      </c>
      <c r="T19" s="84">
        <f t="shared" ref="T19:T82" ca="1" si="5">__Pago_Fijo - (__Interes_Diario * i.Dias.Por.Periodo * (1+i.Iva.Intereses))</f>
        <v>11563.746291368447</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c r="A20" s="230" t="s">
        <v>24</v>
      </c>
      <c r="B20" s="630">
        <f ca="1">'Configuración de Tablas'!K12</f>
        <v>0.129</v>
      </c>
      <c r="C20" s="415"/>
      <c r="D20" s="616">
        <v>2</v>
      </c>
      <c r="F20" s="18">
        <f ca="1" xml:space="preserve"> ( __Saldo_Final _Anterior + T_SeguroAnual!__Saldo_Ciclico ) * ( __Stopper_Saldo_Inicial )</f>
        <v>136769.19596863157</v>
      </c>
      <c r="G20" s="83">
        <f ca="1">MIN( CHOOSE(i.Opcion.Abono, __Capital_Opcion_1, __Capital_Opcion_2, __Capital_Opcion_3) _Actual, __Saldo_Inicial _Actual)</f>
        <v>11702.973796716522</v>
      </c>
      <c r="H20" s="83">
        <f t="shared" ca="1" si="0"/>
        <v>49.008961888759643</v>
      </c>
      <c r="I20" s="84">
        <f ca="1">T_AutoYSeguroMulti!__Dias_Interes_Periodo</f>
        <v>30</v>
      </c>
      <c r="J20" s="84">
        <f t="shared" ca="1" si="1"/>
        <v>1470.2688566627894</v>
      </c>
      <c r="K20" s="84">
        <f t="shared" ca="1" si="2"/>
        <v>176.43226279953473</v>
      </c>
      <c r="L20" s="83">
        <f t="shared" ca="1" si="3"/>
        <v>13349.674916178847</v>
      </c>
      <c r="M20" s="643">
        <f>INDEX(TablaCliente!_CapturaAbonoAnticipadoTablaCliente,__Amortizacion)</f>
        <v>0</v>
      </c>
      <c r="N20" s="84">
        <f t="shared" ca="1" si="4"/>
        <v>125066.22217191504</v>
      </c>
      <c r="P20" s="615" t="b">
        <f ca="1">__Saldo_Final _Anterior &gt; 0</f>
        <v>1</v>
      </c>
      <c r="Q20" s="98"/>
      <c r="R20" s="84">
        <f ca="1" xml:space="preserve"> T_AutoYSeguroMulti!_Pago.Fijo + T_SeguroAnual!__Pago_Fijo</f>
        <v>13349.674916178847</v>
      </c>
      <c r="S20" s="84">
        <f ca="1" xml:space="preserve"> T_AutoYSeguroMulti!__Capital + T_SeguroAnual!__Capital</f>
        <v>11702.973796716522</v>
      </c>
      <c r="T20" s="84">
        <f t="shared" ca="1" si="5"/>
        <v>11702.973796716522</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c r="A21" s="230" t="s">
        <v>14</v>
      </c>
      <c r="B21" s="624">
        <f>'Configuración de Tablas'!K13</f>
        <v>360</v>
      </c>
      <c r="C21" s="415"/>
      <c r="D21" s="616">
        <v>3</v>
      </c>
      <c r="F21" s="18">
        <f ca="1" xml:space="preserve"> ( __Saldo_Final _Anterior + T_SeguroAnual!__Saldo_Ciclico ) * ( __Stopper_Saldo_Inicial )</f>
        <v>125066.22217191504</v>
      </c>
      <c r="G21" s="83">
        <f ca="1">MIN( CHOOSE(i.Opcion.Abono, __Capital_Opcion_1, __Capital_Opcion_2, __Capital_Opcion_3) _Actual, __Saldo_Inicial _Actual)</f>
        <v>11843.877601228989</v>
      </c>
      <c r="H21" s="83">
        <f t="shared" ca="1" si="0"/>
        <v>44.815396278269553</v>
      </c>
      <c r="I21" s="84">
        <f ca="1">T_AutoYSeguroMulti!__Dias_Interes_Periodo</f>
        <v>30</v>
      </c>
      <c r="J21" s="84">
        <f t="shared" ca="1" si="1"/>
        <v>1344.4618883480866</v>
      </c>
      <c r="K21" s="84">
        <f t="shared" ca="1" si="2"/>
        <v>161.33542660177039</v>
      </c>
      <c r="L21" s="83">
        <f t="shared" ca="1" si="3"/>
        <v>13349.674916178847</v>
      </c>
      <c r="M21" s="643">
        <f>INDEX(TablaCliente!_CapturaAbonoAnticipadoTablaCliente,__Amortizacion)</f>
        <v>0</v>
      </c>
      <c r="N21" s="84">
        <f t="shared" ca="1" si="4"/>
        <v>113222.34457068605</v>
      </c>
      <c r="P21" s="615" t="b">
        <f ca="1">__Saldo_Final _Anterior &gt; 0</f>
        <v>1</v>
      </c>
      <c r="Q21" s="98"/>
      <c r="R21" s="84">
        <f ca="1" xml:space="preserve"> T_AutoYSeguroMulti!_Pago.Fijo + T_SeguroAnual!__Pago_Fijo</f>
        <v>13349.674916178847</v>
      </c>
      <c r="S21" s="84">
        <f ca="1" xml:space="preserve"> T_AutoYSeguroMulti!__Capital + T_SeguroAnual!__Capital</f>
        <v>11843.877601228989</v>
      </c>
      <c r="T21" s="84">
        <f t="shared" ca="1" si="5"/>
        <v>11843.877601228989</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c r="A22" s="230" t="s">
        <v>25</v>
      </c>
      <c r="B22" s="624">
        <f ca="1">'Configuración de Tablas'!K14</f>
        <v>1</v>
      </c>
      <c r="C22" s="415"/>
      <c r="D22" s="616">
        <v>4</v>
      </c>
      <c r="F22" s="18">
        <f ca="1" xml:space="preserve"> ( __Saldo_Final _Anterior + T_SeguroAnual!__Saldo_Ciclico ) * ( __Stopper_Saldo_Inicial )</f>
        <v>113222.34457068605</v>
      </c>
      <c r="G22" s="83">
        <f ca="1">MIN( CHOOSE(i.Opcion.Abono, __Capital_Opcion_1, __Capital_Opcion_2, __Capital_Opcion_3) _Actual, __Saldo_Inicial _Actual)</f>
        <v>11986.477887547786</v>
      </c>
      <c r="H22" s="83">
        <f t="shared" ca="1" si="0"/>
        <v>40.571340137829168</v>
      </c>
      <c r="I22" s="84">
        <f ca="1">T_AutoYSeguroMulti!__Dias_Interes_Periodo</f>
        <v>30</v>
      </c>
      <c r="J22" s="84">
        <f t="shared" ca="1" si="1"/>
        <v>1217.1402041348751</v>
      </c>
      <c r="K22" s="84">
        <f t="shared" ca="1" si="2"/>
        <v>146.05682449618502</v>
      </c>
      <c r="L22" s="83">
        <f t="shared" ca="1" si="3"/>
        <v>13349.674916178847</v>
      </c>
      <c r="M22" s="643">
        <f>INDEX(TablaCliente!_CapturaAbonoAnticipadoTablaCliente,__Amortizacion)</f>
        <v>0</v>
      </c>
      <c r="N22" s="84">
        <f t="shared" ca="1" si="4"/>
        <v>101235.86668313827</v>
      </c>
      <c r="P22" s="615" t="b">
        <f ca="1">__Saldo_Final _Anterior &gt; 0</f>
        <v>1</v>
      </c>
      <c r="Q22" s="98"/>
      <c r="R22" s="84">
        <f ca="1" xml:space="preserve"> T_AutoYSeguroMulti!_Pago.Fijo + T_SeguroAnual!__Pago_Fijo</f>
        <v>13349.674916178847</v>
      </c>
      <c r="S22" s="84">
        <f ca="1" xml:space="preserve"> T_AutoYSeguroMulti!__Capital + T_SeguroAnual!__Capital</f>
        <v>11986.477887547786</v>
      </c>
      <c r="T22" s="84">
        <f t="shared" ca="1" si="5"/>
        <v>11986.477887547786</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c r="A23" s="89" t="s">
        <v>119</v>
      </c>
      <c r="B23" s="98" t="str">
        <f>'Configuración de Tablas'!K15</f>
        <v>T_AutoYSeguroMulti</v>
      </c>
      <c r="C23" s="415"/>
      <c r="D23" s="616">
        <v>5</v>
      </c>
      <c r="F23" s="18">
        <f ca="1" xml:space="preserve"> ( __Saldo_Final _Anterior + T_SeguroAnual!__Saldo_Ciclico ) * ( __Stopper_Saldo_Inicial )</f>
        <v>101235.86668313827</v>
      </c>
      <c r="G23" s="83">
        <f ca="1">MIN( CHOOSE(i.Opcion.Abono, __Capital_Opcion_1, __Capital_Opcion_2, __Capital_Opcion_3) _Actual, __Saldo_Inicial _Actual)</f>
        <v>12130.795081313861</v>
      </c>
      <c r="H23" s="83">
        <f t="shared" ca="1" si="0"/>
        <v>36.276185561457879</v>
      </c>
      <c r="I23" s="84">
        <f ca="1">T_AutoYSeguroMulti!__Dias_Interes_Periodo</f>
        <v>30</v>
      </c>
      <c r="J23" s="84">
        <f t="shared" ca="1" si="1"/>
        <v>1088.2855668437364</v>
      </c>
      <c r="K23" s="84">
        <f t="shared" ca="1" si="2"/>
        <v>130.59426802124835</v>
      </c>
      <c r="L23" s="83">
        <f t="shared" ca="1" si="3"/>
        <v>13349.674916178847</v>
      </c>
      <c r="M23" s="643">
        <f>INDEX(TablaCliente!_CapturaAbonoAnticipadoTablaCliente,__Amortizacion)</f>
        <v>0</v>
      </c>
      <c r="N23" s="84">
        <f t="shared" ca="1" si="4"/>
        <v>89105.071601824413</v>
      </c>
      <c r="P23" s="615" t="b">
        <f ca="1">__Saldo_Final _Anterior &gt; 0</f>
        <v>1</v>
      </c>
      <c r="Q23" s="98"/>
      <c r="R23" s="84">
        <f ca="1" xml:space="preserve"> T_AutoYSeguroMulti!_Pago.Fijo + T_SeguroAnual!__Pago_Fijo</f>
        <v>13349.674916178847</v>
      </c>
      <c r="S23" s="84">
        <f ca="1" xml:space="preserve"> T_AutoYSeguroMulti!__Capital + T_SeguroAnual!__Capital</f>
        <v>12130.795081313861</v>
      </c>
      <c r="T23" s="84">
        <f t="shared" ca="1" si="5"/>
        <v>12130.795081313861</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c r="A24" s="89" t="s">
        <v>120</v>
      </c>
      <c r="B24" s="98" t="str">
        <f>'Configuración de Tablas'!K16</f>
        <v>T_SeguroAnual</v>
      </c>
      <c r="C24" s="415"/>
      <c r="D24" s="616">
        <v>6</v>
      </c>
      <c r="F24" s="18">
        <f ca="1" xml:space="preserve"> ( __Saldo_Final _Anterior + T_SeguroAnual!__Saldo_Ciclico ) * ( __Stopper_Saldo_Inicial )</f>
        <v>89105.071601824413</v>
      </c>
      <c r="G24" s="83">
        <f ca="1">MIN( CHOOSE(i.Opcion.Abono, __Capital_Opcion_1, __Capital_Opcion_2, __Capital_Opcion_3) _Actual, __Saldo_Inicial _Actual)</f>
        <v>12276.849854092879</v>
      </c>
      <c r="H24" s="83">
        <f t="shared" ca="1" si="0"/>
        <v>31.929317323987082</v>
      </c>
      <c r="I24" s="84">
        <f ca="1">T_AutoYSeguroMulti!__Dias_Interes_Periodo</f>
        <v>30</v>
      </c>
      <c r="J24" s="84">
        <f t="shared" ca="1" si="1"/>
        <v>957.8795197196124</v>
      </c>
      <c r="K24" s="84">
        <f t="shared" ca="1" si="2"/>
        <v>114.94554236635348</v>
      </c>
      <c r="L24" s="83">
        <f t="shared" ca="1" si="3"/>
        <v>13349.674916178845</v>
      </c>
      <c r="M24" s="643">
        <f>INDEX(TablaCliente!_CapturaAbonoAnticipadoTablaCliente,__Amortizacion)</f>
        <v>0</v>
      </c>
      <c r="N24" s="84">
        <f t="shared" ca="1" si="4"/>
        <v>76828.221747731528</v>
      </c>
      <c r="P24" s="615" t="b">
        <f ca="1">__Saldo_Final _Anterior &gt; 0</f>
        <v>1</v>
      </c>
      <c r="Q24" s="98"/>
      <c r="R24" s="84">
        <f ca="1" xml:space="preserve"> T_AutoYSeguroMulti!_Pago.Fijo + T_SeguroAnual!__Pago_Fijo</f>
        <v>13349.674916178847</v>
      </c>
      <c r="S24" s="84">
        <f ca="1" xml:space="preserve"> T_AutoYSeguroMulti!__Capital + T_SeguroAnual!__Capital</f>
        <v>12276.849854092879</v>
      </c>
      <c r="T24" s="84">
        <f t="shared" ca="1" si="5"/>
        <v>12276.849854092881</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c r="A25" s="89" t="s">
        <v>102</v>
      </c>
      <c r="B25" s="98" t="str">
        <f>'Configuración de Tablas'!K17</f>
        <v>TablaCliente!_CapturaAbonoAnticipadoTablaCliente</v>
      </c>
      <c r="C25" s="415"/>
      <c r="D25" s="616">
        <v>7</v>
      </c>
      <c r="F25" s="18">
        <f ca="1" xml:space="preserve"> ( __Saldo_Final _Anterior + T_SeguroAnual!__Saldo_Ciclico ) * ( __Stopper_Saldo_Inicial )</f>
        <v>76828.221747731528</v>
      </c>
      <c r="G25" s="83">
        <f ca="1">MIN( CHOOSE(i.Opcion.Abono, __Capital_Opcion_1, __Capital_Opcion_2, __Capital_Opcion_3) _Actual, __Saldo_Inicial _Actual)</f>
        <v>12424.66312633616</v>
      </c>
      <c r="H25" s="83">
        <f t="shared" ca="1" si="0"/>
        <v>27.530112792937132</v>
      </c>
      <c r="I25" s="84">
        <f ca="1">T_AutoYSeguroMulti!__Dias_Interes_Periodo</f>
        <v>30</v>
      </c>
      <c r="J25" s="84">
        <f t="shared" ca="1" si="1"/>
        <v>825.90338378811396</v>
      </c>
      <c r="K25" s="84">
        <f t="shared" ca="1" si="2"/>
        <v>99.108406054573678</v>
      </c>
      <c r="L25" s="83">
        <f t="shared" ca="1" si="3"/>
        <v>13349.674916178848</v>
      </c>
      <c r="M25" s="643">
        <f>INDEX(TablaCliente!_CapturaAbonoAnticipadoTablaCliente,__Amortizacion)</f>
        <v>0</v>
      </c>
      <c r="N25" s="84">
        <f t="shared" ca="1" si="4"/>
        <v>64403.558621395365</v>
      </c>
      <c r="P25" s="615" t="b">
        <f ca="1">__Saldo_Final _Anterior &gt; 0</f>
        <v>1</v>
      </c>
      <c r="Q25" s="98"/>
      <c r="R25" s="84">
        <f ca="1" xml:space="preserve"> T_AutoYSeguroMulti!_Pago.Fijo + T_SeguroAnual!__Pago_Fijo</f>
        <v>13349.674916178847</v>
      </c>
      <c r="S25" s="84">
        <f ca="1" xml:space="preserve"> T_AutoYSeguroMulti!__Capital + T_SeguroAnual!__Capital</f>
        <v>12424.66312633616</v>
      </c>
      <c r="T25" s="84">
        <f t="shared" ca="1" si="5"/>
        <v>12424.66312633616</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c r="A26" s="215"/>
      <c r="B26" s="650"/>
      <c r="C26" s="415"/>
      <c r="D26" s="616">
        <v>8</v>
      </c>
      <c r="F26" s="18">
        <f ca="1" xml:space="preserve"> ( __Saldo_Final _Anterior + T_SeguroAnual!__Saldo_Ciclico ) * ( __Stopper_Saldo_Inicial )</f>
        <v>64403.558621395365</v>
      </c>
      <c r="G26" s="83">
        <f ca="1">MIN( CHOOSE(i.Opcion.Abono, __Capital_Opcion_1, __Capital_Opcion_2, __Capital_Opcion_3) _Actual, __Saldo_Inicial _Actual)</f>
        <v>12574.256070377245</v>
      </c>
      <c r="H26" s="83">
        <f t="shared" ca="1" si="0"/>
        <v>23.077941839333338</v>
      </c>
      <c r="I26" s="84">
        <f ca="1">T_AutoYSeguroMulti!__Dias_Interes_Periodo</f>
        <v>30</v>
      </c>
      <c r="J26" s="84">
        <f t="shared" ca="1" si="1"/>
        <v>692.33825518000015</v>
      </c>
      <c r="K26" s="84">
        <f t="shared" ca="1" si="2"/>
        <v>83.08059062160001</v>
      </c>
      <c r="L26" s="83">
        <f t="shared" ca="1" si="3"/>
        <v>13349.674916178845</v>
      </c>
      <c r="M26" s="643">
        <f>INDEX(TablaCliente!_CapturaAbonoAnticipadoTablaCliente,__Amortizacion)</f>
        <v>0</v>
      </c>
      <c r="N26" s="84">
        <f t="shared" ca="1" si="4"/>
        <v>51829.302551018118</v>
      </c>
      <c r="P26" s="615" t="b">
        <f ca="1">__Saldo_Final _Anterior &gt; 0</f>
        <v>1</v>
      </c>
      <c r="Q26" s="98"/>
      <c r="R26" s="84">
        <f ca="1" xml:space="preserve"> T_AutoYSeguroMulti!_Pago.Fijo + T_SeguroAnual!__Pago_Fijo</f>
        <v>13349.674916178847</v>
      </c>
      <c r="S26" s="84">
        <f ca="1" xml:space="preserve"> T_AutoYSeguroMulti!__Capital + T_SeguroAnual!__Capital</f>
        <v>12574.256070377245</v>
      </c>
      <c r="T26" s="84">
        <f t="shared" ca="1" si="5"/>
        <v>12574.256070377247</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c r="A27" s="255" t="s">
        <v>425</v>
      </c>
      <c r="B27" s="247"/>
      <c r="C27" s="415"/>
      <c r="D27" s="616">
        <v>9</v>
      </c>
      <c r="F27" s="18">
        <f ca="1" xml:space="preserve"> ( __Saldo_Final _Anterior + T_SeguroAnual!__Saldo_Ciclico ) * ( __Stopper_Saldo_Inicial )</f>
        <v>51829.302551018118</v>
      </c>
      <c r="G27" s="83">
        <f ca="1">MIN( CHOOSE(i.Opcion.Abono, __Capital_Opcion_1, __Capital_Opcion_2, __Capital_Opcion_3) _Actual, __Saldo_Inicial _Actual)</f>
        <v>12725.65011346459</v>
      </c>
      <c r="H27" s="83">
        <f t="shared" ca="1" si="0"/>
        <v>18.572166747448158</v>
      </c>
      <c r="I27" s="84">
        <f ca="1">T_AutoYSeguroMulti!__Dias_Interes_Periodo</f>
        <v>30</v>
      </c>
      <c r="J27" s="84">
        <f t="shared" ca="1" si="1"/>
        <v>557.16500242344478</v>
      </c>
      <c r="K27" s="84">
        <f t="shared" ca="1" si="2"/>
        <v>66.859800290813368</v>
      </c>
      <c r="L27" s="83">
        <f t="shared" ca="1" si="3"/>
        <v>13349.674916178847</v>
      </c>
      <c r="M27" s="643">
        <f>INDEX(TablaCliente!_CapturaAbonoAnticipadoTablaCliente,__Amortizacion)</f>
        <v>0</v>
      </c>
      <c r="N27" s="84">
        <f t="shared" ca="1" si="4"/>
        <v>39103.65243755353</v>
      </c>
      <c r="P27" s="615" t="b">
        <f ca="1">__Saldo_Final _Anterior &gt; 0</f>
        <v>1</v>
      </c>
      <c r="Q27" s="98"/>
      <c r="R27" s="84">
        <f ca="1" xml:space="preserve"> T_AutoYSeguroMulti!_Pago.Fijo + T_SeguroAnual!__Pago_Fijo</f>
        <v>13349.674916178847</v>
      </c>
      <c r="S27" s="84">
        <f ca="1" xml:space="preserve"> T_AutoYSeguroMulti!__Capital + T_SeguroAnual!__Capital</f>
        <v>12725.65011346459</v>
      </c>
      <c r="T27" s="84">
        <f t="shared" ca="1" si="5"/>
        <v>12725.650113464588</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c r="A28" s="214" t="s">
        <v>17</v>
      </c>
      <c r="B28" s="229">
        <f ca="1">i.Tasa.Interes/i.Periodos.Por.Año</f>
        <v>1.0750000000000001E-2</v>
      </c>
      <c r="C28" s="415"/>
      <c r="D28" s="616">
        <v>10</v>
      </c>
      <c r="F28" s="18">
        <f ca="1" xml:space="preserve"> ( __Saldo_Final _Anterior + T_SeguroAnual!__Saldo_Ciclico ) * ( __Stopper_Saldo_Inicial )</f>
        <v>39103.65243755353</v>
      </c>
      <c r="G28" s="83">
        <f ca="1">MIN( CHOOSE(i.Opcion.Abono, __Capital_Opcion_1, __Capital_Opcion_2, __Capital_Opcion_3) _Actual, __Saldo_Inicial _Actual)</f>
        <v>12878.866940830701</v>
      </c>
      <c r="H28" s="83">
        <f t="shared" ca="1" si="0"/>
        <v>14.012142123456682</v>
      </c>
      <c r="I28" s="84">
        <f ca="1">T_AutoYSeguroMulti!__Dias_Interes_Periodo</f>
        <v>30</v>
      </c>
      <c r="J28" s="84">
        <f t="shared" ca="1" si="1"/>
        <v>420.36426370370049</v>
      </c>
      <c r="K28" s="84">
        <f t="shared" ca="1" si="2"/>
        <v>50.443711644444058</v>
      </c>
      <c r="L28" s="83">
        <f t="shared" ca="1" si="3"/>
        <v>13349.674916178847</v>
      </c>
      <c r="M28" s="643">
        <f>INDEX(TablaCliente!_CapturaAbonoAnticipadoTablaCliente,__Amortizacion)</f>
        <v>0</v>
      </c>
      <c r="N28" s="84">
        <f t="shared" ca="1" si="4"/>
        <v>26224.785496722827</v>
      </c>
      <c r="P28" s="615" t="b">
        <f ca="1">__Saldo_Final _Anterior &gt; 0</f>
        <v>1</v>
      </c>
      <c r="Q28" s="98"/>
      <c r="R28" s="84">
        <f ca="1" xml:space="preserve"> T_AutoYSeguroMulti!_Pago.Fijo + T_SeguroAnual!__Pago_Fijo</f>
        <v>13349.674916178847</v>
      </c>
      <c r="S28" s="84">
        <f ca="1" xml:space="preserve"> T_AutoYSeguroMulti!__Capital + T_SeguroAnual!__Capital</f>
        <v>12878.866940830701</v>
      </c>
      <c r="T28" s="84">
        <f t="shared" ca="1" si="5"/>
        <v>12878.866940830701</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c r="A29" s="214" t="s">
        <v>13</v>
      </c>
      <c r="B29" s="229">
        <f ca="1">i.Tasa.Interes/i.Dias.En.Año</f>
        <v>3.5833333333333333E-4</v>
      </c>
      <c r="C29" s="415"/>
      <c r="D29" s="616">
        <v>11</v>
      </c>
      <c r="F29" s="18">
        <f ca="1" xml:space="preserve"> ( __Saldo_Final _Anterior + T_SeguroAnual!__Saldo_Ciclico ) * ( __Stopper_Saldo_Inicial )</f>
        <v>26224.785496722827</v>
      </c>
      <c r="G29" s="83">
        <f ca="1">MIN( CHOOSE(i.Opcion.Abono, __Capital_Opcion_1, __Capital_Opcion_2, __Capital_Opcion_3) _Actual, __Saldo_Inicial _Actual)</f>
        <v>13033.928498798305</v>
      </c>
      <c r="H29" s="83">
        <f t="shared" ca="1" si="0"/>
        <v>9.3972148029923463</v>
      </c>
      <c r="I29" s="84">
        <f ca="1">T_AutoYSeguroMulti!__Dias_Interes_Periodo</f>
        <v>30</v>
      </c>
      <c r="J29" s="84">
        <f t="shared" ca="1" si="1"/>
        <v>281.91644408977038</v>
      </c>
      <c r="K29" s="84">
        <f t="shared" ca="1" si="2"/>
        <v>33.829973290772443</v>
      </c>
      <c r="L29" s="83">
        <f t="shared" ca="1" si="3"/>
        <v>13349.674916178848</v>
      </c>
      <c r="M29" s="643">
        <f>INDEX(TablaCliente!_CapturaAbonoAnticipadoTablaCliente,__Amortizacion)</f>
        <v>0</v>
      </c>
      <c r="N29" s="84">
        <f t="shared" ca="1" si="4"/>
        <v>13190.856997924522</v>
      </c>
      <c r="P29" s="615" t="b">
        <f ca="1">__Saldo_Final _Anterior &gt; 0</f>
        <v>1</v>
      </c>
      <c r="Q29" s="98"/>
      <c r="R29" s="84">
        <f ca="1" xml:space="preserve"> T_AutoYSeguroMulti!_Pago.Fijo + T_SeguroAnual!__Pago_Fijo</f>
        <v>13349.674916178847</v>
      </c>
      <c r="S29" s="84">
        <f ca="1" xml:space="preserve"> T_AutoYSeguroMulti!__Capital + T_SeguroAnual!__Capital</f>
        <v>13033.928498798305</v>
      </c>
      <c r="T29" s="84">
        <f t="shared" ca="1" si="5"/>
        <v>13033.928498798305</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c r="A30" s="231" t="s">
        <v>23</v>
      </c>
      <c r="B30" s="232">
        <f ca="1" xml:space="preserve"> _Tasa.Diaria * i.Dias.Por.Periodo</f>
        <v>1.0749999999999999E-2</v>
      </c>
      <c r="D30" s="616">
        <v>12</v>
      </c>
      <c r="F30" s="18">
        <f ca="1" xml:space="preserve"> ( __Saldo_Final _Anterior + T_SeguroAnual!__Saldo_Ciclico ) * ( __Stopper_Saldo_Inicial )</f>
        <v>13190.856997924522</v>
      </c>
      <c r="G30" s="83">
        <f ca="1">MIN( CHOOSE(i.Opcion.Abono, __Capital_Opcion_1, __Capital_Opcion_2, __Capital_Opcion_3) _Actual, __Saldo_Inicial _Actual)</f>
        <v>13190.856997924513</v>
      </c>
      <c r="H30" s="83">
        <f t="shared" ca="1" si="0"/>
        <v>4.7267237575896202</v>
      </c>
      <c r="I30" s="84">
        <f ca="1">T_AutoYSeguroMulti!__Dias_Interes_Periodo</f>
        <v>30</v>
      </c>
      <c r="J30" s="84">
        <f t="shared" ca="1" si="1"/>
        <v>141.8017127276886</v>
      </c>
      <c r="K30" s="84">
        <f t="shared" ca="1" si="2"/>
        <v>17.016205527322629</v>
      </c>
      <c r="L30" s="83">
        <f t="shared" ca="1" si="3"/>
        <v>13349.674916179525</v>
      </c>
      <c r="M30" s="643">
        <f>INDEX(TablaCliente!_CapturaAbonoAnticipadoTablaCliente,__Amortizacion)</f>
        <v>0</v>
      </c>
      <c r="N30" s="84">
        <f t="shared" ca="1" si="4"/>
        <v>9.0949470177292824E-12</v>
      </c>
      <c r="P30" s="615" t="b">
        <f ca="1">__Saldo_Final _Anterior &gt; 0</f>
        <v>1</v>
      </c>
      <c r="Q30" s="98"/>
      <c r="R30" s="84">
        <f ca="1" xml:space="preserve"> T_AutoYSeguroMulti!_Pago.Fijo + T_SeguroAnual!__Pago_Fijo</f>
        <v>13349.674916178847</v>
      </c>
      <c r="S30" s="84">
        <f ca="1" xml:space="preserve"> T_AutoYSeguroMulti!__Capital + T_SeguroAnual!__Capital</f>
        <v>13190.856997924513</v>
      </c>
      <c r="T30" s="84">
        <f t="shared" ca="1" si="5"/>
        <v>13190.856997923835</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c r="A31" s="215"/>
      <c r="B31" s="233"/>
      <c r="D31" s="616">
        <v>13</v>
      </c>
      <c r="F31" s="18">
        <f ca="1" xml:space="preserve"> ( __Saldo_Final _Anterior + T_SeguroAnual!__Saldo_Ciclico ) * ( __Stopper_Saldo_Inicial )</f>
        <v>9.0949470177292824E-12</v>
      </c>
      <c r="G31" s="83">
        <f ca="1">MIN( CHOOSE(i.Opcion.Abono, __Capital_Opcion_1, __Capital_Opcion_2, __Capital_Opcion_3) _Actual, __Saldo_Inicial _Actual)</f>
        <v>0</v>
      </c>
      <c r="H31" s="83">
        <f t="shared" ca="1" si="0"/>
        <v>3.2590226813529929E-15</v>
      </c>
      <c r="I31" s="84">
        <f ca="1">T_AutoYSeguroMulti!__Dias_Interes_Periodo</f>
        <v>30</v>
      </c>
      <c r="J31" s="84">
        <f t="shared" ca="1" si="1"/>
        <v>9.7770680440589784E-14</v>
      </c>
      <c r="K31" s="84">
        <f t="shared" ca="1" si="2"/>
        <v>1.1732481652870774E-14</v>
      </c>
      <c r="L31" s="83">
        <f t="shared" ca="1" si="3"/>
        <v>1.0950316209346055E-13</v>
      </c>
      <c r="M31" s="643">
        <f>INDEX(TablaCliente!_CapturaAbonoAnticipadoTablaCliente,__Amortizacion)</f>
        <v>0</v>
      </c>
      <c r="N31" s="84">
        <f t="shared" ca="1" si="4"/>
        <v>9.0949470177292824E-12</v>
      </c>
      <c r="P31" s="615" t="b">
        <f ca="1">__Saldo_Final _Anterior &gt; 0</f>
        <v>1</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c r="A32" s="615" t="s">
        <v>5048</v>
      </c>
      <c r="B32" s="615" t="str">
        <f>CONCATENATE(i.Nombre.Tabla.Estandar,"!",A32)</f>
        <v>T_AutoYSeguroMulti!i.Monto.Financiar</v>
      </c>
      <c r="D32" s="616">
        <v>14</v>
      </c>
      <c r="F32" s="18">
        <f ca="1" xml:space="preserve"> ( __Saldo_Final _Anterior + T_SeguroAnual!__Saldo_Ciclico ) * ( __Stopper_Saldo_Inicial )</f>
        <v>9.0949470177292824E-12</v>
      </c>
      <c r="G32" s="83">
        <f ca="1">MIN( CHOOSE(i.Opcion.Abono, __Capital_Opcion_1, __Capital_Opcion_2, __Capital_Opcion_3) _Actual, __Saldo_Inicial _Actual)</f>
        <v>0</v>
      </c>
      <c r="H32" s="83">
        <f t="shared" ca="1" si="0"/>
        <v>3.2590226813529929E-15</v>
      </c>
      <c r="I32" s="84">
        <f ca="1">T_AutoYSeguroMulti!__Dias_Interes_Periodo</f>
        <v>30</v>
      </c>
      <c r="J32" s="84">
        <f t="shared" ca="1" si="1"/>
        <v>9.7770680440589784E-14</v>
      </c>
      <c r="K32" s="84">
        <f t="shared" ca="1" si="2"/>
        <v>1.1732481652870774E-14</v>
      </c>
      <c r="L32" s="83">
        <f t="shared" ca="1" si="3"/>
        <v>1.0950316209346055E-13</v>
      </c>
      <c r="M32" s="643">
        <f>INDEX(TablaCliente!_CapturaAbonoAnticipadoTablaCliente,__Amortizacion)</f>
        <v>0</v>
      </c>
      <c r="N32" s="84">
        <f t="shared" ca="1" si="4"/>
        <v>9.0949470177292824E-12</v>
      </c>
      <c r="P32" s="615" t="b">
        <f ca="1">__Saldo_Final _Anterior &gt; 0</f>
        <v>1</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c r="A33" s="615" t="s">
        <v>5042</v>
      </c>
      <c r="B33" s="615" t="str">
        <f>CONCATENATE(i.Nombre.Tabla.Estandar,"!",A33)</f>
        <v>T_AutoYSeguroMulti!_Pago.Fijo</v>
      </c>
      <c r="D33" s="616">
        <v>15</v>
      </c>
      <c r="F33" s="18">
        <f ca="1" xml:space="preserve"> ( __Saldo_Final _Anterior + T_SeguroAnual!__Saldo_Ciclico ) * ( __Stopper_Saldo_Inicial )</f>
        <v>9.0949470177292824E-12</v>
      </c>
      <c r="G33" s="83">
        <f ca="1">MIN( CHOOSE(i.Opcion.Abono, __Capital_Opcion_1, __Capital_Opcion_2, __Capital_Opcion_3) _Actual, __Saldo_Inicial _Actual)</f>
        <v>0</v>
      </c>
      <c r="H33" s="83">
        <f t="shared" ca="1" si="0"/>
        <v>3.2590226813529929E-15</v>
      </c>
      <c r="I33" s="84">
        <f ca="1">T_AutoYSeguroMulti!__Dias_Interes_Periodo</f>
        <v>30</v>
      </c>
      <c r="J33" s="84">
        <f t="shared" ca="1" si="1"/>
        <v>9.7770680440589784E-14</v>
      </c>
      <c r="K33" s="84">
        <f t="shared" ca="1" si="2"/>
        <v>1.1732481652870774E-14</v>
      </c>
      <c r="L33" s="83">
        <f t="shared" ca="1" si="3"/>
        <v>1.0950316209346055E-13</v>
      </c>
      <c r="M33" s="643">
        <f>INDEX(TablaCliente!_CapturaAbonoAnticipadoTablaCliente,__Amortizacion)</f>
        <v>0</v>
      </c>
      <c r="N33" s="84">
        <f t="shared" ca="1" si="4"/>
        <v>9.0949470177292824E-12</v>
      </c>
      <c r="P33" s="615" t="b">
        <f ca="1">__Saldo_Final _Anterior &gt; 0</f>
        <v>1</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c r="A34" s="615" t="s">
        <v>5043</v>
      </c>
      <c r="B34" s="615" t="str">
        <f>CONCATENATE(i.Nombre.Tabla.Estandar,"!",A34)</f>
        <v>T_AutoYSeguroMulti!__Capital</v>
      </c>
      <c r="D34" s="616">
        <v>16</v>
      </c>
      <c r="F34" s="18">
        <f ca="1" xml:space="preserve"> ( __Saldo_Final _Anterior + T_SeguroAnual!__Saldo_Ciclico ) * ( __Stopper_Saldo_Inicial )</f>
        <v>9.0949470177292824E-12</v>
      </c>
      <c r="G34" s="83">
        <f ca="1">MIN( CHOOSE(i.Opcion.Abono, __Capital_Opcion_1, __Capital_Opcion_2, __Capital_Opcion_3) _Actual, __Saldo_Inicial _Actual)</f>
        <v>0</v>
      </c>
      <c r="H34" s="83">
        <f t="shared" ca="1" si="0"/>
        <v>3.2590226813529929E-15</v>
      </c>
      <c r="I34" s="84">
        <f ca="1">T_AutoYSeguroMulti!__Dias_Interes_Periodo</f>
        <v>30</v>
      </c>
      <c r="J34" s="84">
        <f t="shared" ca="1" si="1"/>
        <v>9.7770680440589784E-14</v>
      </c>
      <c r="K34" s="84">
        <f t="shared" ca="1" si="2"/>
        <v>1.1732481652870774E-14</v>
      </c>
      <c r="L34" s="83">
        <f t="shared" ca="1" si="3"/>
        <v>1.0950316209346055E-13</v>
      </c>
      <c r="M34" s="643">
        <f>INDEX(TablaCliente!_CapturaAbonoAnticipadoTablaCliente,__Amortizacion)</f>
        <v>0</v>
      </c>
      <c r="N34" s="84">
        <f t="shared" ca="1" si="4"/>
        <v>9.0949470177292824E-12</v>
      </c>
      <c r="P34" s="615" t="b">
        <f ca="1">__Saldo_Final _Anterior &gt; 0</f>
        <v>1</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c r="A35" s="615" t="s">
        <v>5044</v>
      </c>
      <c r="B35" s="615" t="str">
        <f>CONCATENATE(i.Nombre.Tabla.Estandar,"!",A35)</f>
        <v>T_AutoYSeguroMulti!__Dias_Interes_Periodo</v>
      </c>
      <c r="D35" s="616">
        <v>17</v>
      </c>
      <c r="F35" s="18">
        <f ca="1" xml:space="preserve"> ( __Saldo_Final _Anterior + T_SeguroAnual!__Saldo_Ciclico ) * ( __Stopper_Saldo_Inicial )</f>
        <v>9.0949470177292824E-12</v>
      </c>
      <c r="G35" s="83">
        <f ca="1">MIN( CHOOSE(i.Opcion.Abono, __Capital_Opcion_1, __Capital_Opcion_2, __Capital_Opcion_3) _Actual, __Saldo_Inicial _Actual)</f>
        <v>0</v>
      </c>
      <c r="H35" s="83">
        <f t="shared" ca="1" si="0"/>
        <v>3.2590226813529929E-15</v>
      </c>
      <c r="I35" s="84">
        <f ca="1">T_AutoYSeguroMulti!__Dias_Interes_Periodo</f>
        <v>30</v>
      </c>
      <c r="J35" s="84">
        <f t="shared" ca="1" si="1"/>
        <v>9.7770680440589784E-14</v>
      </c>
      <c r="K35" s="84">
        <f t="shared" ca="1" si="2"/>
        <v>1.1732481652870774E-14</v>
      </c>
      <c r="L35" s="83">
        <f t="shared" ca="1" si="3"/>
        <v>1.0950316209346055E-13</v>
      </c>
      <c r="M35" s="643">
        <f>INDEX(TablaCliente!_CapturaAbonoAnticipadoTablaCliente,__Amortizacion)</f>
        <v>0</v>
      </c>
      <c r="N35" s="84">
        <f t="shared" ca="1" si="4"/>
        <v>9.0949470177292824E-12</v>
      </c>
      <c r="P35" s="615" t="b">
        <f ca="1">__Saldo_Final _Anterior &gt; 0</f>
        <v>1</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c r="A36" s="615" t="s">
        <v>5045</v>
      </c>
      <c r="B36" s="615" t="str">
        <f>CONCATENATE(i.Nombre.Tabla.Ciclica,"!",A36)</f>
        <v>T_SeguroAnual!__Saldo_Ciclico</v>
      </c>
      <c r="D36" s="616">
        <v>18</v>
      </c>
      <c r="F36" s="18">
        <f ca="1" xml:space="preserve"> ( __Saldo_Final _Anterior + T_SeguroAnual!__Saldo_Ciclico ) * ( __Stopper_Saldo_Inicial )</f>
        <v>9.0949470177292824E-12</v>
      </c>
      <c r="G36" s="83">
        <f ca="1">MIN( CHOOSE(i.Opcion.Abono, __Capital_Opcion_1, __Capital_Opcion_2, __Capital_Opcion_3) _Actual, __Saldo_Inicial _Actual)</f>
        <v>0</v>
      </c>
      <c r="H36" s="83">
        <f t="shared" ca="1" si="0"/>
        <v>3.2590226813529929E-15</v>
      </c>
      <c r="I36" s="84">
        <f ca="1">T_AutoYSeguroMulti!__Dias_Interes_Periodo</f>
        <v>30</v>
      </c>
      <c r="J36" s="84">
        <f t="shared" ca="1" si="1"/>
        <v>9.7770680440589784E-14</v>
      </c>
      <c r="K36" s="84">
        <f t="shared" ca="1" si="2"/>
        <v>1.1732481652870774E-14</v>
      </c>
      <c r="L36" s="83">
        <f t="shared" ca="1" si="3"/>
        <v>1.0950316209346055E-13</v>
      </c>
      <c r="M36" s="643">
        <f>INDEX(TablaCliente!_CapturaAbonoAnticipadoTablaCliente,__Amortizacion)</f>
        <v>0</v>
      </c>
      <c r="N36" s="84">
        <f t="shared" ca="1" si="4"/>
        <v>9.0949470177292824E-12</v>
      </c>
      <c r="P36" s="615" t="b">
        <f ca="1">__Saldo_Final _Anterior &gt; 0</f>
        <v>1</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c r="A37" s="615" t="s">
        <v>5046</v>
      </c>
      <c r="B37" s="615" t="str">
        <f>CONCATENATE(i.Nombre.Tabla.Ciclica,"!",A37)</f>
        <v>T_SeguroAnual!__Pago_Fijo</v>
      </c>
      <c r="D37" s="616">
        <v>19</v>
      </c>
      <c r="F37" s="18">
        <f ca="1" xml:space="preserve"> ( __Saldo_Final _Anterior + T_SeguroAnual!__Saldo_Ciclico ) * ( __Stopper_Saldo_Inicial )</f>
        <v>9.0949470177292824E-12</v>
      </c>
      <c r="G37" s="83">
        <f ca="1">MIN( CHOOSE(i.Opcion.Abono, __Capital_Opcion_1, __Capital_Opcion_2, __Capital_Opcion_3) _Actual, __Saldo_Inicial _Actual)</f>
        <v>0</v>
      </c>
      <c r="H37" s="83">
        <f t="shared" ca="1" si="0"/>
        <v>3.2590226813529929E-15</v>
      </c>
      <c r="I37" s="84">
        <f ca="1">T_AutoYSeguroMulti!__Dias_Interes_Periodo</f>
        <v>30</v>
      </c>
      <c r="J37" s="84">
        <f t="shared" ca="1" si="1"/>
        <v>9.7770680440589784E-14</v>
      </c>
      <c r="K37" s="84">
        <f t="shared" ca="1" si="2"/>
        <v>1.1732481652870774E-14</v>
      </c>
      <c r="L37" s="83">
        <f t="shared" ca="1" si="3"/>
        <v>1.0950316209346055E-13</v>
      </c>
      <c r="M37" s="643">
        <f>INDEX(TablaCliente!_CapturaAbonoAnticipadoTablaCliente,__Amortizacion)</f>
        <v>0</v>
      </c>
      <c r="N37" s="84">
        <f t="shared" ca="1" si="4"/>
        <v>9.0949470177292824E-12</v>
      </c>
      <c r="P37" s="615" t="b">
        <f ca="1">__Saldo_Final _Anterior &gt; 0</f>
        <v>1</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c r="A38" s="615" t="s">
        <v>5043</v>
      </c>
      <c r="B38" s="615" t="str">
        <f>CONCATENATE(i.Nombre.Tabla.Ciclica,"!",A38)</f>
        <v>T_SeguroAnual!__Capital</v>
      </c>
      <c r="D38" s="616">
        <v>20</v>
      </c>
      <c r="F38" s="18">
        <f ca="1" xml:space="preserve"> ( __Saldo_Final _Anterior + T_SeguroAnual!__Saldo_Ciclico ) * ( __Stopper_Saldo_Inicial )</f>
        <v>9.0949470177292824E-12</v>
      </c>
      <c r="G38" s="83">
        <f ca="1">MIN( CHOOSE(i.Opcion.Abono, __Capital_Opcion_1, __Capital_Opcion_2, __Capital_Opcion_3) _Actual, __Saldo_Inicial _Actual)</f>
        <v>0</v>
      </c>
      <c r="H38" s="83">
        <f t="shared" ca="1" si="0"/>
        <v>3.2590226813529929E-15</v>
      </c>
      <c r="I38" s="84">
        <f ca="1">T_AutoYSeguroMulti!__Dias_Interes_Periodo</f>
        <v>30</v>
      </c>
      <c r="J38" s="84">
        <f t="shared" ca="1" si="1"/>
        <v>9.7770680440589784E-14</v>
      </c>
      <c r="K38" s="84">
        <f t="shared" ca="1" si="2"/>
        <v>1.1732481652870774E-14</v>
      </c>
      <c r="L38" s="83">
        <f t="shared" ca="1" si="3"/>
        <v>1.0950316209346055E-13</v>
      </c>
      <c r="M38" s="643">
        <f>INDEX(TablaCliente!_CapturaAbonoAnticipadoTablaCliente,__Amortizacion)</f>
        <v>0</v>
      </c>
      <c r="N38" s="84">
        <f t="shared" ca="1" si="4"/>
        <v>9.0949470177292824E-12</v>
      </c>
      <c r="P38" s="615" t="b">
        <f ca="1">__Saldo_Final _Anterior &gt; 0</f>
        <v>1</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c r="A39" s="615" t="s">
        <v>5047</v>
      </c>
      <c r="B39" s="615" t="str">
        <f>CONCATENATE(i.Nombre.Tabla.Ciclica,"!",A39)</f>
        <v>T_SeguroAnual!__Abono_Sobrante</v>
      </c>
      <c r="D39" s="616">
        <v>21</v>
      </c>
      <c r="F39" s="18">
        <f ca="1" xml:space="preserve"> ( __Saldo_Final _Anterior + T_SeguroAnual!__Saldo_Ciclico ) * ( __Stopper_Saldo_Inicial )</f>
        <v>9.0949470177292824E-12</v>
      </c>
      <c r="G39" s="83">
        <f ca="1">MIN( CHOOSE(i.Opcion.Abono, __Capital_Opcion_1, __Capital_Opcion_2, __Capital_Opcion_3) _Actual, __Saldo_Inicial _Actual)</f>
        <v>0</v>
      </c>
      <c r="H39" s="83">
        <f t="shared" ca="1" si="0"/>
        <v>3.2590226813529929E-15</v>
      </c>
      <c r="I39" s="84">
        <f ca="1">T_AutoYSeguroMulti!__Dias_Interes_Periodo</f>
        <v>30</v>
      </c>
      <c r="J39" s="84">
        <f t="shared" ca="1" si="1"/>
        <v>9.7770680440589784E-14</v>
      </c>
      <c r="K39" s="84">
        <f t="shared" ca="1" si="2"/>
        <v>1.1732481652870774E-14</v>
      </c>
      <c r="L39" s="83">
        <f t="shared" ca="1" si="3"/>
        <v>1.0950316209346055E-13</v>
      </c>
      <c r="M39" s="643">
        <f>INDEX(TablaCliente!_CapturaAbonoAnticipadoTablaCliente,__Amortizacion)</f>
        <v>0</v>
      </c>
      <c r="N39" s="84">
        <f t="shared" ca="1" si="4"/>
        <v>9.0949470177292824E-12</v>
      </c>
      <c r="P39" s="615" t="b">
        <f ca="1">__Saldo_Final _Anterior &gt; 0</f>
        <v>1</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c r="D40" s="616">
        <v>22</v>
      </c>
      <c r="F40" s="18">
        <f ca="1" xml:space="preserve"> ( __Saldo_Final _Anterior + T_SeguroAnual!__Saldo_Ciclico ) * ( __Stopper_Saldo_Inicial )</f>
        <v>9.0949470177292824E-12</v>
      </c>
      <c r="G40" s="83">
        <f ca="1">MIN( CHOOSE(i.Opcion.Abono, __Capital_Opcion_1, __Capital_Opcion_2, __Capital_Opcion_3) _Actual, __Saldo_Inicial _Actual)</f>
        <v>0</v>
      </c>
      <c r="H40" s="83">
        <f t="shared" ca="1" si="0"/>
        <v>3.2590226813529929E-15</v>
      </c>
      <c r="I40" s="84">
        <f ca="1">T_AutoYSeguroMulti!__Dias_Interes_Periodo</f>
        <v>30</v>
      </c>
      <c r="J40" s="84">
        <f t="shared" ca="1" si="1"/>
        <v>9.7770680440589784E-14</v>
      </c>
      <c r="K40" s="84">
        <f t="shared" ca="1" si="2"/>
        <v>1.1732481652870774E-14</v>
      </c>
      <c r="L40" s="83">
        <f t="shared" ca="1" si="3"/>
        <v>1.0950316209346055E-13</v>
      </c>
      <c r="M40" s="643">
        <f>INDEX(TablaCliente!_CapturaAbonoAnticipadoTablaCliente,__Amortizacion)</f>
        <v>0</v>
      </c>
      <c r="N40" s="84">
        <f t="shared" ca="1" si="4"/>
        <v>9.0949470177292824E-12</v>
      </c>
      <c r="P40" s="615" t="b">
        <f ca="1">__Saldo_Final _Anterior &gt; 0</f>
        <v>1</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c r="A41" s="231" t="s">
        <v>121</v>
      </c>
      <c r="B41" s="235" t="e">
        <f ca="1">MIN( MATCH(0, __Saldo_Final,0), i.Numero.pagos )</f>
        <v>#N/A</v>
      </c>
      <c r="D41" s="616">
        <v>23</v>
      </c>
      <c r="F41" s="18">
        <f ca="1" xml:space="preserve"> ( __Saldo_Final _Anterior + T_SeguroAnual!__Saldo_Ciclico ) * ( __Stopper_Saldo_Inicial )</f>
        <v>9.0949470177292824E-12</v>
      </c>
      <c r="G41" s="83">
        <f ca="1">MIN( CHOOSE(i.Opcion.Abono, __Capital_Opcion_1, __Capital_Opcion_2, __Capital_Opcion_3) _Actual, __Saldo_Inicial _Actual)</f>
        <v>0</v>
      </c>
      <c r="H41" s="83">
        <f t="shared" ca="1" si="0"/>
        <v>3.2590226813529929E-15</v>
      </c>
      <c r="I41" s="84">
        <f ca="1">T_AutoYSeguroMulti!__Dias_Interes_Periodo</f>
        <v>30</v>
      </c>
      <c r="J41" s="84">
        <f t="shared" ca="1" si="1"/>
        <v>9.7770680440589784E-14</v>
      </c>
      <c r="K41" s="84">
        <f t="shared" ca="1" si="2"/>
        <v>1.1732481652870774E-14</v>
      </c>
      <c r="L41" s="83">
        <f t="shared" ca="1" si="3"/>
        <v>1.0950316209346055E-13</v>
      </c>
      <c r="M41" s="643">
        <f>INDEX(TablaCliente!_CapturaAbonoAnticipadoTablaCliente,__Amortizacion)</f>
        <v>0</v>
      </c>
      <c r="N41" s="84">
        <f t="shared" ca="1" si="4"/>
        <v>9.0949470177292824E-12</v>
      </c>
      <c r="P41" s="615" t="b">
        <f ca="1">__Saldo_Final _Anterior &gt; 0</f>
        <v>1</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c r="D42" s="616">
        <v>24</v>
      </c>
      <c r="F42" s="18">
        <f ca="1" xml:space="preserve"> ( __Saldo_Final _Anterior + T_SeguroAnual!__Saldo_Ciclico ) * ( __Stopper_Saldo_Inicial )</f>
        <v>9.0949470177292824E-12</v>
      </c>
      <c r="G42" s="83">
        <f ca="1">MIN( CHOOSE(i.Opcion.Abono, __Capital_Opcion_1, __Capital_Opcion_2, __Capital_Opcion_3) _Actual, __Saldo_Inicial _Actual)</f>
        <v>0</v>
      </c>
      <c r="H42" s="83">
        <f t="shared" ca="1" si="0"/>
        <v>3.2590226813529929E-15</v>
      </c>
      <c r="I42" s="84">
        <f ca="1">T_AutoYSeguroMulti!__Dias_Interes_Periodo</f>
        <v>30</v>
      </c>
      <c r="J42" s="84">
        <f t="shared" ca="1" si="1"/>
        <v>9.7770680440589784E-14</v>
      </c>
      <c r="K42" s="84">
        <f t="shared" ca="1" si="2"/>
        <v>1.1732481652870774E-14</v>
      </c>
      <c r="L42" s="83">
        <f t="shared" ca="1" si="3"/>
        <v>1.0950316209346055E-13</v>
      </c>
      <c r="M42" s="643">
        <f>INDEX(TablaCliente!_CapturaAbonoAnticipadoTablaCliente,__Amortizacion)</f>
        <v>0</v>
      </c>
      <c r="N42" s="84">
        <f t="shared" ca="1" si="4"/>
        <v>9.0949470177292824E-12</v>
      </c>
      <c r="P42" s="615" t="b">
        <f ca="1">__Saldo_Final _Anterior &gt; 0</f>
        <v>1</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c r="A43" s="648" t="s">
        <v>5020</v>
      </c>
      <c r="B43" s="647"/>
      <c r="C43" s="615"/>
      <c r="D43" s="98">
        <v>25</v>
      </c>
      <c r="F43" s="18">
        <f ca="1" xml:space="preserve"> ( __Saldo_Final _Anterior + T_SeguroAnual!__Saldo_Ciclico ) * ( __Stopper_Saldo_Inicial )</f>
        <v>9.0949470177292824E-12</v>
      </c>
      <c r="G43" s="83">
        <f ca="1">MIN( CHOOSE(i.Opcion.Abono, __Capital_Opcion_1, __Capital_Opcion_2, __Capital_Opcion_3) _Actual, __Saldo_Inicial _Actual)</f>
        <v>0</v>
      </c>
      <c r="H43" s="83">
        <f t="shared" ca="1" si="0"/>
        <v>3.2590226813529929E-15</v>
      </c>
      <c r="I43" s="84">
        <f ca="1">T_AutoYSeguroMulti!__Dias_Interes_Periodo</f>
        <v>30</v>
      </c>
      <c r="J43" s="84">
        <f t="shared" ca="1" si="1"/>
        <v>9.7770680440589784E-14</v>
      </c>
      <c r="K43" s="84">
        <f t="shared" ca="1" si="2"/>
        <v>1.1732481652870774E-14</v>
      </c>
      <c r="L43" s="83">
        <f t="shared" ca="1" si="3"/>
        <v>1.0950316209346055E-13</v>
      </c>
      <c r="M43" s="643">
        <f>INDEX(TablaCliente!_CapturaAbonoAnticipadoTablaCliente,__Amortizacion)</f>
        <v>0</v>
      </c>
      <c r="N43" s="84">
        <f t="shared" ca="1" si="4"/>
        <v>9.0949470177292824E-12</v>
      </c>
      <c r="P43" s="615" t="b">
        <f ca="1">__Saldo_Final _Anterior &gt; 0</f>
        <v>1</v>
      </c>
      <c r="R43" s="84">
        <f ca="1" xml:space="preserve"> T_AutoYSeguroMulti!_Pago.Fijo + T_SeguroAnual!__Pago_Fijo</f>
        <v>12689.724443555424</v>
      </c>
      <c r="S43" s="84">
        <f ca="1" xml:space="preserve"> T_AutoYSeguroMulti!__Capital + T_SeguroAnual!__Capital</f>
        <v>0</v>
      </c>
      <c r="T43" s="84">
        <f t="shared" ca="1" si="5"/>
        <v>12689.724443555424</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c r="A44" s="660" t="s">
        <v>5027</v>
      </c>
      <c r="B44" s="219"/>
      <c r="D44" s="616">
        <v>26</v>
      </c>
      <c r="F44" s="18">
        <f ca="1" xml:space="preserve"> ( __Saldo_Final _Anterior + T_SeguroAnual!__Saldo_Ciclico ) * ( __Stopper_Saldo_Inicial )</f>
        <v>9.0949470177292824E-12</v>
      </c>
      <c r="G44" s="83">
        <f ca="1">MIN( CHOOSE(i.Opcion.Abono, __Capital_Opcion_1, __Capital_Opcion_2, __Capital_Opcion_3) _Actual, __Saldo_Inicial _Actual)</f>
        <v>0</v>
      </c>
      <c r="H44" s="83">
        <f t="shared" ca="1" si="0"/>
        <v>3.2590226813529929E-15</v>
      </c>
      <c r="I44" s="84">
        <f ca="1">T_AutoYSeguroMulti!__Dias_Interes_Periodo</f>
        <v>30</v>
      </c>
      <c r="J44" s="84">
        <f t="shared" ca="1" si="1"/>
        <v>9.7770680440589784E-14</v>
      </c>
      <c r="K44" s="84">
        <f t="shared" ca="1" si="2"/>
        <v>1.1732481652870774E-14</v>
      </c>
      <c r="L44" s="83">
        <f t="shared" ca="1" si="3"/>
        <v>1.0950316209346055E-13</v>
      </c>
      <c r="M44" s="643">
        <f>INDEX(TablaCliente!_CapturaAbonoAnticipadoTablaCliente,__Amortizacion)</f>
        <v>0</v>
      </c>
      <c r="N44" s="84">
        <f t="shared" ca="1" si="4"/>
        <v>9.0949470177292824E-12</v>
      </c>
      <c r="P44" s="615" t="b">
        <f ca="1">__Saldo_Final _Anterior &gt; 0</f>
        <v>1</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c r="A45" s="659" t="s">
        <v>5022</v>
      </c>
      <c r="B45" s="659" t="s">
        <v>455</v>
      </c>
      <c r="D45" s="616">
        <v>27</v>
      </c>
      <c r="F45" s="18">
        <f ca="1" xml:space="preserve"> ( __Saldo_Final _Anterior + T_SeguroAnual!__Saldo_Ciclico ) * ( __Stopper_Saldo_Inicial )</f>
        <v>9.0949470177292824E-12</v>
      </c>
      <c r="G45" s="83">
        <f ca="1">MIN( CHOOSE(i.Opcion.Abono, __Capital_Opcion_1, __Capital_Opcion_2, __Capital_Opcion_3) _Actual, __Saldo_Inicial _Actual)</f>
        <v>0</v>
      </c>
      <c r="H45" s="83">
        <f t="shared" ca="1" si="0"/>
        <v>3.2590226813529929E-15</v>
      </c>
      <c r="I45" s="84">
        <f ca="1">T_AutoYSeguroMulti!__Dias_Interes_Periodo</f>
        <v>30</v>
      </c>
      <c r="J45" s="84">
        <f t="shared" ca="1" si="1"/>
        <v>9.7770680440589784E-14</v>
      </c>
      <c r="K45" s="84">
        <f t="shared" ca="1" si="2"/>
        <v>1.1732481652870774E-14</v>
      </c>
      <c r="L45" s="83">
        <f t="shared" ca="1" si="3"/>
        <v>1.0950316209346055E-13</v>
      </c>
      <c r="M45" s="643">
        <f>INDEX(TablaCliente!_CapturaAbonoAnticipadoTablaCliente,__Amortizacion)</f>
        <v>0</v>
      </c>
      <c r="N45" s="84">
        <f t="shared" ca="1" si="4"/>
        <v>9.0949470177292824E-12</v>
      </c>
      <c r="P45" s="615" t="b">
        <f ca="1">__Saldo_Final _Anterior &gt; 0</f>
        <v>1</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c r="A46" s="616" t="s">
        <v>5039</v>
      </c>
      <c r="B46" s="30" t="str">
        <f>_Rango.Ciclico.Abono.Sobrante</f>
        <v>T_SeguroAnual!__Abono_Sobrante</v>
      </c>
      <c r="D46" s="616">
        <v>28</v>
      </c>
      <c r="F46" s="18">
        <f ca="1" xml:space="preserve"> ( __Saldo_Final _Anterior + T_SeguroAnual!__Saldo_Ciclico ) * ( __Stopper_Saldo_Inicial )</f>
        <v>9.0949470177292824E-12</v>
      </c>
      <c r="G46" s="83">
        <f ca="1">MIN( CHOOSE(i.Opcion.Abono, __Capital_Opcion_1, __Capital_Opcion_2, __Capital_Opcion_3) _Actual, __Saldo_Inicial _Actual)</f>
        <v>0</v>
      </c>
      <c r="H46" s="83">
        <f t="shared" ca="1" si="0"/>
        <v>3.2590226813529929E-15</v>
      </c>
      <c r="I46" s="84">
        <f ca="1">T_AutoYSeguroMulti!__Dias_Interes_Periodo</f>
        <v>30</v>
      </c>
      <c r="J46" s="84">
        <f t="shared" ca="1" si="1"/>
        <v>9.7770680440589784E-14</v>
      </c>
      <c r="K46" s="84">
        <f t="shared" ca="1" si="2"/>
        <v>1.1732481652870774E-14</v>
      </c>
      <c r="L46" s="83">
        <f t="shared" ca="1" si="3"/>
        <v>1.0950316209346055E-13</v>
      </c>
      <c r="M46" s="643">
        <f>INDEX(TablaCliente!_CapturaAbonoAnticipadoTablaCliente,__Amortizacion)</f>
        <v>0</v>
      </c>
      <c r="N46" s="84">
        <f t="shared" ca="1" si="4"/>
        <v>9.0949470177292824E-12</v>
      </c>
      <c r="P46" s="615" t="b">
        <f ca="1">__Saldo_Final _Anterior &gt; 0</f>
        <v>1</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c r="A47" s="616" t="s">
        <v>5038</v>
      </c>
      <c r="B47" s="30" t="str">
        <f>_Rango.Ciclico.Capital</f>
        <v>T_SeguroAnual!__Capital</v>
      </c>
      <c r="D47" s="616">
        <v>29</v>
      </c>
      <c r="F47" s="18">
        <f ca="1" xml:space="preserve"> ( __Saldo_Final _Anterior + T_SeguroAnual!__Saldo_Ciclico ) * ( __Stopper_Saldo_Inicial )</f>
        <v>9.0949470177292824E-12</v>
      </c>
      <c r="G47" s="83">
        <f ca="1">MIN( CHOOSE(i.Opcion.Abono, __Capital_Opcion_1, __Capital_Opcion_2, __Capital_Opcion_3) _Actual, __Saldo_Inicial _Actual)</f>
        <v>0</v>
      </c>
      <c r="H47" s="83">
        <f t="shared" ca="1" si="0"/>
        <v>3.2590226813529929E-15</v>
      </c>
      <c r="I47" s="84">
        <f ca="1">T_AutoYSeguroMulti!__Dias_Interes_Periodo</f>
        <v>30</v>
      </c>
      <c r="J47" s="84">
        <f t="shared" ca="1" si="1"/>
        <v>9.7770680440589784E-14</v>
      </c>
      <c r="K47" s="84">
        <f t="shared" ca="1" si="2"/>
        <v>1.1732481652870774E-14</v>
      </c>
      <c r="L47" s="83">
        <f t="shared" ca="1" si="3"/>
        <v>1.0950316209346055E-13</v>
      </c>
      <c r="M47" s="643">
        <f>INDEX(TablaCliente!_CapturaAbonoAnticipadoTablaCliente,__Amortizacion)</f>
        <v>0</v>
      </c>
      <c r="N47" s="84">
        <f t="shared" ca="1" si="4"/>
        <v>9.0949470177292824E-12</v>
      </c>
      <c r="P47" s="615" t="b">
        <f ca="1">__Saldo_Final _Anterior &gt; 0</f>
        <v>1</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c r="A48" s="616" t="s">
        <v>5037</v>
      </c>
      <c r="B48" s="30" t="str">
        <f>_Rango.Ciclico.Pago</f>
        <v>T_SeguroAnual!__Pago_Fijo</v>
      </c>
      <c r="D48" s="616">
        <v>30</v>
      </c>
      <c r="F48" s="18">
        <f ca="1" xml:space="preserve"> ( __Saldo_Final _Anterior + T_SeguroAnual!__Saldo_Ciclico ) * ( __Stopper_Saldo_Inicial )</f>
        <v>9.0949470177292824E-12</v>
      </c>
      <c r="G48" s="83">
        <f ca="1">MIN( CHOOSE(i.Opcion.Abono, __Capital_Opcion_1, __Capital_Opcion_2, __Capital_Opcion_3) _Actual, __Saldo_Inicial _Actual)</f>
        <v>0</v>
      </c>
      <c r="H48" s="83">
        <f t="shared" ca="1" si="0"/>
        <v>3.2590226813529929E-15</v>
      </c>
      <c r="I48" s="84">
        <f ca="1">T_AutoYSeguroMulti!__Dias_Interes_Periodo</f>
        <v>30</v>
      </c>
      <c r="J48" s="84">
        <f t="shared" ca="1" si="1"/>
        <v>9.7770680440589784E-14</v>
      </c>
      <c r="K48" s="84">
        <f t="shared" ca="1" si="2"/>
        <v>1.1732481652870774E-14</v>
      </c>
      <c r="L48" s="83">
        <f t="shared" ca="1" si="3"/>
        <v>1.0950316209346055E-13</v>
      </c>
      <c r="M48" s="643">
        <f>INDEX(TablaCliente!_CapturaAbonoAnticipadoTablaCliente,__Amortizacion)</f>
        <v>0</v>
      </c>
      <c r="N48" s="84">
        <f t="shared" ca="1" si="4"/>
        <v>9.0949470177292824E-12</v>
      </c>
      <c r="P48" s="615" t="b">
        <f ca="1">__Saldo_Final _Anterior &gt; 0</f>
        <v>1</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c r="A49" s="616" t="s">
        <v>5036</v>
      </c>
      <c r="B49" s="30" t="str">
        <f>_Rango.Ciclico.Saldo</f>
        <v>T_SeguroAnual!__Saldo_Ciclico</v>
      </c>
      <c r="D49" s="616">
        <v>31</v>
      </c>
      <c r="F49" s="18">
        <f ca="1" xml:space="preserve"> ( __Saldo_Final _Anterior + T_SeguroAnual!__Saldo_Ciclico ) * ( __Stopper_Saldo_Inicial )</f>
        <v>9.0949470177292824E-12</v>
      </c>
      <c r="G49" s="83">
        <f ca="1">MIN( CHOOSE(i.Opcion.Abono, __Capital_Opcion_1, __Capital_Opcion_2, __Capital_Opcion_3) _Actual, __Saldo_Inicial _Actual)</f>
        <v>0</v>
      </c>
      <c r="H49" s="83">
        <f t="shared" ca="1" si="0"/>
        <v>3.2590226813529929E-15</v>
      </c>
      <c r="I49" s="84">
        <f ca="1">T_AutoYSeguroMulti!__Dias_Interes_Periodo</f>
        <v>30</v>
      </c>
      <c r="J49" s="84">
        <f t="shared" ca="1" si="1"/>
        <v>9.7770680440589784E-14</v>
      </c>
      <c r="K49" s="84">
        <f t="shared" ca="1" si="2"/>
        <v>1.1732481652870774E-14</v>
      </c>
      <c r="L49" s="83">
        <f t="shared" ca="1" si="3"/>
        <v>1.0950316209346055E-13</v>
      </c>
      <c r="M49" s="643">
        <f>INDEX(TablaCliente!_CapturaAbonoAnticipadoTablaCliente,__Amortizacion)</f>
        <v>0</v>
      </c>
      <c r="N49" s="84">
        <f t="shared" ca="1" si="4"/>
        <v>9.0949470177292824E-12</v>
      </c>
      <c r="P49" s="615" t="b">
        <f ca="1">__Saldo_Final _Anterior &gt; 0</f>
        <v>1</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c r="A50" s="616" t="s">
        <v>5035</v>
      </c>
      <c r="B50" s="30" t="str">
        <f>_Rango.Estandar.Capital</f>
        <v>T_AutoYSeguroMulti!__Capital</v>
      </c>
      <c r="D50" s="616">
        <v>32</v>
      </c>
      <c r="F50" s="18">
        <f ca="1" xml:space="preserve"> ( __Saldo_Final _Anterior + T_SeguroAnual!__Saldo_Ciclico ) * ( __Stopper_Saldo_Inicial )</f>
        <v>9.0949470177292824E-12</v>
      </c>
      <c r="G50" s="83">
        <f ca="1">MIN( CHOOSE(i.Opcion.Abono, __Capital_Opcion_1, __Capital_Opcion_2, __Capital_Opcion_3) _Actual, __Saldo_Inicial _Actual)</f>
        <v>0</v>
      </c>
      <c r="H50" s="83">
        <f t="shared" ca="1" si="0"/>
        <v>3.2590226813529929E-15</v>
      </c>
      <c r="I50" s="84">
        <f ca="1">T_AutoYSeguroMulti!__Dias_Interes_Periodo</f>
        <v>30</v>
      </c>
      <c r="J50" s="84">
        <f t="shared" ca="1" si="1"/>
        <v>9.7770680440589784E-14</v>
      </c>
      <c r="K50" s="84">
        <f t="shared" ca="1" si="2"/>
        <v>1.1732481652870774E-14</v>
      </c>
      <c r="L50" s="83">
        <f t="shared" ca="1" si="3"/>
        <v>1.0950316209346055E-13</v>
      </c>
      <c r="M50" s="643">
        <f>INDEX(TablaCliente!_CapturaAbonoAnticipadoTablaCliente,__Amortizacion)</f>
        <v>0</v>
      </c>
      <c r="N50" s="84">
        <f t="shared" ca="1" si="4"/>
        <v>9.0949470177292824E-12</v>
      </c>
      <c r="P50" s="615" t="b">
        <f ca="1">__Saldo_Final _Anterior &gt; 0</f>
        <v>1</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c r="A51" s="616" t="s">
        <v>5034</v>
      </c>
      <c r="B51" s="30" t="str">
        <f>_Rango.Estandar.Pago</f>
        <v>T_AutoYSeguroMulti!_Pago.Fijo</v>
      </c>
      <c r="D51" s="616">
        <v>33</v>
      </c>
      <c r="F51" s="18">
        <f ca="1" xml:space="preserve"> ( __Saldo_Final _Anterior + T_SeguroAnual!__Saldo_Ciclico ) * ( __Stopper_Saldo_Inicial )</f>
        <v>9.0949470177292824E-12</v>
      </c>
      <c r="G51" s="83">
        <f ca="1">MIN( CHOOSE(i.Opcion.Abono, __Capital_Opcion_1, __Capital_Opcion_2, __Capital_Opcion_3) _Actual, __Saldo_Inicial _Actual)</f>
        <v>0</v>
      </c>
      <c r="H51" s="83">
        <f t="shared" ca="1" si="0"/>
        <v>3.2590226813529929E-15</v>
      </c>
      <c r="I51" s="84">
        <f ca="1">T_AutoYSeguroMulti!__Dias_Interes_Periodo</f>
        <v>30</v>
      </c>
      <c r="J51" s="84">
        <f t="shared" ca="1" si="1"/>
        <v>9.7770680440589784E-14</v>
      </c>
      <c r="K51" s="84">
        <f t="shared" ca="1" si="2"/>
        <v>1.1732481652870774E-14</v>
      </c>
      <c r="L51" s="83">
        <f t="shared" ca="1" si="3"/>
        <v>1.0950316209346055E-13</v>
      </c>
      <c r="M51" s="643">
        <f>INDEX(TablaCliente!_CapturaAbonoAnticipadoTablaCliente,__Amortizacion)</f>
        <v>0</v>
      </c>
      <c r="N51" s="84">
        <f t="shared" ca="1" si="4"/>
        <v>9.0949470177292824E-12</v>
      </c>
      <c r="P51" s="615" t="b">
        <f ca="1">__Saldo_Final _Anterior &gt; 0</f>
        <v>1</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c r="A52" s="616" t="s">
        <v>5033</v>
      </c>
      <c r="B52" s="30" t="str">
        <f>_Rango.Estandar.Saldo</f>
        <v>T_AutoYSeguroMulti!i.Monto.Financiar</v>
      </c>
      <c r="D52" s="616">
        <v>34</v>
      </c>
      <c r="F52" s="18">
        <f ca="1" xml:space="preserve"> ( __Saldo_Final _Anterior + T_SeguroAnual!__Saldo_Ciclico ) * ( __Stopper_Saldo_Inicial )</f>
        <v>9.0949470177292824E-12</v>
      </c>
      <c r="G52" s="83">
        <f ca="1">MIN( CHOOSE(i.Opcion.Abono, __Capital_Opcion_1, __Capital_Opcion_2, __Capital_Opcion_3) _Actual, __Saldo_Inicial _Actual)</f>
        <v>0</v>
      </c>
      <c r="H52" s="83">
        <f t="shared" ca="1" si="0"/>
        <v>3.2590226813529929E-15</v>
      </c>
      <c r="I52" s="84">
        <f ca="1">T_AutoYSeguroMulti!__Dias_Interes_Periodo</f>
        <v>30</v>
      </c>
      <c r="J52" s="84">
        <f t="shared" ca="1" si="1"/>
        <v>9.7770680440589784E-14</v>
      </c>
      <c r="K52" s="84">
        <f t="shared" ca="1" si="2"/>
        <v>1.1732481652870774E-14</v>
      </c>
      <c r="L52" s="83">
        <f t="shared" ca="1" si="3"/>
        <v>1.0950316209346055E-13</v>
      </c>
      <c r="M52" s="643">
        <f>INDEX(TablaCliente!_CapturaAbonoAnticipadoTablaCliente,__Amortizacion)</f>
        <v>0</v>
      </c>
      <c r="N52" s="84">
        <f t="shared" ca="1" si="4"/>
        <v>9.0949470177292824E-12</v>
      </c>
      <c r="P52" s="615" t="b">
        <f ca="1">__Saldo_Final _Anterior &gt; 0</f>
        <v>1</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c r="A53" s="616" t="s">
        <v>5032</v>
      </c>
      <c r="B53" s="30" t="str">
        <f>_Rango.Estandar.Dias.Periodo</f>
        <v>T_AutoYSeguroMulti!__Dias_Interes_Periodo</v>
      </c>
      <c r="D53" s="616">
        <v>35</v>
      </c>
      <c r="F53" s="18">
        <f ca="1" xml:space="preserve"> ( __Saldo_Final _Anterior + T_SeguroAnual!__Saldo_Ciclico ) * ( __Stopper_Saldo_Inicial )</f>
        <v>9.0949470177292824E-12</v>
      </c>
      <c r="G53" s="83">
        <f ca="1">MIN( CHOOSE(i.Opcion.Abono, __Capital_Opcion_1, __Capital_Opcion_2, __Capital_Opcion_3) _Actual, __Saldo_Inicial _Actual)</f>
        <v>0</v>
      </c>
      <c r="H53" s="83">
        <f t="shared" ca="1" si="0"/>
        <v>3.2590226813529929E-15</v>
      </c>
      <c r="I53" s="84">
        <f ca="1">T_AutoYSeguroMulti!__Dias_Interes_Periodo</f>
        <v>30</v>
      </c>
      <c r="J53" s="84">
        <f t="shared" ca="1" si="1"/>
        <v>9.7770680440589784E-14</v>
      </c>
      <c r="K53" s="84">
        <f t="shared" ca="1" si="2"/>
        <v>1.1732481652870774E-14</v>
      </c>
      <c r="L53" s="83">
        <f t="shared" ca="1" si="3"/>
        <v>1.0950316209346055E-13</v>
      </c>
      <c r="M53" s="643">
        <f>INDEX(TablaCliente!_CapturaAbonoAnticipadoTablaCliente,__Amortizacion)</f>
        <v>0</v>
      </c>
      <c r="N53" s="84">
        <f t="shared" ca="1" si="4"/>
        <v>9.0949470177292824E-12</v>
      </c>
      <c r="P53" s="615" t="b">
        <f ca="1">__Saldo_Final _Anterior &gt; 0</f>
        <v>1</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c r="A54" s="616" t="s">
        <v>5057</v>
      </c>
      <c r="B54" s="30" t="str">
        <f>i.Rango.Abono.Anticipado</f>
        <v>TablaCliente!_CapturaAbonoAnticipadoTablaCliente</v>
      </c>
      <c r="D54" s="616">
        <v>36</v>
      </c>
      <c r="F54" s="18">
        <f ca="1" xml:space="preserve"> ( __Saldo_Final _Anterior + T_SeguroAnual!__Saldo_Ciclico ) * ( __Stopper_Saldo_Inicial )</f>
        <v>9.0949470177292824E-12</v>
      </c>
      <c r="G54" s="83">
        <f ca="1">MIN( CHOOSE(i.Opcion.Abono, __Capital_Opcion_1, __Capital_Opcion_2, __Capital_Opcion_3) _Actual, __Saldo_Inicial _Actual)</f>
        <v>0</v>
      </c>
      <c r="H54" s="83">
        <f t="shared" ca="1" si="0"/>
        <v>3.2590226813529929E-15</v>
      </c>
      <c r="I54" s="84">
        <f ca="1">T_AutoYSeguroMulti!__Dias_Interes_Periodo</f>
        <v>30</v>
      </c>
      <c r="J54" s="84">
        <f t="shared" ca="1" si="1"/>
        <v>9.7770680440589784E-14</v>
      </c>
      <c r="K54" s="84">
        <f t="shared" ca="1" si="2"/>
        <v>1.1732481652870774E-14</v>
      </c>
      <c r="L54" s="83">
        <f t="shared" ca="1" si="3"/>
        <v>1.0950316209346055E-13</v>
      </c>
      <c r="M54" s="643">
        <f>INDEX(TablaCliente!_CapturaAbonoAnticipadoTablaCliente,__Amortizacion)</f>
        <v>0</v>
      </c>
      <c r="N54" s="84">
        <f t="shared" ca="1" si="4"/>
        <v>9.0949470177292824E-12</v>
      </c>
      <c r="P54" s="615" t="b">
        <f ca="1">__Saldo_Final _Anterior &gt; 0</f>
        <v>1</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c r="A55" s="30"/>
      <c r="B55" s="30"/>
      <c r="D55" s="616">
        <v>37</v>
      </c>
      <c r="F55" s="18">
        <f ca="1" xml:space="preserve"> ( __Saldo_Final _Anterior + T_SeguroAnual!__Saldo_Ciclico ) * ( __Stopper_Saldo_Inicial )</f>
        <v>9.0949470177292824E-12</v>
      </c>
      <c r="G55" s="83">
        <f ca="1">MIN( CHOOSE(i.Opcion.Abono, __Capital_Opcion_1, __Capital_Opcion_2, __Capital_Opcion_3) _Actual, __Saldo_Inicial _Actual)</f>
        <v>0</v>
      </c>
      <c r="H55" s="83">
        <f t="shared" ca="1" si="0"/>
        <v>3.2590226813529929E-15</v>
      </c>
      <c r="I55" s="84">
        <f ca="1">T_AutoYSeguroMulti!__Dias_Interes_Periodo</f>
        <v>30</v>
      </c>
      <c r="J55" s="84">
        <f t="shared" ca="1" si="1"/>
        <v>9.7770680440589784E-14</v>
      </c>
      <c r="K55" s="84">
        <f t="shared" ca="1" si="2"/>
        <v>1.1732481652870774E-14</v>
      </c>
      <c r="L55" s="83">
        <f t="shared" ca="1" si="3"/>
        <v>1.0950316209346055E-13</v>
      </c>
      <c r="M55" s="643">
        <f>INDEX(TablaCliente!_CapturaAbonoAnticipadoTablaCliente,__Amortizacion)</f>
        <v>0</v>
      </c>
      <c r="N55" s="84">
        <f t="shared" ca="1" si="4"/>
        <v>9.0949470177292824E-12</v>
      </c>
      <c r="P55" s="615" t="b">
        <f ca="1">__Saldo_Final _Anterior &gt; 0</f>
        <v>1</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c r="B56" s="615"/>
      <c r="D56" s="616">
        <v>38</v>
      </c>
      <c r="F56" s="18">
        <f ca="1" xml:space="preserve"> ( __Saldo_Final _Anterior + T_SeguroAnual!__Saldo_Ciclico ) * ( __Stopper_Saldo_Inicial )</f>
        <v>9.0949470177292824E-12</v>
      </c>
      <c r="G56" s="83">
        <f ca="1">MIN( CHOOSE(i.Opcion.Abono, __Capital_Opcion_1, __Capital_Opcion_2, __Capital_Opcion_3) _Actual, __Saldo_Inicial _Actual)</f>
        <v>0</v>
      </c>
      <c r="H56" s="83">
        <f t="shared" ca="1" si="0"/>
        <v>3.2590226813529929E-15</v>
      </c>
      <c r="I56" s="84">
        <f ca="1">T_AutoYSeguroMulti!__Dias_Interes_Periodo</f>
        <v>30</v>
      </c>
      <c r="J56" s="84">
        <f t="shared" ca="1" si="1"/>
        <v>9.7770680440589784E-14</v>
      </c>
      <c r="K56" s="84">
        <f t="shared" ca="1" si="2"/>
        <v>1.1732481652870774E-14</v>
      </c>
      <c r="L56" s="83">
        <f t="shared" ca="1" si="3"/>
        <v>1.0950316209346055E-13</v>
      </c>
      <c r="M56" s="643">
        <f>INDEX(TablaCliente!_CapturaAbonoAnticipadoTablaCliente,__Amortizacion)</f>
        <v>0</v>
      </c>
      <c r="N56" s="84">
        <f t="shared" ca="1" si="4"/>
        <v>9.0949470177292824E-12</v>
      </c>
      <c r="P56" s="615" t="b">
        <f ca="1">__Saldo_Final _Anterior &gt; 0</f>
        <v>1</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c r="B57" s="615"/>
      <c r="D57" s="616">
        <v>39</v>
      </c>
      <c r="F57" s="18">
        <f ca="1" xml:space="preserve"> ( __Saldo_Final _Anterior + T_SeguroAnual!__Saldo_Ciclico ) * ( __Stopper_Saldo_Inicial )</f>
        <v>9.0949470177292824E-12</v>
      </c>
      <c r="G57" s="83">
        <f ca="1">MIN( CHOOSE(i.Opcion.Abono, __Capital_Opcion_1, __Capital_Opcion_2, __Capital_Opcion_3) _Actual, __Saldo_Inicial _Actual)</f>
        <v>0</v>
      </c>
      <c r="H57" s="83">
        <f t="shared" ca="1" si="0"/>
        <v>3.2590226813529929E-15</v>
      </c>
      <c r="I57" s="84">
        <f ca="1">T_AutoYSeguroMulti!__Dias_Interes_Periodo</f>
        <v>30</v>
      </c>
      <c r="J57" s="84">
        <f t="shared" ca="1" si="1"/>
        <v>9.7770680440589784E-14</v>
      </c>
      <c r="K57" s="84">
        <f t="shared" ca="1" si="2"/>
        <v>1.1732481652870774E-14</v>
      </c>
      <c r="L57" s="83">
        <f t="shared" ca="1" si="3"/>
        <v>1.0950316209346055E-13</v>
      </c>
      <c r="M57" s="643">
        <f>INDEX(TablaCliente!_CapturaAbonoAnticipadoTablaCliente,__Amortizacion)</f>
        <v>0</v>
      </c>
      <c r="N57" s="84">
        <f t="shared" ca="1" si="4"/>
        <v>9.0949470177292824E-12</v>
      </c>
      <c r="P57" s="615" t="b">
        <f ca="1">__Saldo_Final _Anterior &gt; 0</f>
        <v>1</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c r="B58" s="615"/>
      <c r="D58" s="616">
        <v>40</v>
      </c>
      <c r="F58" s="18">
        <f ca="1" xml:space="preserve"> ( __Saldo_Final _Anterior + T_SeguroAnual!__Saldo_Ciclico ) * ( __Stopper_Saldo_Inicial )</f>
        <v>9.0949470177292824E-12</v>
      </c>
      <c r="G58" s="83">
        <f ca="1">MIN( CHOOSE(i.Opcion.Abono, __Capital_Opcion_1, __Capital_Opcion_2, __Capital_Opcion_3) _Actual, __Saldo_Inicial _Actual)</f>
        <v>0</v>
      </c>
      <c r="H58" s="83">
        <f t="shared" ca="1" si="0"/>
        <v>3.2590226813529929E-15</v>
      </c>
      <c r="I58" s="84">
        <f ca="1">T_AutoYSeguroMulti!__Dias_Interes_Periodo</f>
        <v>30</v>
      </c>
      <c r="J58" s="84">
        <f t="shared" ca="1" si="1"/>
        <v>9.7770680440589784E-14</v>
      </c>
      <c r="K58" s="84">
        <f t="shared" ca="1" si="2"/>
        <v>1.1732481652870774E-14</v>
      </c>
      <c r="L58" s="83">
        <f t="shared" ca="1" si="3"/>
        <v>1.0950316209346055E-13</v>
      </c>
      <c r="M58" s="643">
        <f>INDEX(TablaCliente!_CapturaAbonoAnticipadoTablaCliente,__Amortizacion)</f>
        <v>0</v>
      </c>
      <c r="N58" s="84">
        <f t="shared" ca="1" si="4"/>
        <v>9.0949470177292824E-12</v>
      </c>
      <c r="P58" s="615" t="b">
        <f ca="1">__Saldo_Final _Anterior &gt; 0</f>
        <v>1</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c r="B59" s="615"/>
      <c r="D59" s="616">
        <v>41</v>
      </c>
      <c r="F59" s="18">
        <f ca="1" xml:space="preserve"> ( __Saldo_Final _Anterior + T_SeguroAnual!__Saldo_Ciclico ) * ( __Stopper_Saldo_Inicial )</f>
        <v>9.0949470177292824E-12</v>
      </c>
      <c r="G59" s="83">
        <f ca="1">MIN( CHOOSE(i.Opcion.Abono, __Capital_Opcion_1, __Capital_Opcion_2, __Capital_Opcion_3) _Actual, __Saldo_Inicial _Actual)</f>
        <v>0</v>
      </c>
      <c r="H59" s="83">
        <f t="shared" ca="1" si="0"/>
        <v>3.2590226813529929E-15</v>
      </c>
      <c r="I59" s="84">
        <f ca="1">T_AutoYSeguroMulti!__Dias_Interes_Periodo</f>
        <v>30</v>
      </c>
      <c r="J59" s="84">
        <f t="shared" ca="1" si="1"/>
        <v>9.7770680440589784E-14</v>
      </c>
      <c r="K59" s="84">
        <f t="shared" ca="1" si="2"/>
        <v>1.1732481652870774E-14</v>
      </c>
      <c r="L59" s="83">
        <f t="shared" ca="1" si="3"/>
        <v>1.0950316209346055E-13</v>
      </c>
      <c r="M59" s="643">
        <f>INDEX(TablaCliente!_CapturaAbonoAnticipadoTablaCliente,__Amortizacion)</f>
        <v>0</v>
      </c>
      <c r="N59" s="84">
        <f t="shared" ca="1" si="4"/>
        <v>9.0949470177292824E-12</v>
      </c>
      <c r="P59" s="615" t="b">
        <f ca="1">__Saldo_Final _Anterior &gt; 0</f>
        <v>1</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c r="A60" s="30"/>
      <c r="B60" s="615"/>
      <c r="D60" s="616">
        <v>42</v>
      </c>
      <c r="F60" s="18">
        <f ca="1" xml:space="preserve"> ( __Saldo_Final _Anterior + T_SeguroAnual!__Saldo_Ciclico ) * ( __Stopper_Saldo_Inicial )</f>
        <v>9.0949470177292824E-12</v>
      </c>
      <c r="G60" s="83">
        <f ca="1">MIN( CHOOSE(i.Opcion.Abono, __Capital_Opcion_1, __Capital_Opcion_2, __Capital_Opcion_3) _Actual, __Saldo_Inicial _Actual)</f>
        <v>0</v>
      </c>
      <c r="H60" s="83">
        <f t="shared" ca="1" si="0"/>
        <v>3.2590226813529929E-15</v>
      </c>
      <c r="I60" s="84">
        <f ca="1">T_AutoYSeguroMulti!__Dias_Interes_Periodo</f>
        <v>30</v>
      </c>
      <c r="J60" s="84">
        <f t="shared" ca="1" si="1"/>
        <v>9.7770680440589784E-14</v>
      </c>
      <c r="K60" s="84">
        <f t="shared" ca="1" si="2"/>
        <v>1.1732481652870774E-14</v>
      </c>
      <c r="L60" s="83">
        <f t="shared" ca="1" si="3"/>
        <v>1.0950316209346055E-13</v>
      </c>
      <c r="M60" s="643">
        <f>INDEX(TablaCliente!_CapturaAbonoAnticipadoTablaCliente,__Amortizacion)</f>
        <v>0</v>
      </c>
      <c r="N60" s="84">
        <f t="shared" ca="1" si="4"/>
        <v>9.0949470177292824E-12</v>
      </c>
      <c r="P60" s="615" t="b">
        <f ca="1">__Saldo_Final _Anterior &gt; 0</f>
        <v>1</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c r="A61" s="30"/>
      <c r="B61" s="615"/>
      <c r="D61" s="616">
        <v>43</v>
      </c>
      <c r="F61" s="18">
        <f ca="1" xml:space="preserve"> ( __Saldo_Final _Anterior + T_SeguroAnual!__Saldo_Ciclico ) * ( __Stopper_Saldo_Inicial )</f>
        <v>9.0949470177292824E-12</v>
      </c>
      <c r="G61" s="83">
        <f ca="1">MIN( CHOOSE(i.Opcion.Abono, __Capital_Opcion_1, __Capital_Opcion_2, __Capital_Opcion_3) _Actual, __Saldo_Inicial _Actual)</f>
        <v>0</v>
      </c>
      <c r="H61" s="83">
        <f t="shared" ca="1" si="0"/>
        <v>3.2590226813529929E-15</v>
      </c>
      <c r="I61" s="84">
        <f ca="1">T_AutoYSeguroMulti!__Dias_Interes_Periodo</f>
        <v>30</v>
      </c>
      <c r="J61" s="84">
        <f t="shared" ca="1" si="1"/>
        <v>9.7770680440589784E-14</v>
      </c>
      <c r="K61" s="84">
        <f t="shared" ca="1" si="2"/>
        <v>1.1732481652870774E-14</v>
      </c>
      <c r="L61" s="83">
        <f t="shared" ca="1" si="3"/>
        <v>1.0950316209346055E-13</v>
      </c>
      <c r="M61" s="643">
        <f>INDEX(TablaCliente!_CapturaAbonoAnticipadoTablaCliente,__Amortizacion)</f>
        <v>0</v>
      </c>
      <c r="N61" s="84">
        <f t="shared" ca="1" si="4"/>
        <v>9.0949470177292824E-12</v>
      </c>
      <c r="P61" s="615" t="b">
        <f ca="1">__Saldo_Final _Anterior &gt; 0</f>
        <v>1</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c r="A62" s="30"/>
      <c r="B62" s="615"/>
      <c r="D62" s="616">
        <v>44</v>
      </c>
      <c r="F62" s="18">
        <f ca="1" xml:space="preserve"> ( __Saldo_Final _Anterior + T_SeguroAnual!__Saldo_Ciclico ) * ( __Stopper_Saldo_Inicial )</f>
        <v>9.0949470177292824E-12</v>
      </c>
      <c r="G62" s="83">
        <f ca="1">MIN( CHOOSE(i.Opcion.Abono, __Capital_Opcion_1, __Capital_Opcion_2, __Capital_Opcion_3) _Actual, __Saldo_Inicial _Actual)</f>
        <v>0</v>
      </c>
      <c r="H62" s="83">
        <f t="shared" ca="1" si="0"/>
        <v>3.2590226813529929E-15</v>
      </c>
      <c r="I62" s="84">
        <f ca="1">T_AutoYSeguroMulti!__Dias_Interes_Periodo</f>
        <v>30</v>
      </c>
      <c r="J62" s="84">
        <f t="shared" ca="1" si="1"/>
        <v>9.7770680440589784E-14</v>
      </c>
      <c r="K62" s="84">
        <f t="shared" ca="1" si="2"/>
        <v>1.1732481652870774E-14</v>
      </c>
      <c r="L62" s="83">
        <f t="shared" ca="1" si="3"/>
        <v>1.0950316209346055E-13</v>
      </c>
      <c r="M62" s="643">
        <f>INDEX(TablaCliente!_CapturaAbonoAnticipadoTablaCliente,__Amortizacion)</f>
        <v>0</v>
      </c>
      <c r="N62" s="84">
        <f t="shared" ca="1" si="4"/>
        <v>9.0949470177292824E-12</v>
      </c>
      <c r="P62" s="615" t="b">
        <f ca="1">__Saldo_Final _Anterior &gt; 0</f>
        <v>1</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c r="A63" s="30"/>
      <c r="B63" s="615"/>
      <c r="D63" s="616">
        <v>45</v>
      </c>
      <c r="F63" s="18">
        <f ca="1" xml:space="preserve"> ( __Saldo_Final _Anterior + T_SeguroAnual!__Saldo_Ciclico ) * ( __Stopper_Saldo_Inicial )</f>
        <v>9.0949470177292824E-12</v>
      </c>
      <c r="G63" s="83">
        <f ca="1">MIN( CHOOSE(i.Opcion.Abono, __Capital_Opcion_1, __Capital_Opcion_2, __Capital_Opcion_3) _Actual, __Saldo_Inicial _Actual)</f>
        <v>0</v>
      </c>
      <c r="H63" s="83">
        <f t="shared" ca="1" si="0"/>
        <v>3.2590226813529929E-15</v>
      </c>
      <c r="I63" s="84">
        <f ca="1">T_AutoYSeguroMulti!__Dias_Interes_Periodo</f>
        <v>30</v>
      </c>
      <c r="J63" s="84">
        <f t="shared" ca="1" si="1"/>
        <v>9.7770680440589784E-14</v>
      </c>
      <c r="K63" s="84">
        <f t="shared" ca="1" si="2"/>
        <v>1.1732481652870774E-14</v>
      </c>
      <c r="L63" s="83">
        <f t="shared" ca="1" si="3"/>
        <v>1.0950316209346055E-13</v>
      </c>
      <c r="M63" s="643">
        <f>INDEX(TablaCliente!_CapturaAbonoAnticipadoTablaCliente,__Amortizacion)</f>
        <v>0</v>
      </c>
      <c r="N63" s="84">
        <f t="shared" ca="1" si="4"/>
        <v>9.0949470177292824E-12</v>
      </c>
      <c r="P63" s="615" t="b">
        <f ca="1">__Saldo_Final _Anterior &gt; 0</f>
        <v>1</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c r="A64" s="30"/>
      <c r="B64" s="615"/>
      <c r="D64" s="616">
        <v>46</v>
      </c>
      <c r="F64" s="18">
        <f ca="1" xml:space="preserve"> ( __Saldo_Final _Anterior + T_SeguroAnual!__Saldo_Ciclico ) * ( __Stopper_Saldo_Inicial )</f>
        <v>9.0949470177292824E-12</v>
      </c>
      <c r="G64" s="83">
        <f ca="1">MIN( CHOOSE(i.Opcion.Abono, __Capital_Opcion_1, __Capital_Opcion_2, __Capital_Opcion_3) _Actual, __Saldo_Inicial _Actual)</f>
        <v>0</v>
      </c>
      <c r="H64" s="83">
        <f t="shared" ca="1" si="0"/>
        <v>3.2590226813529929E-15</v>
      </c>
      <c r="I64" s="84">
        <f ca="1">T_AutoYSeguroMulti!__Dias_Interes_Periodo</f>
        <v>30</v>
      </c>
      <c r="J64" s="84">
        <f t="shared" ca="1" si="1"/>
        <v>9.7770680440589784E-14</v>
      </c>
      <c r="K64" s="84">
        <f t="shared" ca="1" si="2"/>
        <v>1.1732481652870774E-14</v>
      </c>
      <c r="L64" s="83">
        <f t="shared" ca="1" si="3"/>
        <v>1.0950316209346055E-13</v>
      </c>
      <c r="M64" s="643">
        <f>INDEX(TablaCliente!_CapturaAbonoAnticipadoTablaCliente,__Amortizacion)</f>
        <v>0</v>
      </c>
      <c r="N64" s="84">
        <f t="shared" ca="1" si="4"/>
        <v>9.0949470177292824E-12</v>
      </c>
      <c r="P64" s="615" t="b">
        <f ca="1">__Saldo_Final _Anterior &gt; 0</f>
        <v>1</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c r="B65" s="615"/>
      <c r="D65" s="616">
        <v>47</v>
      </c>
      <c r="F65" s="18">
        <f ca="1" xml:space="preserve"> ( __Saldo_Final _Anterior + T_SeguroAnual!__Saldo_Ciclico ) * ( __Stopper_Saldo_Inicial )</f>
        <v>9.0949470177292824E-12</v>
      </c>
      <c r="G65" s="83">
        <f ca="1">MIN( CHOOSE(i.Opcion.Abono, __Capital_Opcion_1, __Capital_Opcion_2, __Capital_Opcion_3) _Actual, __Saldo_Inicial _Actual)</f>
        <v>0</v>
      </c>
      <c r="H65" s="83">
        <f t="shared" ca="1" si="0"/>
        <v>3.2590226813529929E-15</v>
      </c>
      <c r="I65" s="84">
        <f ca="1">T_AutoYSeguroMulti!__Dias_Interes_Periodo</f>
        <v>30</v>
      </c>
      <c r="J65" s="84">
        <f t="shared" ca="1" si="1"/>
        <v>9.7770680440589784E-14</v>
      </c>
      <c r="K65" s="84">
        <f t="shared" ca="1" si="2"/>
        <v>1.1732481652870774E-14</v>
      </c>
      <c r="L65" s="83">
        <f t="shared" ca="1" si="3"/>
        <v>1.0950316209346055E-13</v>
      </c>
      <c r="M65" s="643">
        <f>INDEX(TablaCliente!_CapturaAbonoAnticipadoTablaCliente,__Amortizacion)</f>
        <v>0</v>
      </c>
      <c r="N65" s="84">
        <f t="shared" ca="1" si="4"/>
        <v>9.0949470177292824E-12</v>
      </c>
      <c r="P65" s="615" t="b">
        <f ca="1">__Saldo_Final _Anterior &gt; 0</f>
        <v>1</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c r="B66" s="615"/>
      <c r="D66" s="616">
        <v>48</v>
      </c>
      <c r="F66" s="18">
        <f ca="1" xml:space="preserve"> ( __Saldo_Final _Anterior + T_SeguroAnual!__Saldo_Ciclico ) * ( __Stopper_Saldo_Inicial )</f>
        <v>9.0949470177292824E-12</v>
      </c>
      <c r="G66" s="83">
        <f ca="1">MIN( CHOOSE(i.Opcion.Abono, __Capital_Opcion_1, __Capital_Opcion_2, __Capital_Opcion_3) _Actual, __Saldo_Inicial _Actual)</f>
        <v>0</v>
      </c>
      <c r="H66" s="83">
        <f t="shared" ca="1" si="0"/>
        <v>3.2590226813529929E-15</v>
      </c>
      <c r="I66" s="84">
        <f ca="1">T_AutoYSeguroMulti!__Dias_Interes_Periodo</f>
        <v>30</v>
      </c>
      <c r="J66" s="84">
        <f t="shared" ca="1" si="1"/>
        <v>9.7770680440589784E-14</v>
      </c>
      <c r="K66" s="84">
        <f t="shared" ca="1" si="2"/>
        <v>1.1732481652870774E-14</v>
      </c>
      <c r="L66" s="83">
        <f t="shared" ca="1" si="3"/>
        <v>1.0950316209346055E-13</v>
      </c>
      <c r="M66" s="643">
        <f>INDEX(TablaCliente!_CapturaAbonoAnticipadoTablaCliente,__Amortizacion)</f>
        <v>0</v>
      </c>
      <c r="N66" s="84">
        <f t="shared" ca="1" si="4"/>
        <v>9.0949470177292824E-12</v>
      </c>
      <c r="P66" s="615" t="b">
        <f ca="1">__Saldo_Final _Anterior &gt; 0</f>
        <v>1</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c r="A67" s="30"/>
      <c r="B67" s="30"/>
      <c r="D67" s="616">
        <v>49</v>
      </c>
      <c r="F67" s="18">
        <f ca="1" xml:space="preserve"> ( __Saldo_Final _Anterior + T_SeguroAnual!__Saldo_Ciclico ) * ( __Stopper_Saldo_Inicial )</f>
        <v>9.0949470177292824E-12</v>
      </c>
      <c r="G67" s="83">
        <f ca="1">MIN( CHOOSE(i.Opcion.Abono, __Capital_Opcion_1, __Capital_Opcion_2, __Capital_Opcion_3) _Actual, __Saldo_Inicial _Actual)</f>
        <v>0</v>
      </c>
      <c r="H67" s="83">
        <f t="shared" ca="1" si="0"/>
        <v>3.2590226813529929E-15</v>
      </c>
      <c r="I67" s="84">
        <f ca="1">T_AutoYSeguroMulti!__Dias_Interes_Periodo</f>
        <v>30</v>
      </c>
      <c r="J67" s="84">
        <f t="shared" ca="1" si="1"/>
        <v>9.7770680440589784E-14</v>
      </c>
      <c r="K67" s="84">
        <f t="shared" ca="1" si="2"/>
        <v>1.1732481652870774E-14</v>
      </c>
      <c r="L67" s="83">
        <f t="shared" ca="1" si="3"/>
        <v>1.0950316209346055E-13</v>
      </c>
      <c r="M67" s="643">
        <f>INDEX(TablaCliente!_CapturaAbonoAnticipadoTablaCliente,__Amortizacion)</f>
        <v>0</v>
      </c>
      <c r="N67" s="84">
        <f t="shared" ca="1" si="4"/>
        <v>9.0949470177292824E-12</v>
      </c>
      <c r="P67" s="615" t="b">
        <f ca="1">__Saldo_Final _Anterior &gt; 0</f>
        <v>1</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c r="A68" s="30"/>
      <c r="B68" s="30"/>
      <c r="D68" s="616">
        <v>50</v>
      </c>
      <c r="F68" s="18">
        <f ca="1" xml:space="preserve"> ( __Saldo_Final _Anterior + T_SeguroAnual!__Saldo_Ciclico ) * ( __Stopper_Saldo_Inicial )</f>
        <v>9.0949470177292824E-12</v>
      </c>
      <c r="G68" s="83">
        <f ca="1">MIN( CHOOSE(i.Opcion.Abono, __Capital_Opcion_1, __Capital_Opcion_2, __Capital_Opcion_3) _Actual, __Saldo_Inicial _Actual)</f>
        <v>0</v>
      </c>
      <c r="H68" s="83">
        <f t="shared" ca="1" si="0"/>
        <v>3.2590226813529929E-15</v>
      </c>
      <c r="I68" s="84">
        <f ca="1">T_AutoYSeguroMulti!__Dias_Interes_Periodo</f>
        <v>30</v>
      </c>
      <c r="J68" s="84">
        <f t="shared" ca="1" si="1"/>
        <v>9.7770680440589784E-14</v>
      </c>
      <c r="K68" s="84">
        <f t="shared" ca="1" si="2"/>
        <v>1.1732481652870774E-14</v>
      </c>
      <c r="L68" s="83">
        <f t="shared" ca="1" si="3"/>
        <v>1.0950316209346055E-13</v>
      </c>
      <c r="M68" s="643">
        <f>INDEX(TablaCliente!_CapturaAbonoAnticipadoTablaCliente,__Amortizacion)</f>
        <v>0</v>
      </c>
      <c r="N68" s="84">
        <f t="shared" ca="1" si="4"/>
        <v>9.0949470177292824E-12</v>
      </c>
      <c r="P68" s="615" t="b">
        <f ca="1">__Saldo_Final _Anterior &gt; 0</f>
        <v>1</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c r="A69" s="30"/>
      <c r="B69" s="30"/>
      <c r="D69" s="616">
        <v>51</v>
      </c>
      <c r="F69" s="18">
        <f ca="1" xml:space="preserve"> ( __Saldo_Final _Anterior + T_SeguroAnual!__Saldo_Ciclico ) * ( __Stopper_Saldo_Inicial )</f>
        <v>9.0949470177292824E-12</v>
      </c>
      <c r="G69" s="83">
        <f ca="1">MIN( CHOOSE(i.Opcion.Abono, __Capital_Opcion_1, __Capital_Opcion_2, __Capital_Opcion_3) _Actual, __Saldo_Inicial _Actual)</f>
        <v>0</v>
      </c>
      <c r="H69" s="83">
        <f t="shared" ca="1" si="0"/>
        <v>3.2590226813529929E-15</v>
      </c>
      <c r="I69" s="84">
        <f ca="1">T_AutoYSeguroMulti!__Dias_Interes_Periodo</f>
        <v>30</v>
      </c>
      <c r="J69" s="84">
        <f t="shared" ca="1" si="1"/>
        <v>9.7770680440589784E-14</v>
      </c>
      <c r="K69" s="84">
        <f t="shared" ca="1" si="2"/>
        <v>1.1732481652870774E-14</v>
      </c>
      <c r="L69" s="83">
        <f t="shared" ca="1" si="3"/>
        <v>1.0950316209346055E-13</v>
      </c>
      <c r="M69" s="643">
        <f>INDEX(TablaCliente!_CapturaAbonoAnticipadoTablaCliente,__Amortizacion)</f>
        <v>0</v>
      </c>
      <c r="N69" s="84">
        <f t="shared" ca="1" si="4"/>
        <v>9.0949470177292824E-12</v>
      </c>
      <c r="P69" s="615" t="b">
        <f ca="1">__Saldo_Final _Anterior &gt; 0</f>
        <v>1</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c r="A70" s="30"/>
      <c r="B70" s="30"/>
      <c r="D70" s="616">
        <v>52</v>
      </c>
      <c r="F70" s="18">
        <f ca="1" xml:space="preserve"> ( __Saldo_Final _Anterior + T_SeguroAnual!__Saldo_Ciclico ) * ( __Stopper_Saldo_Inicial )</f>
        <v>9.0949470177292824E-12</v>
      </c>
      <c r="G70" s="83">
        <f ca="1">MIN( CHOOSE(i.Opcion.Abono, __Capital_Opcion_1, __Capital_Opcion_2, __Capital_Opcion_3) _Actual, __Saldo_Inicial _Actual)</f>
        <v>0</v>
      </c>
      <c r="H70" s="83">
        <f t="shared" ca="1" si="0"/>
        <v>3.2590226813529929E-15</v>
      </c>
      <c r="I70" s="84">
        <f ca="1">T_AutoYSeguroMulti!__Dias_Interes_Periodo</f>
        <v>30</v>
      </c>
      <c r="J70" s="84">
        <f t="shared" ca="1" si="1"/>
        <v>9.7770680440589784E-14</v>
      </c>
      <c r="K70" s="84">
        <f t="shared" ca="1" si="2"/>
        <v>1.1732481652870774E-14</v>
      </c>
      <c r="L70" s="83">
        <f t="shared" ca="1" si="3"/>
        <v>1.0950316209346055E-13</v>
      </c>
      <c r="M70" s="643">
        <f>INDEX(TablaCliente!_CapturaAbonoAnticipadoTablaCliente,__Amortizacion)</f>
        <v>0</v>
      </c>
      <c r="N70" s="84">
        <f t="shared" ca="1" si="4"/>
        <v>9.0949470177292824E-12</v>
      </c>
      <c r="P70" s="615" t="b">
        <f ca="1">__Saldo_Final _Anterior &gt; 0</f>
        <v>1</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c r="A71" s="30"/>
      <c r="B71" s="30"/>
      <c r="D71" s="616">
        <v>53</v>
      </c>
      <c r="F71" s="18">
        <f ca="1" xml:space="preserve"> ( __Saldo_Final _Anterior + T_SeguroAnual!__Saldo_Ciclico ) * ( __Stopper_Saldo_Inicial )</f>
        <v>9.0949470177292824E-12</v>
      </c>
      <c r="G71" s="83">
        <f ca="1">MIN( CHOOSE(i.Opcion.Abono, __Capital_Opcion_1, __Capital_Opcion_2, __Capital_Opcion_3) _Actual, __Saldo_Inicial _Actual)</f>
        <v>0</v>
      </c>
      <c r="H71" s="83">
        <f t="shared" ca="1" si="0"/>
        <v>3.2590226813529929E-15</v>
      </c>
      <c r="I71" s="84">
        <f ca="1">T_AutoYSeguroMulti!__Dias_Interes_Periodo</f>
        <v>30</v>
      </c>
      <c r="J71" s="84">
        <f t="shared" ca="1" si="1"/>
        <v>9.7770680440589784E-14</v>
      </c>
      <c r="K71" s="84">
        <f t="shared" ca="1" si="2"/>
        <v>1.1732481652870774E-14</v>
      </c>
      <c r="L71" s="83">
        <f t="shared" ca="1" si="3"/>
        <v>1.0950316209346055E-13</v>
      </c>
      <c r="M71" s="643">
        <f>INDEX(TablaCliente!_CapturaAbonoAnticipadoTablaCliente,__Amortizacion)</f>
        <v>0</v>
      </c>
      <c r="N71" s="84">
        <f t="shared" ca="1" si="4"/>
        <v>9.0949470177292824E-12</v>
      </c>
      <c r="P71" s="615" t="b">
        <f ca="1">__Saldo_Final _Anterior &gt; 0</f>
        <v>1</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c r="A72" s="30"/>
      <c r="B72" s="30"/>
      <c r="D72" s="616">
        <v>54</v>
      </c>
      <c r="F72" s="18">
        <f ca="1" xml:space="preserve"> ( __Saldo_Final _Anterior + T_SeguroAnual!__Saldo_Ciclico ) * ( __Stopper_Saldo_Inicial )</f>
        <v>9.0949470177292824E-12</v>
      </c>
      <c r="G72" s="83">
        <f ca="1">MIN( CHOOSE(i.Opcion.Abono, __Capital_Opcion_1, __Capital_Opcion_2, __Capital_Opcion_3) _Actual, __Saldo_Inicial _Actual)</f>
        <v>0</v>
      </c>
      <c r="H72" s="83">
        <f t="shared" ca="1" si="0"/>
        <v>3.2590226813529929E-15</v>
      </c>
      <c r="I72" s="84">
        <f ca="1">T_AutoYSeguroMulti!__Dias_Interes_Periodo</f>
        <v>30</v>
      </c>
      <c r="J72" s="84">
        <f t="shared" ca="1" si="1"/>
        <v>9.7770680440589784E-14</v>
      </c>
      <c r="K72" s="84">
        <f t="shared" ca="1" si="2"/>
        <v>1.1732481652870774E-14</v>
      </c>
      <c r="L72" s="83">
        <f t="shared" ca="1" si="3"/>
        <v>1.0950316209346055E-13</v>
      </c>
      <c r="M72" s="643">
        <f>INDEX(TablaCliente!_CapturaAbonoAnticipadoTablaCliente,__Amortizacion)</f>
        <v>0</v>
      </c>
      <c r="N72" s="84">
        <f t="shared" ca="1" si="4"/>
        <v>9.0949470177292824E-12</v>
      </c>
      <c r="P72" s="615" t="b">
        <f ca="1">__Saldo_Final _Anterior &gt; 0</f>
        <v>1</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c r="A73" s="30"/>
      <c r="B73" s="30"/>
      <c r="D73" s="616">
        <v>55</v>
      </c>
      <c r="F73" s="18">
        <f ca="1" xml:space="preserve"> ( __Saldo_Final _Anterior + T_SeguroAnual!__Saldo_Ciclico ) * ( __Stopper_Saldo_Inicial )</f>
        <v>9.0949470177292824E-12</v>
      </c>
      <c r="G73" s="83">
        <f ca="1">MIN( CHOOSE(i.Opcion.Abono, __Capital_Opcion_1, __Capital_Opcion_2, __Capital_Opcion_3) _Actual, __Saldo_Inicial _Actual)</f>
        <v>0</v>
      </c>
      <c r="H73" s="83">
        <f t="shared" ca="1" si="0"/>
        <v>3.2590226813529929E-15</v>
      </c>
      <c r="I73" s="84">
        <f ca="1">T_AutoYSeguroMulti!__Dias_Interes_Periodo</f>
        <v>30</v>
      </c>
      <c r="J73" s="84">
        <f t="shared" ca="1" si="1"/>
        <v>9.7770680440589784E-14</v>
      </c>
      <c r="K73" s="84">
        <f t="shared" ca="1" si="2"/>
        <v>1.1732481652870774E-14</v>
      </c>
      <c r="L73" s="83">
        <f t="shared" ca="1" si="3"/>
        <v>1.0950316209346055E-13</v>
      </c>
      <c r="M73" s="643">
        <f>INDEX(TablaCliente!_CapturaAbonoAnticipadoTablaCliente,__Amortizacion)</f>
        <v>0</v>
      </c>
      <c r="N73" s="84">
        <f t="shared" ca="1" si="4"/>
        <v>9.0949470177292824E-12</v>
      </c>
      <c r="P73" s="615" t="b">
        <f ca="1">__Saldo_Final _Anterior &gt; 0</f>
        <v>1</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c r="A74" s="30"/>
      <c r="B74" s="30"/>
      <c r="D74" s="616">
        <v>56</v>
      </c>
      <c r="F74" s="18">
        <f ca="1" xml:space="preserve"> ( __Saldo_Final _Anterior + T_SeguroAnual!__Saldo_Ciclico ) * ( __Stopper_Saldo_Inicial )</f>
        <v>9.0949470177292824E-12</v>
      </c>
      <c r="G74" s="83">
        <f ca="1">MIN( CHOOSE(i.Opcion.Abono, __Capital_Opcion_1, __Capital_Opcion_2, __Capital_Opcion_3) _Actual, __Saldo_Inicial _Actual)</f>
        <v>0</v>
      </c>
      <c r="H74" s="83">
        <f t="shared" ca="1" si="0"/>
        <v>3.2590226813529929E-15</v>
      </c>
      <c r="I74" s="84">
        <f ca="1">T_AutoYSeguroMulti!__Dias_Interes_Periodo</f>
        <v>30</v>
      </c>
      <c r="J74" s="84">
        <f t="shared" ca="1" si="1"/>
        <v>9.7770680440589784E-14</v>
      </c>
      <c r="K74" s="84">
        <f t="shared" ca="1" si="2"/>
        <v>1.1732481652870774E-14</v>
      </c>
      <c r="L74" s="83">
        <f t="shared" ca="1" si="3"/>
        <v>1.0950316209346055E-13</v>
      </c>
      <c r="M74" s="643">
        <f>INDEX(TablaCliente!_CapturaAbonoAnticipadoTablaCliente,__Amortizacion)</f>
        <v>0</v>
      </c>
      <c r="N74" s="84">
        <f t="shared" ca="1" si="4"/>
        <v>9.0949470177292824E-12</v>
      </c>
      <c r="P74" s="615" t="b">
        <f ca="1">__Saldo_Final _Anterior &gt; 0</f>
        <v>1</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c r="A75" s="30"/>
      <c r="B75" s="30"/>
      <c r="D75" s="616">
        <v>57</v>
      </c>
      <c r="F75" s="18">
        <f ca="1" xml:space="preserve"> ( __Saldo_Final _Anterior + T_SeguroAnual!__Saldo_Ciclico ) * ( __Stopper_Saldo_Inicial )</f>
        <v>9.0949470177292824E-12</v>
      </c>
      <c r="G75" s="83">
        <f ca="1">MIN( CHOOSE(i.Opcion.Abono, __Capital_Opcion_1, __Capital_Opcion_2, __Capital_Opcion_3) _Actual, __Saldo_Inicial _Actual)</f>
        <v>0</v>
      </c>
      <c r="H75" s="83">
        <f t="shared" ca="1" si="0"/>
        <v>3.2590226813529929E-15</v>
      </c>
      <c r="I75" s="84">
        <f ca="1">T_AutoYSeguroMulti!__Dias_Interes_Periodo</f>
        <v>30</v>
      </c>
      <c r="J75" s="84">
        <f t="shared" ca="1" si="1"/>
        <v>9.7770680440589784E-14</v>
      </c>
      <c r="K75" s="84">
        <f t="shared" ca="1" si="2"/>
        <v>1.1732481652870774E-14</v>
      </c>
      <c r="L75" s="83">
        <f t="shared" ca="1" si="3"/>
        <v>1.0950316209346055E-13</v>
      </c>
      <c r="M75" s="643">
        <f>INDEX(TablaCliente!_CapturaAbonoAnticipadoTablaCliente,__Amortizacion)</f>
        <v>0</v>
      </c>
      <c r="N75" s="84">
        <f t="shared" ca="1" si="4"/>
        <v>9.0949470177292824E-12</v>
      </c>
      <c r="P75" s="615" t="b">
        <f ca="1">__Saldo_Final _Anterior &gt; 0</f>
        <v>1</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c r="A76" s="30"/>
      <c r="B76" s="30"/>
      <c r="D76" s="616">
        <v>58</v>
      </c>
      <c r="F76" s="18">
        <f ca="1" xml:space="preserve"> ( __Saldo_Final _Anterior + T_SeguroAnual!__Saldo_Ciclico ) * ( __Stopper_Saldo_Inicial )</f>
        <v>9.0949470177292824E-12</v>
      </c>
      <c r="G76" s="83">
        <f ca="1">MIN( CHOOSE(i.Opcion.Abono, __Capital_Opcion_1, __Capital_Opcion_2, __Capital_Opcion_3) _Actual, __Saldo_Inicial _Actual)</f>
        <v>0</v>
      </c>
      <c r="H76" s="83">
        <f t="shared" ca="1" si="0"/>
        <v>3.2590226813529929E-15</v>
      </c>
      <c r="I76" s="84">
        <f ca="1">T_AutoYSeguroMulti!__Dias_Interes_Periodo</f>
        <v>30</v>
      </c>
      <c r="J76" s="84">
        <f t="shared" ca="1" si="1"/>
        <v>9.7770680440589784E-14</v>
      </c>
      <c r="K76" s="84">
        <f t="shared" ca="1" si="2"/>
        <v>1.1732481652870774E-14</v>
      </c>
      <c r="L76" s="83">
        <f t="shared" ca="1" si="3"/>
        <v>1.0950316209346055E-13</v>
      </c>
      <c r="M76" s="643">
        <f>INDEX(TablaCliente!_CapturaAbonoAnticipadoTablaCliente,__Amortizacion)</f>
        <v>0</v>
      </c>
      <c r="N76" s="84">
        <f t="shared" ca="1" si="4"/>
        <v>9.0949470177292824E-12</v>
      </c>
      <c r="P76" s="615" t="b">
        <f ca="1">__Saldo_Final _Anterior &gt; 0</f>
        <v>1</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c r="A77" s="30"/>
      <c r="B77" s="30"/>
      <c r="D77" s="616">
        <v>59</v>
      </c>
      <c r="F77" s="18">
        <f ca="1" xml:space="preserve"> ( __Saldo_Final _Anterior + T_SeguroAnual!__Saldo_Ciclico ) * ( __Stopper_Saldo_Inicial )</f>
        <v>9.0949470177292824E-12</v>
      </c>
      <c r="G77" s="83">
        <f ca="1">MIN( CHOOSE(i.Opcion.Abono, __Capital_Opcion_1, __Capital_Opcion_2, __Capital_Opcion_3) _Actual, __Saldo_Inicial _Actual)</f>
        <v>0</v>
      </c>
      <c r="H77" s="83">
        <f t="shared" ca="1" si="0"/>
        <v>3.2590226813529929E-15</v>
      </c>
      <c r="I77" s="84">
        <f ca="1">T_AutoYSeguroMulti!__Dias_Interes_Periodo</f>
        <v>30</v>
      </c>
      <c r="J77" s="84">
        <f t="shared" ca="1" si="1"/>
        <v>9.7770680440589784E-14</v>
      </c>
      <c r="K77" s="84">
        <f t="shared" ca="1" si="2"/>
        <v>1.1732481652870774E-14</v>
      </c>
      <c r="L77" s="83">
        <f t="shared" ca="1" si="3"/>
        <v>1.0950316209346055E-13</v>
      </c>
      <c r="M77" s="643">
        <f>INDEX(TablaCliente!_CapturaAbonoAnticipadoTablaCliente,__Amortizacion)</f>
        <v>0</v>
      </c>
      <c r="N77" s="84">
        <f t="shared" ca="1" si="4"/>
        <v>9.0949470177292824E-12</v>
      </c>
      <c r="P77" s="615" t="b">
        <f ca="1">__Saldo_Final _Anterior &gt; 0</f>
        <v>1</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c r="A78" s="30"/>
      <c r="B78" s="30"/>
      <c r="D78" s="616">
        <v>60</v>
      </c>
      <c r="F78" s="18">
        <f ca="1" xml:space="preserve"> ( __Saldo_Final _Anterior + T_SeguroAnual!__Saldo_Ciclico ) * ( __Stopper_Saldo_Inicial )</f>
        <v>9.0949470177292824E-12</v>
      </c>
      <c r="G78" s="83">
        <f ca="1">MIN( CHOOSE(i.Opcion.Abono, __Capital_Opcion_1, __Capital_Opcion_2, __Capital_Opcion_3) _Actual, __Saldo_Inicial _Actual)</f>
        <v>0</v>
      </c>
      <c r="H78" s="83">
        <f t="shared" ca="1" si="0"/>
        <v>3.2590226813529929E-15</v>
      </c>
      <c r="I78" s="84">
        <f ca="1">T_AutoYSeguroMulti!__Dias_Interes_Periodo</f>
        <v>30</v>
      </c>
      <c r="J78" s="84">
        <f t="shared" ca="1" si="1"/>
        <v>9.7770680440589784E-14</v>
      </c>
      <c r="K78" s="84">
        <f t="shared" ca="1" si="2"/>
        <v>1.1732481652870774E-14</v>
      </c>
      <c r="L78" s="83">
        <f t="shared" ca="1" si="3"/>
        <v>1.0950316209346055E-13</v>
      </c>
      <c r="M78" s="643">
        <f>INDEX(TablaCliente!_CapturaAbonoAnticipadoTablaCliente,__Amortizacion)</f>
        <v>0</v>
      </c>
      <c r="N78" s="84">
        <f t="shared" ca="1" si="4"/>
        <v>9.0949470177292824E-12</v>
      </c>
      <c r="P78" s="615" t="b">
        <f ca="1">__Saldo_Final _Anterior &gt; 0</f>
        <v>1</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c r="A79" s="30"/>
      <c r="B79" s="30"/>
      <c r="D79" s="616">
        <v>61</v>
      </c>
      <c r="F79" s="18">
        <f ca="1" xml:space="preserve"> ( __Saldo_Final _Anterior + T_SeguroAnual!__Saldo_Ciclico ) * ( __Stopper_Saldo_Inicial )</f>
        <v>9.0949470177292824E-12</v>
      </c>
      <c r="G79" s="83">
        <f ca="1">MIN( CHOOSE(i.Opcion.Abono, __Capital_Opcion_1, __Capital_Opcion_2, __Capital_Opcion_3) _Actual, __Saldo_Inicial _Actual)</f>
        <v>0</v>
      </c>
      <c r="H79" s="83">
        <f t="shared" ca="1" si="0"/>
        <v>3.2590226813529929E-15</v>
      </c>
      <c r="I79" s="84">
        <f ca="1">T_AutoYSeguroMulti!__Dias_Interes_Periodo</f>
        <v>30</v>
      </c>
      <c r="J79" s="84">
        <f t="shared" ca="1" si="1"/>
        <v>9.7770680440589784E-14</v>
      </c>
      <c r="K79" s="84">
        <f t="shared" ca="1" si="2"/>
        <v>1.1732481652870774E-14</v>
      </c>
      <c r="L79" s="83">
        <f t="shared" ca="1" si="3"/>
        <v>1.0950316209346055E-13</v>
      </c>
      <c r="M79" s="643">
        <f>INDEX(TablaCliente!_CapturaAbonoAnticipadoTablaCliente,__Amortizacion)</f>
        <v>0</v>
      </c>
      <c r="N79" s="84">
        <f t="shared" ca="1" si="4"/>
        <v>9.0949470177292824E-12</v>
      </c>
      <c r="P79" s="615" t="b">
        <f ca="1">__Saldo_Final _Anterior &gt; 0</f>
        <v>1</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c r="A80" s="30"/>
      <c r="B80" s="30"/>
      <c r="D80" s="616">
        <v>62</v>
      </c>
      <c r="F80" s="18">
        <f ca="1" xml:space="preserve"> ( __Saldo_Final _Anterior + T_SeguroAnual!__Saldo_Ciclico ) * ( __Stopper_Saldo_Inicial )</f>
        <v>9.0949470177292824E-12</v>
      </c>
      <c r="G80" s="83">
        <f ca="1">MIN( CHOOSE(i.Opcion.Abono, __Capital_Opcion_1, __Capital_Opcion_2, __Capital_Opcion_3) _Actual, __Saldo_Inicial _Actual)</f>
        <v>0</v>
      </c>
      <c r="H80" s="83">
        <f t="shared" ca="1" si="0"/>
        <v>3.2590226813529929E-15</v>
      </c>
      <c r="I80" s="84">
        <f ca="1">T_AutoYSeguroMulti!__Dias_Interes_Periodo</f>
        <v>30</v>
      </c>
      <c r="J80" s="84">
        <f t="shared" ca="1" si="1"/>
        <v>9.7770680440589784E-14</v>
      </c>
      <c r="K80" s="84">
        <f t="shared" ca="1" si="2"/>
        <v>1.1732481652870774E-14</v>
      </c>
      <c r="L80" s="83">
        <f t="shared" ca="1" si="3"/>
        <v>1.0950316209346055E-13</v>
      </c>
      <c r="M80" s="643">
        <f>INDEX(TablaCliente!_CapturaAbonoAnticipadoTablaCliente,__Amortizacion)</f>
        <v>0</v>
      </c>
      <c r="N80" s="84">
        <f t="shared" ca="1" si="4"/>
        <v>9.0949470177292824E-12</v>
      </c>
      <c r="P80" s="615" t="b">
        <f ca="1">__Saldo_Final _Anterior &gt; 0</f>
        <v>1</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c r="A81" s="30"/>
      <c r="B81" s="30"/>
      <c r="D81" s="616">
        <v>63</v>
      </c>
      <c r="F81" s="18">
        <f ca="1" xml:space="preserve"> ( __Saldo_Final _Anterior + T_SeguroAnual!__Saldo_Ciclico ) * ( __Stopper_Saldo_Inicial )</f>
        <v>9.0949470177292824E-12</v>
      </c>
      <c r="G81" s="83">
        <f ca="1">MIN( CHOOSE(i.Opcion.Abono, __Capital_Opcion_1, __Capital_Opcion_2, __Capital_Opcion_3) _Actual, __Saldo_Inicial _Actual)</f>
        <v>0</v>
      </c>
      <c r="H81" s="83">
        <f t="shared" ca="1" si="0"/>
        <v>3.2590226813529929E-15</v>
      </c>
      <c r="I81" s="84">
        <f ca="1">T_AutoYSeguroMulti!__Dias_Interes_Periodo</f>
        <v>30</v>
      </c>
      <c r="J81" s="84">
        <f t="shared" ca="1" si="1"/>
        <v>9.7770680440589784E-14</v>
      </c>
      <c r="K81" s="84">
        <f t="shared" ca="1" si="2"/>
        <v>1.1732481652870774E-14</v>
      </c>
      <c r="L81" s="83">
        <f t="shared" ca="1" si="3"/>
        <v>1.0950316209346055E-13</v>
      </c>
      <c r="M81" s="643">
        <f>INDEX(TablaCliente!_CapturaAbonoAnticipadoTablaCliente,__Amortizacion)</f>
        <v>0</v>
      </c>
      <c r="N81" s="84">
        <f t="shared" ca="1" si="4"/>
        <v>9.0949470177292824E-12</v>
      </c>
      <c r="P81" s="615" t="b">
        <f ca="1">__Saldo_Final _Anterior &gt; 0</f>
        <v>1</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c r="A82" s="30"/>
      <c r="B82" s="30"/>
      <c r="D82" s="616">
        <v>64</v>
      </c>
      <c r="F82" s="18">
        <f ca="1" xml:space="preserve"> ( __Saldo_Final _Anterior + T_SeguroAnual!__Saldo_Ciclico ) * ( __Stopper_Saldo_Inicial )</f>
        <v>9.0949470177292824E-12</v>
      </c>
      <c r="G82" s="83">
        <f ca="1">MIN( CHOOSE(i.Opcion.Abono, __Capital_Opcion_1, __Capital_Opcion_2, __Capital_Opcion_3) _Actual, __Saldo_Inicial _Actual)</f>
        <v>0</v>
      </c>
      <c r="H82" s="83">
        <f t="shared" ca="1" si="0"/>
        <v>3.2590226813529929E-15</v>
      </c>
      <c r="I82" s="84">
        <f ca="1">T_AutoYSeguroMulti!__Dias_Interes_Periodo</f>
        <v>30</v>
      </c>
      <c r="J82" s="84">
        <f t="shared" ca="1" si="1"/>
        <v>9.7770680440589784E-14</v>
      </c>
      <c r="K82" s="84">
        <f t="shared" ca="1" si="2"/>
        <v>1.1732481652870774E-14</v>
      </c>
      <c r="L82" s="83">
        <f t="shared" ca="1" si="3"/>
        <v>1.0950316209346055E-13</v>
      </c>
      <c r="M82" s="643">
        <f>INDEX(TablaCliente!_CapturaAbonoAnticipadoTablaCliente,__Amortizacion)</f>
        <v>0</v>
      </c>
      <c r="N82" s="84">
        <f t="shared" ca="1" si="4"/>
        <v>9.0949470177292824E-12</v>
      </c>
      <c r="P82" s="615" t="b">
        <f ca="1">__Saldo_Final _Anterior &gt; 0</f>
        <v>1</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c r="A83" s="30"/>
      <c r="B83" s="30"/>
      <c r="D83" s="616">
        <v>65</v>
      </c>
      <c r="F83" s="18">
        <f ca="1" xml:space="preserve"> ( __Saldo_Final _Anterior + T_SeguroAnual!__Saldo_Ciclico ) * ( __Stopper_Saldo_Inicial )</f>
        <v>9.0949470177292824E-12</v>
      </c>
      <c r="G83" s="83">
        <f ca="1">MIN( CHOOSE(i.Opcion.Abono, __Capital_Opcion_1, __Capital_Opcion_2, __Capital_Opcion_3) _Actual, __Saldo_Inicial _Actual)</f>
        <v>0</v>
      </c>
      <c r="H83" s="83">
        <f t="shared" ref="H83:H146" ca="1" si="7" xml:space="preserve"> __Saldo_Inicial * _Tasa.Diaria</f>
        <v>3.2590226813529929E-15</v>
      </c>
      <c r="I83" s="84">
        <f ca="1">T_AutoYSeguroMulti!__Dias_Interes_Periodo</f>
        <v>30</v>
      </c>
      <c r="J83" s="84">
        <f t="shared" ref="J83:J146" ca="1" si="8" xml:space="preserve"> __Interes_Diario * __Dias_Interes_Periodo</f>
        <v>9.7770680440589784E-14</v>
      </c>
      <c r="K83" s="84">
        <f t="shared" ref="K83:K146" ca="1" si="9" xml:space="preserve"> __Interes * i.Iva.Intereses</f>
        <v>1.1732481652870774E-14</v>
      </c>
      <c r="L83" s="83">
        <f t="shared" ref="L83:L146" ca="1" si="10" xml:space="preserve"> __Capital + __Interes + __IVA</f>
        <v>1.0950316209346055E-13</v>
      </c>
      <c r="M83" s="643">
        <f>INDEX(TablaCliente!_CapturaAbonoAnticipadoTablaCliente,__Amortizacion)</f>
        <v>0</v>
      </c>
      <c r="N83" s="84">
        <f t="shared" ref="N83:N146" ca="1" si="11">MAX( __Saldo_Inicial-__Capital-__Abono_Anticipado, 0)</f>
        <v>9.0949470177292824E-12</v>
      </c>
      <c r="P83" s="615" t="b">
        <f ca="1">__Saldo_Final _Anterior &gt; 0</f>
        <v>1</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c r="A84" s="30"/>
      <c r="B84" s="30"/>
      <c r="D84" s="616">
        <v>66</v>
      </c>
      <c r="F84" s="18">
        <f ca="1" xml:space="preserve"> ( __Saldo_Final _Anterior + T_SeguroAnual!__Saldo_Ciclico ) * ( __Stopper_Saldo_Inicial )</f>
        <v>9.0949470177292824E-12</v>
      </c>
      <c r="G84" s="83">
        <f ca="1">MIN( CHOOSE(i.Opcion.Abono, __Capital_Opcion_1, __Capital_Opcion_2, __Capital_Opcion_3) _Actual, __Saldo_Inicial _Actual)</f>
        <v>0</v>
      </c>
      <c r="H84" s="83">
        <f t="shared" ca="1" si="7"/>
        <v>3.2590226813529929E-15</v>
      </c>
      <c r="I84" s="84">
        <f ca="1">T_AutoYSeguroMulti!__Dias_Interes_Periodo</f>
        <v>30</v>
      </c>
      <c r="J84" s="84">
        <f t="shared" ca="1" si="8"/>
        <v>9.7770680440589784E-14</v>
      </c>
      <c r="K84" s="84">
        <f t="shared" ca="1" si="9"/>
        <v>1.1732481652870774E-14</v>
      </c>
      <c r="L84" s="83">
        <f t="shared" ca="1" si="10"/>
        <v>1.0950316209346055E-13</v>
      </c>
      <c r="M84" s="643">
        <f>INDEX(TablaCliente!_CapturaAbonoAnticipadoTablaCliente,__Amortizacion)</f>
        <v>0</v>
      </c>
      <c r="N84" s="84">
        <f t="shared" ca="1" si="11"/>
        <v>9.0949470177292824E-12</v>
      </c>
      <c r="P84" s="615" t="b">
        <f ca="1">__Saldo_Final _Anterior &gt; 0</f>
        <v>1</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c r="A85" s="30"/>
      <c r="B85" s="30"/>
      <c r="D85" s="616">
        <v>67</v>
      </c>
      <c r="F85" s="18">
        <f ca="1" xml:space="preserve"> ( __Saldo_Final _Anterior + T_SeguroAnual!__Saldo_Ciclico ) * ( __Stopper_Saldo_Inicial )</f>
        <v>9.0949470177292824E-12</v>
      </c>
      <c r="G85" s="83">
        <f ca="1">MIN( CHOOSE(i.Opcion.Abono, __Capital_Opcion_1, __Capital_Opcion_2, __Capital_Opcion_3) _Actual, __Saldo_Inicial _Actual)</f>
        <v>0</v>
      </c>
      <c r="H85" s="83">
        <f t="shared" ca="1" si="7"/>
        <v>3.2590226813529929E-15</v>
      </c>
      <c r="I85" s="84">
        <f ca="1">T_AutoYSeguroMulti!__Dias_Interes_Periodo</f>
        <v>30</v>
      </c>
      <c r="J85" s="84">
        <f t="shared" ca="1" si="8"/>
        <v>9.7770680440589784E-14</v>
      </c>
      <c r="K85" s="84">
        <f t="shared" ca="1" si="9"/>
        <v>1.1732481652870774E-14</v>
      </c>
      <c r="L85" s="83">
        <f t="shared" ca="1" si="10"/>
        <v>1.0950316209346055E-13</v>
      </c>
      <c r="M85" s="643">
        <f>INDEX(TablaCliente!_CapturaAbonoAnticipadoTablaCliente,__Amortizacion)</f>
        <v>0</v>
      </c>
      <c r="N85" s="84">
        <f t="shared" ca="1" si="11"/>
        <v>9.0949470177292824E-12</v>
      </c>
      <c r="P85" s="615" t="b">
        <f ca="1">__Saldo_Final _Anterior &gt; 0</f>
        <v>1</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c r="A86" s="30"/>
      <c r="B86" s="30"/>
      <c r="D86" s="616">
        <v>68</v>
      </c>
      <c r="F86" s="18">
        <f ca="1" xml:space="preserve"> ( __Saldo_Final _Anterior + T_SeguroAnual!__Saldo_Ciclico ) * ( __Stopper_Saldo_Inicial )</f>
        <v>9.0949470177292824E-12</v>
      </c>
      <c r="G86" s="83">
        <f ca="1">MIN( CHOOSE(i.Opcion.Abono, __Capital_Opcion_1, __Capital_Opcion_2, __Capital_Opcion_3) _Actual, __Saldo_Inicial _Actual)</f>
        <v>0</v>
      </c>
      <c r="H86" s="83">
        <f t="shared" ca="1" si="7"/>
        <v>3.2590226813529929E-15</v>
      </c>
      <c r="I86" s="84">
        <f ca="1">T_AutoYSeguroMulti!__Dias_Interes_Periodo</f>
        <v>30</v>
      </c>
      <c r="J86" s="84">
        <f t="shared" ca="1" si="8"/>
        <v>9.7770680440589784E-14</v>
      </c>
      <c r="K86" s="84">
        <f t="shared" ca="1" si="9"/>
        <v>1.1732481652870774E-14</v>
      </c>
      <c r="L86" s="83">
        <f t="shared" ca="1" si="10"/>
        <v>1.0950316209346055E-13</v>
      </c>
      <c r="M86" s="643">
        <f>INDEX(TablaCliente!_CapturaAbonoAnticipadoTablaCliente,__Amortizacion)</f>
        <v>0</v>
      </c>
      <c r="N86" s="84">
        <f t="shared" ca="1" si="11"/>
        <v>9.0949470177292824E-12</v>
      </c>
      <c r="P86" s="615" t="b">
        <f ca="1">__Saldo_Final _Anterior &gt; 0</f>
        <v>1</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c r="A87" s="30"/>
      <c r="B87" s="30"/>
      <c r="D87" s="616">
        <v>69</v>
      </c>
      <c r="F87" s="18">
        <f ca="1" xml:space="preserve"> ( __Saldo_Final _Anterior + T_SeguroAnual!__Saldo_Ciclico ) * ( __Stopper_Saldo_Inicial )</f>
        <v>9.0949470177292824E-12</v>
      </c>
      <c r="G87" s="83">
        <f ca="1">MIN( CHOOSE(i.Opcion.Abono, __Capital_Opcion_1, __Capital_Opcion_2, __Capital_Opcion_3) _Actual, __Saldo_Inicial _Actual)</f>
        <v>0</v>
      </c>
      <c r="H87" s="83">
        <f t="shared" ca="1" si="7"/>
        <v>3.2590226813529929E-15</v>
      </c>
      <c r="I87" s="84">
        <f ca="1">T_AutoYSeguroMulti!__Dias_Interes_Periodo</f>
        <v>30</v>
      </c>
      <c r="J87" s="84">
        <f t="shared" ca="1" si="8"/>
        <v>9.7770680440589784E-14</v>
      </c>
      <c r="K87" s="84">
        <f t="shared" ca="1" si="9"/>
        <v>1.1732481652870774E-14</v>
      </c>
      <c r="L87" s="83">
        <f t="shared" ca="1" si="10"/>
        <v>1.0950316209346055E-13</v>
      </c>
      <c r="M87" s="643">
        <f>INDEX(TablaCliente!_CapturaAbonoAnticipadoTablaCliente,__Amortizacion)</f>
        <v>0</v>
      </c>
      <c r="N87" s="84">
        <f t="shared" ca="1" si="11"/>
        <v>9.0949470177292824E-12</v>
      </c>
      <c r="P87" s="615" t="b">
        <f ca="1">__Saldo_Final _Anterior &gt; 0</f>
        <v>1</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c r="D88" s="616">
        <v>70</v>
      </c>
      <c r="F88" s="18">
        <f ca="1" xml:space="preserve"> ( __Saldo_Final _Anterior + T_SeguroAnual!__Saldo_Ciclico ) * ( __Stopper_Saldo_Inicial )</f>
        <v>9.0949470177292824E-12</v>
      </c>
      <c r="G88" s="83">
        <f ca="1">MIN( CHOOSE(i.Opcion.Abono, __Capital_Opcion_1, __Capital_Opcion_2, __Capital_Opcion_3) _Actual, __Saldo_Inicial _Actual)</f>
        <v>0</v>
      </c>
      <c r="H88" s="83">
        <f t="shared" ca="1" si="7"/>
        <v>3.2590226813529929E-15</v>
      </c>
      <c r="I88" s="84">
        <f ca="1">T_AutoYSeguroMulti!__Dias_Interes_Periodo</f>
        <v>30</v>
      </c>
      <c r="J88" s="84">
        <f t="shared" ca="1" si="8"/>
        <v>9.7770680440589784E-14</v>
      </c>
      <c r="K88" s="84">
        <f t="shared" ca="1" si="9"/>
        <v>1.1732481652870774E-14</v>
      </c>
      <c r="L88" s="83">
        <f t="shared" ca="1" si="10"/>
        <v>1.0950316209346055E-13</v>
      </c>
      <c r="M88" s="643">
        <f>INDEX(TablaCliente!_CapturaAbonoAnticipadoTablaCliente,__Amortizacion)</f>
        <v>0</v>
      </c>
      <c r="N88" s="84">
        <f t="shared" ca="1" si="11"/>
        <v>9.0949470177292824E-12</v>
      </c>
      <c r="P88" s="615" t="b">
        <f ca="1">__Saldo_Final _Anterior &gt; 0</f>
        <v>1</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c r="D89" s="616">
        <v>71</v>
      </c>
      <c r="F89" s="18">
        <f ca="1" xml:space="preserve"> ( __Saldo_Final _Anterior + T_SeguroAnual!__Saldo_Ciclico ) * ( __Stopper_Saldo_Inicial )</f>
        <v>9.0949470177292824E-12</v>
      </c>
      <c r="G89" s="83">
        <f ca="1">MIN( CHOOSE(i.Opcion.Abono, __Capital_Opcion_1, __Capital_Opcion_2, __Capital_Opcion_3) _Actual, __Saldo_Inicial _Actual)</f>
        <v>0</v>
      </c>
      <c r="H89" s="83">
        <f t="shared" ca="1" si="7"/>
        <v>3.2590226813529929E-15</v>
      </c>
      <c r="I89" s="84">
        <f ca="1">T_AutoYSeguroMulti!__Dias_Interes_Periodo</f>
        <v>30</v>
      </c>
      <c r="J89" s="84">
        <f t="shared" ca="1" si="8"/>
        <v>9.7770680440589784E-14</v>
      </c>
      <c r="K89" s="84">
        <f t="shared" ca="1" si="9"/>
        <v>1.1732481652870774E-14</v>
      </c>
      <c r="L89" s="83">
        <f t="shared" ca="1" si="10"/>
        <v>1.0950316209346055E-13</v>
      </c>
      <c r="M89" s="643">
        <f>INDEX(TablaCliente!_CapturaAbonoAnticipadoTablaCliente,__Amortizacion)</f>
        <v>0</v>
      </c>
      <c r="N89" s="84">
        <f t="shared" ca="1" si="11"/>
        <v>9.0949470177292824E-12</v>
      </c>
      <c r="P89" s="615" t="b">
        <f ca="1">__Saldo_Final _Anterior &gt; 0</f>
        <v>1</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c r="D90" s="616">
        <v>72</v>
      </c>
      <c r="F90" s="18">
        <f ca="1" xml:space="preserve"> ( __Saldo_Final _Anterior + T_SeguroAnual!__Saldo_Ciclico ) * ( __Stopper_Saldo_Inicial )</f>
        <v>9.0949470177292824E-12</v>
      </c>
      <c r="G90" s="83">
        <f ca="1">MIN( CHOOSE(i.Opcion.Abono, __Capital_Opcion_1, __Capital_Opcion_2, __Capital_Opcion_3) _Actual, __Saldo_Inicial _Actual)</f>
        <v>0</v>
      </c>
      <c r="H90" s="83">
        <f t="shared" ca="1" si="7"/>
        <v>3.2590226813529929E-15</v>
      </c>
      <c r="I90" s="84">
        <f ca="1">T_AutoYSeguroMulti!__Dias_Interes_Periodo</f>
        <v>30</v>
      </c>
      <c r="J90" s="84">
        <f t="shared" ca="1" si="8"/>
        <v>9.7770680440589784E-14</v>
      </c>
      <c r="K90" s="84">
        <f t="shared" ca="1" si="9"/>
        <v>1.1732481652870774E-14</v>
      </c>
      <c r="L90" s="83">
        <f t="shared" ca="1" si="10"/>
        <v>1.0950316209346055E-13</v>
      </c>
      <c r="M90" s="643">
        <f>INDEX(TablaCliente!_CapturaAbonoAnticipadoTablaCliente,__Amortizacion)</f>
        <v>0</v>
      </c>
      <c r="N90" s="84">
        <f t="shared" ca="1" si="11"/>
        <v>9.0949470177292824E-12</v>
      </c>
      <c r="P90" s="615" t="b">
        <f ca="1">__Saldo_Final _Anterior &gt; 0</f>
        <v>1</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c r="D91" s="616">
        <v>73</v>
      </c>
      <c r="F91" s="18">
        <f ca="1" xml:space="preserve"> ( __Saldo_Final _Anterior + T_SeguroAnual!__Saldo_Ciclico ) * ( __Stopper_Saldo_Inicial )</f>
        <v>9.0949470177292824E-12</v>
      </c>
      <c r="G91" s="83">
        <f ca="1">MIN( CHOOSE(i.Opcion.Abono, __Capital_Opcion_1, __Capital_Opcion_2, __Capital_Opcion_3) _Actual, __Saldo_Inicial _Actual)</f>
        <v>0</v>
      </c>
      <c r="H91" s="83">
        <f t="shared" ca="1" si="7"/>
        <v>3.2590226813529929E-15</v>
      </c>
      <c r="I91" s="84">
        <f ca="1">T_AutoYSeguroMulti!__Dias_Interes_Periodo</f>
        <v>30</v>
      </c>
      <c r="J91" s="84">
        <f t="shared" ca="1" si="8"/>
        <v>9.7770680440589784E-14</v>
      </c>
      <c r="K91" s="84">
        <f t="shared" ca="1" si="9"/>
        <v>1.1732481652870774E-14</v>
      </c>
      <c r="L91" s="83">
        <f t="shared" ca="1" si="10"/>
        <v>1.0950316209346055E-13</v>
      </c>
      <c r="M91" s="643">
        <f>INDEX(TablaCliente!_CapturaAbonoAnticipadoTablaCliente,__Amortizacion)</f>
        <v>0</v>
      </c>
      <c r="N91" s="84">
        <f t="shared" ca="1" si="11"/>
        <v>9.0949470177292824E-12</v>
      </c>
      <c r="P91" s="615" t="b">
        <f ca="1">__Saldo_Final _Anterior &gt; 0</f>
        <v>1</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5">
        <v>0</v>
      </c>
      <c r="W91" s="615"/>
      <c r="X91" s="84">
        <v>0</v>
      </c>
      <c r="Y91" s="84">
        <v>0</v>
      </c>
      <c r="Z91" s="84"/>
      <c r="AA91" s="84">
        <f ca="1" xml:space="preserve"> T_SeguroAnual!__Abono_Sobrante</f>
        <v>0</v>
      </c>
      <c r="AB91" s="84">
        <f t="shared" si="13"/>
        <v>0</v>
      </c>
      <c r="AD91" s="84">
        <f ca="1"/>
        <v>0</v>
      </c>
      <c r="AE91" s="84">
        <f ca="1"/>
        <v>0</v>
      </c>
    </row>
    <row r="92" spans="1:35">
      <c r="D92" s="616">
        <v>74</v>
      </c>
      <c r="F92" s="18">
        <f ca="1" xml:space="preserve"> ( __Saldo_Final _Anterior + T_SeguroAnual!__Saldo_Ciclico ) * ( __Stopper_Saldo_Inicial )</f>
        <v>9.0949470177292824E-12</v>
      </c>
      <c r="G92" s="83">
        <f ca="1">MIN( CHOOSE(i.Opcion.Abono, __Capital_Opcion_1, __Capital_Opcion_2, __Capital_Opcion_3) _Actual, __Saldo_Inicial _Actual)</f>
        <v>0</v>
      </c>
      <c r="H92" s="83">
        <f t="shared" ca="1" si="7"/>
        <v>3.2590226813529929E-15</v>
      </c>
      <c r="I92" s="84">
        <f ca="1">T_AutoYSeguroMulti!__Dias_Interes_Periodo</f>
        <v>30</v>
      </c>
      <c r="J92" s="84">
        <f t="shared" ca="1" si="8"/>
        <v>9.7770680440589784E-14</v>
      </c>
      <c r="K92" s="84">
        <f t="shared" ca="1" si="9"/>
        <v>1.1732481652870774E-14</v>
      </c>
      <c r="L92" s="83">
        <f t="shared" ca="1" si="10"/>
        <v>1.0950316209346055E-13</v>
      </c>
      <c r="M92" s="643">
        <f>INDEX(TablaCliente!_CapturaAbonoAnticipadoTablaCliente,__Amortizacion)</f>
        <v>0</v>
      </c>
      <c r="N92" s="84">
        <f t="shared" ca="1" si="11"/>
        <v>9.0949470177292824E-12</v>
      </c>
      <c r="P92" s="615" t="b">
        <f ca="1">__Saldo_Final _Anterior &gt; 0</f>
        <v>1</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5">
        <v>0</v>
      </c>
      <c r="W92" s="615"/>
      <c r="X92" s="84">
        <v>0</v>
      </c>
      <c r="Y92" s="84">
        <v>0</v>
      </c>
      <c r="Z92" s="84"/>
      <c r="AA92" s="84">
        <f ca="1" xml:space="preserve"> T_SeguroAnual!__Abono_Sobrante</f>
        <v>0</v>
      </c>
      <c r="AB92" s="84">
        <f t="shared" si="13"/>
        <v>0</v>
      </c>
      <c r="AD92" s="84">
        <f ca="1"/>
        <v>0</v>
      </c>
      <c r="AE92" s="84">
        <f ca="1"/>
        <v>0</v>
      </c>
    </row>
    <row r="93" spans="1:35">
      <c r="D93" s="616">
        <v>75</v>
      </c>
      <c r="F93" s="18">
        <f ca="1" xml:space="preserve"> ( __Saldo_Final _Anterior + T_SeguroAnual!__Saldo_Ciclico ) * ( __Stopper_Saldo_Inicial )</f>
        <v>9.0949470177292824E-12</v>
      </c>
      <c r="G93" s="83">
        <f ca="1">MIN( CHOOSE(i.Opcion.Abono, __Capital_Opcion_1, __Capital_Opcion_2, __Capital_Opcion_3) _Actual, __Saldo_Inicial _Actual)</f>
        <v>0</v>
      </c>
      <c r="H93" s="83">
        <f t="shared" ca="1" si="7"/>
        <v>3.2590226813529929E-15</v>
      </c>
      <c r="I93" s="84">
        <f ca="1">T_AutoYSeguroMulti!__Dias_Interes_Periodo</f>
        <v>30</v>
      </c>
      <c r="J93" s="84">
        <f t="shared" ca="1" si="8"/>
        <v>9.7770680440589784E-14</v>
      </c>
      <c r="K93" s="84">
        <f t="shared" ca="1" si="9"/>
        <v>1.1732481652870774E-14</v>
      </c>
      <c r="L93" s="83">
        <f t="shared" ca="1" si="10"/>
        <v>1.0950316209346055E-13</v>
      </c>
      <c r="M93" s="643">
        <f>INDEX(TablaCliente!_CapturaAbonoAnticipadoTablaCliente,__Amortizacion)</f>
        <v>0</v>
      </c>
      <c r="N93" s="84">
        <f t="shared" ca="1" si="11"/>
        <v>9.0949470177292824E-12</v>
      </c>
      <c r="P93" s="615" t="b">
        <f ca="1">__Saldo_Final _Anterior &gt; 0</f>
        <v>1</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5">
        <v>0</v>
      </c>
      <c r="W93" s="615"/>
      <c r="X93" s="84">
        <v>0</v>
      </c>
      <c r="Y93" s="84">
        <v>0</v>
      </c>
      <c r="Z93" s="84"/>
      <c r="AA93" s="84">
        <f ca="1" xml:space="preserve"> T_SeguroAnual!__Abono_Sobrante</f>
        <v>0</v>
      </c>
      <c r="AB93" s="84">
        <f t="shared" si="13"/>
        <v>0</v>
      </c>
      <c r="AD93" s="84">
        <f ca="1"/>
        <v>0</v>
      </c>
      <c r="AE93" s="84">
        <f ca="1"/>
        <v>0</v>
      </c>
    </row>
    <row r="94" spans="1:35">
      <c r="D94" s="616">
        <v>76</v>
      </c>
      <c r="F94" s="18">
        <f ca="1" xml:space="preserve"> ( __Saldo_Final _Anterior + T_SeguroAnual!__Saldo_Ciclico ) * ( __Stopper_Saldo_Inicial )</f>
        <v>9.0949470177292824E-12</v>
      </c>
      <c r="G94" s="83">
        <f ca="1">MIN( CHOOSE(i.Opcion.Abono, __Capital_Opcion_1, __Capital_Opcion_2, __Capital_Opcion_3) _Actual, __Saldo_Inicial _Actual)</f>
        <v>0</v>
      </c>
      <c r="H94" s="83">
        <f t="shared" ca="1" si="7"/>
        <v>3.2590226813529929E-15</v>
      </c>
      <c r="I94" s="84">
        <f ca="1">T_AutoYSeguroMulti!__Dias_Interes_Periodo</f>
        <v>30</v>
      </c>
      <c r="J94" s="84">
        <f t="shared" ca="1" si="8"/>
        <v>9.7770680440589784E-14</v>
      </c>
      <c r="K94" s="84">
        <f t="shared" ca="1" si="9"/>
        <v>1.1732481652870774E-14</v>
      </c>
      <c r="L94" s="83">
        <f t="shared" ca="1" si="10"/>
        <v>1.0950316209346055E-13</v>
      </c>
      <c r="M94" s="643">
        <f>INDEX(TablaCliente!_CapturaAbonoAnticipadoTablaCliente,__Amortizacion)</f>
        <v>0</v>
      </c>
      <c r="N94" s="84">
        <f t="shared" ca="1" si="11"/>
        <v>9.0949470177292824E-12</v>
      </c>
      <c r="P94" s="615" t="b">
        <f ca="1">__Saldo_Final _Anterior &gt; 0</f>
        <v>1</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5">
        <v>0</v>
      </c>
      <c r="W94" s="615"/>
      <c r="X94" s="84">
        <v>0</v>
      </c>
      <c r="Y94" s="84">
        <v>0</v>
      </c>
      <c r="Z94" s="84"/>
      <c r="AA94" s="84">
        <f ca="1" xml:space="preserve"> T_SeguroAnual!__Abono_Sobrante</f>
        <v>0</v>
      </c>
      <c r="AB94" s="84">
        <f t="shared" si="13"/>
        <v>0</v>
      </c>
      <c r="AD94" s="84">
        <f ca="1"/>
        <v>0</v>
      </c>
      <c r="AE94" s="84">
        <f ca="1"/>
        <v>0</v>
      </c>
    </row>
    <row r="95" spans="1:35">
      <c r="D95" s="616">
        <v>77</v>
      </c>
      <c r="F95" s="18">
        <f ca="1" xml:space="preserve"> ( __Saldo_Final _Anterior + T_SeguroAnual!__Saldo_Ciclico ) * ( __Stopper_Saldo_Inicial )</f>
        <v>9.0949470177292824E-12</v>
      </c>
      <c r="G95" s="83">
        <f ca="1">MIN( CHOOSE(i.Opcion.Abono, __Capital_Opcion_1, __Capital_Opcion_2, __Capital_Opcion_3) _Actual, __Saldo_Inicial _Actual)</f>
        <v>0</v>
      </c>
      <c r="H95" s="83">
        <f t="shared" ca="1" si="7"/>
        <v>3.2590226813529929E-15</v>
      </c>
      <c r="I95" s="84">
        <f ca="1">T_AutoYSeguroMulti!__Dias_Interes_Periodo</f>
        <v>30</v>
      </c>
      <c r="J95" s="84">
        <f t="shared" ca="1" si="8"/>
        <v>9.7770680440589784E-14</v>
      </c>
      <c r="K95" s="84">
        <f t="shared" ca="1" si="9"/>
        <v>1.1732481652870774E-14</v>
      </c>
      <c r="L95" s="83">
        <f t="shared" ca="1" si="10"/>
        <v>1.0950316209346055E-13</v>
      </c>
      <c r="M95" s="643">
        <f>INDEX(TablaCliente!_CapturaAbonoAnticipadoTablaCliente,__Amortizacion)</f>
        <v>0</v>
      </c>
      <c r="N95" s="84">
        <f t="shared" ca="1" si="11"/>
        <v>9.0949470177292824E-12</v>
      </c>
      <c r="P95" s="615" t="b">
        <f ca="1">__Saldo_Final _Anterior &gt; 0</f>
        <v>1</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5">
        <v>0</v>
      </c>
      <c r="W95" s="615"/>
      <c r="X95" s="84">
        <v>0</v>
      </c>
      <c r="Y95" s="84">
        <v>0</v>
      </c>
      <c r="Z95" s="84"/>
      <c r="AA95" s="84">
        <f ca="1" xml:space="preserve"> T_SeguroAnual!__Abono_Sobrante</f>
        <v>0</v>
      </c>
      <c r="AB95" s="84">
        <f t="shared" si="13"/>
        <v>0</v>
      </c>
      <c r="AD95" s="84">
        <f ca="1"/>
        <v>0</v>
      </c>
      <c r="AE95" s="84">
        <f ca="1"/>
        <v>0</v>
      </c>
    </row>
    <row r="96" spans="1:35">
      <c r="D96" s="616">
        <v>78</v>
      </c>
      <c r="F96" s="18">
        <f ca="1" xml:space="preserve"> ( __Saldo_Final _Anterior + T_SeguroAnual!__Saldo_Ciclico ) * ( __Stopper_Saldo_Inicial )</f>
        <v>9.0949470177292824E-12</v>
      </c>
      <c r="G96" s="83">
        <f ca="1">MIN( CHOOSE(i.Opcion.Abono, __Capital_Opcion_1, __Capital_Opcion_2, __Capital_Opcion_3) _Actual, __Saldo_Inicial _Actual)</f>
        <v>0</v>
      </c>
      <c r="H96" s="83">
        <f t="shared" ca="1" si="7"/>
        <v>3.2590226813529929E-15</v>
      </c>
      <c r="I96" s="84">
        <f ca="1">T_AutoYSeguroMulti!__Dias_Interes_Periodo</f>
        <v>30</v>
      </c>
      <c r="J96" s="84">
        <f t="shared" ca="1" si="8"/>
        <v>9.7770680440589784E-14</v>
      </c>
      <c r="K96" s="84">
        <f t="shared" ca="1" si="9"/>
        <v>1.1732481652870774E-14</v>
      </c>
      <c r="L96" s="83">
        <f t="shared" ca="1" si="10"/>
        <v>1.0950316209346055E-13</v>
      </c>
      <c r="M96" s="643">
        <f>INDEX(TablaCliente!_CapturaAbonoAnticipadoTablaCliente,__Amortizacion)</f>
        <v>0</v>
      </c>
      <c r="N96" s="84">
        <f t="shared" ca="1" si="11"/>
        <v>9.0949470177292824E-12</v>
      </c>
      <c r="P96" s="615" t="b">
        <f ca="1">__Saldo_Final _Anterior &gt; 0</f>
        <v>1</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c r="D97" s="616">
        <v>79</v>
      </c>
      <c r="F97" s="18">
        <f ca="1" xml:space="preserve"> ( __Saldo_Final _Anterior + T_SeguroAnual!__Saldo_Ciclico ) * ( __Stopper_Saldo_Inicial )</f>
        <v>9.0949470177292824E-12</v>
      </c>
      <c r="G97" s="83">
        <f ca="1">MIN( CHOOSE(i.Opcion.Abono, __Capital_Opcion_1, __Capital_Opcion_2, __Capital_Opcion_3) _Actual, __Saldo_Inicial _Actual)</f>
        <v>0</v>
      </c>
      <c r="H97" s="83">
        <f t="shared" ca="1" si="7"/>
        <v>3.2590226813529929E-15</v>
      </c>
      <c r="I97" s="84">
        <f ca="1">T_AutoYSeguroMulti!__Dias_Interes_Periodo</f>
        <v>30</v>
      </c>
      <c r="J97" s="84">
        <f t="shared" ca="1" si="8"/>
        <v>9.7770680440589784E-14</v>
      </c>
      <c r="K97" s="84">
        <f t="shared" ca="1" si="9"/>
        <v>1.1732481652870774E-14</v>
      </c>
      <c r="L97" s="83">
        <f t="shared" ca="1" si="10"/>
        <v>1.0950316209346055E-13</v>
      </c>
      <c r="M97" s="643">
        <f>INDEX(TablaCliente!_CapturaAbonoAnticipadoTablaCliente,__Amortizacion)</f>
        <v>0</v>
      </c>
      <c r="N97" s="84">
        <f t="shared" ca="1" si="11"/>
        <v>9.0949470177292824E-12</v>
      </c>
      <c r="P97" s="615" t="b">
        <f ca="1">__Saldo_Final _Anterior &gt; 0</f>
        <v>1</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c r="D98" s="98">
        <v>80</v>
      </c>
      <c r="F98" s="18">
        <f ca="1" xml:space="preserve"> ( __Saldo_Final _Anterior + T_SeguroAnual!__Saldo_Ciclico ) * ( __Stopper_Saldo_Inicial )</f>
        <v>9.0949470177292824E-12</v>
      </c>
      <c r="G98" s="83">
        <f ca="1">MIN( CHOOSE(i.Opcion.Abono, __Capital_Opcion_1, __Capital_Opcion_2, __Capital_Opcion_3) _Actual, __Saldo_Inicial _Actual)</f>
        <v>0</v>
      </c>
      <c r="H98" s="83">
        <f t="shared" ca="1" si="7"/>
        <v>3.2590226813529929E-15</v>
      </c>
      <c r="I98" s="84">
        <f ca="1">T_AutoYSeguroMulti!__Dias_Interes_Periodo</f>
        <v>30</v>
      </c>
      <c r="J98" s="84">
        <f t="shared" ca="1" si="8"/>
        <v>9.7770680440589784E-14</v>
      </c>
      <c r="K98" s="84">
        <f t="shared" ca="1" si="9"/>
        <v>1.1732481652870774E-14</v>
      </c>
      <c r="L98" s="83">
        <f t="shared" ca="1" si="10"/>
        <v>1.0950316209346055E-13</v>
      </c>
      <c r="M98" s="643">
        <f>INDEX(TablaCliente!_CapturaAbonoAnticipadoTablaCliente,__Amortizacion)</f>
        <v>0</v>
      </c>
      <c r="N98" s="84">
        <f t="shared" ca="1" si="11"/>
        <v>9.0949470177292824E-12</v>
      </c>
      <c r="P98" s="615" t="b">
        <f ca="1">__Saldo_Final _Anterior &gt; 0</f>
        <v>1</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c r="D99" s="616">
        <v>81</v>
      </c>
      <c r="F99" s="18">
        <f ca="1" xml:space="preserve"> ( __Saldo_Final _Anterior + T_SeguroAnual!__Saldo_Ciclico ) * ( __Stopper_Saldo_Inicial )</f>
        <v>9.0949470177292824E-12</v>
      </c>
      <c r="G99" s="83">
        <f ca="1">MIN( CHOOSE(i.Opcion.Abono, __Capital_Opcion_1, __Capital_Opcion_2, __Capital_Opcion_3) _Actual, __Saldo_Inicial _Actual)</f>
        <v>0</v>
      </c>
      <c r="H99" s="83">
        <f t="shared" ca="1" si="7"/>
        <v>3.2590226813529929E-15</v>
      </c>
      <c r="I99" s="84">
        <f ca="1">T_AutoYSeguroMulti!__Dias_Interes_Periodo</f>
        <v>30</v>
      </c>
      <c r="J99" s="84">
        <f t="shared" ca="1" si="8"/>
        <v>9.7770680440589784E-14</v>
      </c>
      <c r="K99" s="84">
        <f t="shared" ca="1" si="9"/>
        <v>1.1732481652870774E-14</v>
      </c>
      <c r="L99" s="83">
        <f t="shared" ca="1" si="10"/>
        <v>1.0950316209346055E-13</v>
      </c>
      <c r="M99" s="643">
        <f>INDEX(TablaCliente!_CapturaAbonoAnticipadoTablaCliente,__Amortizacion)</f>
        <v>0</v>
      </c>
      <c r="N99" s="84">
        <f t="shared" ca="1" si="11"/>
        <v>9.0949470177292824E-12</v>
      </c>
      <c r="P99" s="615" t="b">
        <f ca="1">__Saldo_Final _Anterior &gt; 0</f>
        <v>1</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c r="D100" s="616">
        <v>82</v>
      </c>
      <c r="F100" s="18">
        <f ca="1" xml:space="preserve"> ( __Saldo_Final _Anterior + T_SeguroAnual!__Saldo_Ciclico ) * ( __Stopper_Saldo_Inicial )</f>
        <v>9.0949470177292824E-12</v>
      </c>
      <c r="G100" s="83">
        <f ca="1">MIN( CHOOSE(i.Opcion.Abono, __Capital_Opcion_1, __Capital_Opcion_2, __Capital_Opcion_3) _Actual, __Saldo_Inicial _Actual)</f>
        <v>0</v>
      </c>
      <c r="H100" s="83">
        <f t="shared" ca="1" si="7"/>
        <v>3.2590226813529929E-15</v>
      </c>
      <c r="I100" s="84">
        <f ca="1">T_AutoYSeguroMulti!__Dias_Interes_Periodo</f>
        <v>30</v>
      </c>
      <c r="J100" s="84">
        <f t="shared" ca="1" si="8"/>
        <v>9.7770680440589784E-14</v>
      </c>
      <c r="K100" s="84">
        <f t="shared" ca="1" si="9"/>
        <v>1.1732481652870774E-14</v>
      </c>
      <c r="L100" s="83">
        <f t="shared" ca="1" si="10"/>
        <v>1.0950316209346055E-13</v>
      </c>
      <c r="M100" s="643">
        <f>INDEX(TablaCliente!_CapturaAbonoAnticipadoTablaCliente,__Amortizacion)</f>
        <v>0</v>
      </c>
      <c r="N100" s="84">
        <f t="shared" ca="1" si="11"/>
        <v>9.0949470177292824E-12</v>
      </c>
      <c r="P100" s="615" t="b">
        <f ca="1">__Saldo_Final _Anterior &gt; 0</f>
        <v>1</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c r="D101" s="616">
        <v>83</v>
      </c>
      <c r="F101" s="18">
        <f ca="1" xml:space="preserve"> ( __Saldo_Final _Anterior + T_SeguroAnual!__Saldo_Ciclico ) * ( __Stopper_Saldo_Inicial )</f>
        <v>9.0949470177292824E-12</v>
      </c>
      <c r="G101" s="83">
        <f ca="1">MIN( CHOOSE(i.Opcion.Abono, __Capital_Opcion_1, __Capital_Opcion_2, __Capital_Opcion_3) _Actual, __Saldo_Inicial _Actual)</f>
        <v>0</v>
      </c>
      <c r="H101" s="83">
        <f t="shared" ca="1" si="7"/>
        <v>3.2590226813529929E-15</v>
      </c>
      <c r="I101" s="84">
        <f ca="1">T_AutoYSeguroMulti!__Dias_Interes_Periodo</f>
        <v>30</v>
      </c>
      <c r="J101" s="84">
        <f t="shared" ca="1" si="8"/>
        <v>9.7770680440589784E-14</v>
      </c>
      <c r="K101" s="84">
        <f t="shared" ca="1" si="9"/>
        <v>1.1732481652870774E-14</v>
      </c>
      <c r="L101" s="83">
        <f t="shared" ca="1" si="10"/>
        <v>1.0950316209346055E-13</v>
      </c>
      <c r="M101" s="643">
        <f>INDEX(TablaCliente!_CapturaAbonoAnticipadoTablaCliente,__Amortizacion)</f>
        <v>0</v>
      </c>
      <c r="N101" s="84">
        <f t="shared" ca="1" si="11"/>
        <v>9.0949470177292824E-12</v>
      </c>
      <c r="P101" s="615" t="b">
        <f ca="1">__Saldo_Final _Anterior &gt; 0</f>
        <v>1</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c r="D102" s="616">
        <v>84</v>
      </c>
      <c r="F102" s="18">
        <f ca="1" xml:space="preserve"> ( __Saldo_Final _Anterior + T_SeguroAnual!__Saldo_Ciclico ) * ( __Stopper_Saldo_Inicial )</f>
        <v>9.0949470177292824E-12</v>
      </c>
      <c r="G102" s="83">
        <f ca="1">MIN( CHOOSE(i.Opcion.Abono, __Capital_Opcion_1, __Capital_Opcion_2, __Capital_Opcion_3) _Actual, __Saldo_Inicial _Actual)</f>
        <v>0</v>
      </c>
      <c r="H102" s="83">
        <f t="shared" ca="1" si="7"/>
        <v>3.2590226813529929E-15</v>
      </c>
      <c r="I102" s="84">
        <f ca="1">T_AutoYSeguroMulti!__Dias_Interes_Periodo</f>
        <v>30</v>
      </c>
      <c r="J102" s="84">
        <f t="shared" ca="1" si="8"/>
        <v>9.7770680440589784E-14</v>
      </c>
      <c r="K102" s="84">
        <f t="shared" ca="1" si="9"/>
        <v>1.1732481652870774E-14</v>
      </c>
      <c r="L102" s="83">
        <f t="shared" ca="1" si="10"/>
        <v>1.0950316209346055E-13</v>
      </c>
      <c r="M102" s="643">
        <f>INDEX(TablaCliente!_CapturaAbonoAnticipadoTablaCliente,__Amortizacion)</f>
        <v>0</v>
      </c>
      <c r="N102" s="84">
        <f t="shared" ca="1" si="11"/>
        <v>9.0949470177292824E-12</v>
      </c>
      <c r="P102" s="615" t="b">
        <f ca="1">__Saldo_Final _Anterior &gt; 0</f>
        <v>1</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c r="D103" s="616">
        <v>85</v>
      </c>
      <c r="F103" s="18">
        <f ca="1" xml:space="preserve"> ( __Saldo_Final _Anterior + T_SeguroAnual!__Saldo_Ciclico ) * ( __Stopper_Saldo_Inicial )</f>
        <v>9.0949470177292824E-12</v>
      </c>
      <c r="G103" s="83">
        <f ca="1">MIN( CHOOSE(i.Opcion.Abono, __Capital_Opcion_1, __Capital_Opcion_2, __Capital_Opcion_3) _Actual, __Saldo_Inicial _Actual)</f>
        <v>0</v>
      </c>
      <c r="H103" s="83">
        <f t="shared" ca="1" si="7"/>
        <v>3.2590226813529929E-15</v>
      </c>
      <c r="I103" s="84">
        <f ca="1">T_AutoYSeguroMulti!__Dias_Interes_Periodo</f>
        <v>30</v>
      </c>
      <c r="J103" s="84">
        <f t="shared" ca="1" si="8"/>
        <v>9.7770680440589784E-14</v>
      </c>
      <c r="K103" s="84">
        <f t="shared" ca="1" si="9"/>
        <v>1.1732481652870774E-14</v>
      </c>
      <c r="L103" s="83">
        <f t="shared" ca="1" si="10"/>
        <v>1.0950316209346055E-13</v>
      </c>
      <c r="M103" s="643">
        <f>INDEX(TablaCliente!_CapturaAbonoAnticipadoTablaCliente,__Amortizacion)</f>
        <v>0</v>
      </c>
      <c r="N103" s="84">
        <f t="shared" ca="1" si="11"/>
        <v>9.0949470177292824E-12</v>
      </c>
      <c r="P103" s="615" t="b">
        <f ca="1">__Saldo_Final _Anterior &gt; 0</f>
        <v>1</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c r="D104" s="616">
        <v>86</v>
      </c>
      <c r="F104" s="18">
        <f ca="1" xml:space="preserve"> ( __Saldo_Final _Anterior + T_SeguroAnual!__Saldo_Ciclico ) * ( __Stopper_Saldo_Inicial )</f>
        <v>9.0949470177292824E-12</v>
      </c>
      <c r="G104" s="83">
        <f ca="1">MIN( CHOOSE(i.Opcion.Abono, __Capital_Opcion_1, __Capital_Opcion_2, __Capital_Opcion_3) _Actual, __Saldo_Inicial _Actual)</f>
        <v>0</v>
      </c>
      <c r="H104" s="83">
        <f t="shared" ca="1" si="7"/>
        <v>3.2590226813529929E-15</v>
      </c>
      <c r="I104" s="84">
        <f ca="1">T_AutoYSeguroMulti!__Dias_Interes_Periodo</f>
        <v>30</v>
      </c>
      <c r="J104" s="84">
        <f t="shared" ca="1" si="8"/>
        <v>9.7770680440589784E-14</v>
      </c>
      <c r="K104" s="84">
        <f t="shared" ca="1" si="9"/>
        <v>1.1732481652870774E-14</v>
      </c>
      <c r="L104" s="83">
        <f t="shared" ca="1" si="10"/>
        <v>1.0950316209346055E-13</v>
      </c>
      <c r="M104" s="643">
        <f>INDEX(TablaCliente!_CapturaAbonoAnticipadoTablaCliente,__Amortizacion)</f>
        <v>0</v>
      </c>
      <c r="N104" s="84">
        <f t="shared" ca="1" si="11"/>
        <v>9.0949470177292824E-12</v>
      </c>
      <c r="P104" s="615" t="b">
        <f ca="1">__Saldo_Final _Anterior &gt; 0</f>
        <v>1</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c r="D105" s="616">
        <v>87</v>
      </c>
      <c r="F105" s="18">
        <f ca="1" xml:space="preserve"> ( __Saldo_Final _Anterior + T_SeguroAnual!__Saldo_Ciclico ) * ( __Stopper_Saldo_Inicial )</f>
        <v>9.0949470177292824E-12</v>
      </c>
      <c r="G105" s="83">
        <f ca="1">MIN( CHOOSE(i.Opcion.Abono, __Capital_Opcion_1, __Capital_Opcion_2, __Capital_Opcion_3) _Actual, __Saldo_Inicial _Actual)</f>
        <v>0</v>
      </c>
      <c r="H105" s="83">
        <f t="shared" ca="1" si="7"/>
        <v>3.2590226813529929E-15</v>
      </c>
      <c r="I105" s="84">
        <f ca="1">T_AutoYSeguroMulti!__Dias_Interes_Periodo</f>
        <v>30</v>
      </c>
      <c r="J105" s="84">
        <f t="shared" ca="1" si="8"/>
        <v>9.7770680440589784E-14</v>
      </c>
      <c r="K105" s="84">
        <f t="shared" ca="1" si="9"/>
        <v>1.1732481652870774E-14</v>
      </c>
      <c r="L105" s="83">
        <f t="shared" ca="1" si="10"/>
        <v>1.0950316209346055E-13</v>
      </c>
      <c r="M105" s="643">
        <f>INDEX(TablaCliente!_CapturaAbonoAnticipadoTablaCliente,__Amortizacion)</f>
        <v>0</v>
      </c>
      <c r="N105" s="84">
        <f t="shared" ca="1" si="11"/>
        <v>9.0949470177292824E-12</v>
      </c>
      <c r="P105" s="615" t="b">
        <f ca="1">__Saldo_Final _Anterior &gt; 0</f>
        <v>1</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c r="D106" s="616">
        <v>88</v>
      </c>
      <c r="F106" s="18">
        <f ca="1" xml:space="preserve"> ( __Saldo_Final _Anterior + T_SeguroAnual!__Saldo_Ciclico ) * ( __Stopper_Saldo_Inicial )</f>
        <v>9.0949470177292824E-12</v>
      </c>
      <c r="G106" s="83">
        <f ca="1">MIN( CHOOSE(i.Opcion.Abono, __Capital_Opcion_1, __Capital_Opcion_2, __Capital_Opcion_3) _Actual, __Saldo_Inicial _Actual)</f>
        <v>0</v>
      </c>
      <c r="H106" s="83">
        <f t="shared" ca="1" si="7"/>
        <v>3.2590226813529929E-15</v>
      </c>
      <c r="I106" s="84">
        <f ca="1">T_AutoYSeguroMulti!__Dias_Interes_Periodo</f>
        <v>30</v>
      </c>
      <c r="J106" s="84">
        <f t="shared" ca="1" si="8"/>
        <v>9.7770680440589784E-14</v>
      </c>
      <c r="K106" s="84">
        <f t="shared" ca="1" si="9"/>
        <v>1.1732481652870774E-14</v>
      </c>
      <c r="L106" s="83">
        <f t="shared" ca="1" si="10"/>
        <v>1.0950316209346055E-13</v>
      </c>
      <c r="M106" s="643">
        <f>INDEX(TablaCliente!_CapturaAbonoAnticipadoTablaCliente,__Amortizacion)</f>
        <v>0</v>
      </c>
      <c r="N106" s="84">
        <f t="shared" ca="1" si="11"/>
        <v>9.0949470177292824E-12</v>
      </c>
      <c r="P106" s="615" t="b">
        <f ca="1">__Saldo_Final _Anterior &gt; 0</f>
        <v>1</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c r="D107" s="616">
        <v>89</v>
      </c>
      <c r="F107" s="18">
        <f ca="1" xml:space="preserve"> ( __Saldo_Final _Anterior + T_SeguroAnual!__Saldo_Ciclico ) * ( __Stopper_Saldo_Inicial )</f>
        <v>9.0949470177292824E-12</v>
      </c>
      <c r="G107" s="83">
        <f ca="1">MIN( CHOOSE(i.Opcion.Abono, __Capital_Opcion_1, __Capital_Opcion_2, __Capital_Opcion_3) _Actual, __Saldo_Inicial _Actual)</f>
        <v>0</v>
      </c>
      <c r="H107" s="83">
        <f t="shared" ca="1" si="7"/>
        <v>3.2590226813529929E-15</v>
      </c>
      <c r="I107" s="84">
        <f ca="1">T_AutoYSeguroMulti!__Dias_Interes_Periodo</f>
        <v>30</v>
      </c>
      <c r="J107" s="84">
        <f t="shared" ca="1" si="8"/>
        <v>9.7770680440589784E-14</v>
      </c>
      <c r="K107" s="84">
        <f t="shared" ca="1" si="9"/>
        <v>1.1732481652870774E-14</v>
      </c>
      <c r="L107" s="83">
        <f t="shared" ca="1" si="10"/>
        <v>1.0950316209346055E-13</v>
      </c>
      <c r="M107" s="643">
        <f>INDEX(TablaCliente!_CapturaAbonoAnticipadoTablaCliente,__Amortizacion)</f>
        <v>0</v>
      </c>
      <c r="N107" s="84">
        <f t="shared" ca="1" si="11"/>
        <v>9.0949470177292824E-12</v>
      </c>
      <c r="P107" s="615" t="b">
        <f ca="1">__Saldo_Final _Anterior &gt; 0</f>
        <v>1</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c r="D108" s="616">
        <v>90</v>
      </c>
      <c r="F108" s="18">
        <f ca="1" xml:space="preserve"> ( __Saldo_Final _Anterior + T_SeguroAnual!__Saldo_Ciclico ) * ( __Stopper_Saldo_Inicial )</f>
        <v>9.0949470177292824E-12</v>
      </c>
      <c r="G108" s="83">
        <f ca="1">MIN( CHOOSE(i.Opcion.Abono, __Capital_Opcion_1, __Capital_Opcion_2, __Capital_Opcion_3) _Actual, __Saldo_Inicial _Actual)</f>
        <v>0</v>
      </c>
      <c r="H108" s="83">
        <f t="shared" ca="1" si="7"/>
        <v>3.2590226813529929E-15</v>
      </c>
      <c r="I108" s="84">
        <f ca="1">T_AutoYSeguroMulti!__Dias_Interes_Periodo</f>
        <v>30</v>
      </c>
      <c r="J108" s="84">
        <f t="shared" ca="1" si="8"/>
        <v>9.7770680440589784E-14</v>
      </c>
      <c r="K108" s="84">
        <f t="shared" ca="1" si="9"/>
        <v>1.1732481652870774E-14</v>
      </c>
      <c r="L108" s="83">
        <f t="shared" ca="1" si="10"/>
        <v>1.0950316209346055E-13</v>
      </c>
      <c r="M108" s="643">
        <f>INDEX(TablaCliente!_CapturaAbonoAnticipadoTablaCliente,__Amortizacion)</f>
        <v>0</v>
      </c>
      <c r="N108" s="84">
        <f t="shared" ca="1" si="11"/>
        <v>9.0949470177292824E-12</v>
      </c>
      <c r="P108" s="615" t="b">
        <f ca="1">__Saldo_Final _Anterior &gt; 0</f>
        <v>1</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c r="D109" s="616">
        <v>91</v>
      </c>
      <c r="F109" s="18">
        <f ca="1" xml:space="preserve"> ( __Saldo_Final _Anterior + T_SeguroAnual!__Saldo_Ciclico ) * ( __Stopper_Saldo_Inicial )</f>
        <v>9.0949470177292824E-12</v>
      </c>
      <c r="G109" s="83">
        <f ca="1">MIN( CHOOSE(i.Opcion.Abono, __Capital_Opcion_1, __Capital_Opcion_2, __Capital_Opcion_3) _Actual, __Saldo_Inicial _Actual)</f>
        <v>0</v>
      </c>
      <c r="H109" s="83">
        <f t="shared" ca="1" si="7"/>
        <v>3.2590226813529929E-15</v>
      </c>
      <c r="I109" s="84">
        <f ca="1">T_AutoYSeguroMulti!__Dias_Interes_Periodo</f>
        <v>30</v>
      </c>
      <c r="J109" s="84">
        <f t="shared" ca="1" si="8"/>
        <v>9.7770680440589784E-14</v>
      </c>
      <c r="K109" s="84">
        <f t="shared" ca="1" si="9"/>
        <v>1.1732481652870774E-14</v>
      </c>
      <c r="L109" s="83">
        <f t="shared" ca="1" si="10"/>
        <v>1.0950316209346055E-13</v>
      </c>
      <c r="M109" s="643">
        <f>INDEX(TablaCliente!_CapturaAbonoAnticipadoTablaCliente,__Amortizacion)</f>
        <v>0</v>
      </c>
      <c r="N109" s="84">
        <f t="shared" ca="1" si="11"/>
        <v>9.0949470177292824E-12</v>
      </c>
      <c r="P109" s="615" t="b">
        <f ca="1">__Saldo_Final _Anterior &gt; 0</f>
        <v>1</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c r="D110" s="616">
        <v>92</v>
      </c>
      <c r="F110" s="18">
        <f ca="1" xml:space="preserve"> ( __Saldo_Final _Anterior + T_SeguroAnual!__Saldo_Ciclico ) * ( __Stopper_Saldo_Inicial )</f>
        <v>9.0949470177292824E-12</v>
      </c>
      <c r="G110" s="83">
        <f ca="1">MIN( CHOOSE(i.Opcion.Abono, __Capital_Opcion_1, __Capital_Opcion_2, __Capital_Opcion_3) _Actual, __Saldo_Inicial _Actual)</f>
        <v>0</v>
      </c>
      <c r="H110" s="83">
        <f t="shared" ca="1" si="7"/>
        <v>3.2590226813529929E-15</v>
      </c>
      <c r="I110" s="84">
        <f ca="1">T_AutoYSeguroMulti!__Dias_Interes_Periodo</f>
        <v>30</v>
      </c>
      <c r="J110" s="84">
        <f t="shared" ca="1" si="8"/>
        <v>9.7770680440589784E-14</v>
      </c>
      <c r="K110" s="84">
        <f t="shared" ca="1" si="9"/>
        <v>1.1732481652870774E-14</v>
      </c>
      <c r="L110" s="83">
        <f t="shared" ca="1" si="10"/>
        <v>1.0950316209346055E-13</v>
      </c>
      <c r="M110" s="643">
        <f>INDEX(TablaCliente!_CapturaAbonoAnticipadoTablaCliente,__Amortizacion)</f>
        <v>0</v>
      </c>
      <c r="N110" s="84">
        <f t="shared" ca="1" si="11"/>
        <v>9.0949470177292824E-12</v>
      </c>
      <c r="P110" s="615" t="b">
        <f ca="1">__Saldo_Final _Anterior &gt; 0</f>
        <v>1</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c r="D111" s="616">
        <v>93</v>
      </c>
      <c r="F111" s="18">
        <f ca="1" xml:space="preserve"> ( __Saldo_Final _Anterior + T_SeguroAnual!__Saldo_Ciclico ) * ( __Stopper_Saldo_Inicial )</f>
        <v>9.0949470177292824E-12</v>
      </c>
      <c r="G111" s="83">
        <f ca="1">MIN( CHOOSE(i.Opcion.Abono, __Capital_Opcion_1, __Capital_Opcion_2, __Capital_Opcion_3) _Actual, __Saldo_Inicial _Actual)</f>
        <v>0</v>
      </c>
      <c r="H111" s="83">
        <f t="shared" ca="1" si="7"/>
        <v>3.2590226813529929E-15</v>
      </c>
      <c r="I111" s="84">
        <f ca="1">T_AutoYSeguroMulti!__Dias_Interes_Periodo</f>
        <v>30</v>
      </c>
      <c r="J111" s="84">
        <f t="shared" ca="1" si="8"/>
        <v>9.7770680440589784E-14</v>
      </c>
      <c r="K111" s="84">
        <f t="shared" ca="1" si="9"/>
        <v>1.1732481652870774E-14</v>
      </c>
      <c r="L111" s="83">
        <f t="shared" ca="1" si="10"/>
        <v>1.0950316209346055E-13</v>
      </c>
      <c r="M111" s="643">
        <f>INDEX(TablaCliente!_CapturaAbonoAnticipadoTablaCliente,__Amortizacion)</f>
        <v>0</v>
      </c>
      <c r="N111" s="84">
        <f t="shared" ca="1" si="11"/>
        <v>9.0949470177292824E-12</v>
      </c>
      <c r="P111" s="615" t="b">
        <f ca="1">__Saldo_Final _Anterior &gt; 0</f>
        <v>1</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c r="D112" s="616">
        <v>94</v>
      </c>
      <c r="F112" s="18">
        <f ca="1" xml:space="preserve"> ( __Saldo_Final _Anterior + T_SeguroAnual!__Saldo_Ciclico ) * ( __Stopper_Saldo_Inicial )</f>
        <v>9.0949470177292824E-12</v>
      </c>
      <c r="G112" s="83">
        <f ca="1">MIN( CHOOSE(i.Opcion.Abono, __Capital_Opcion_1, __Capital_Opcion_2, __Capital_Opcion_3) _Actual, __Saldo_Inicial _Actual)</f>
        <v>0</v>
      </c>
      <c r="H112" s="83">
        <f t="shared" ca="1" si="7"/>
        <v>3.2590226813529929E-15</v>
      </c>
      <c r="I112" s="84">
        <f ca="1">T_AutoYSeguroMulti!__Dias_Interes_Periodo</f>
        <v>30</v>
      </c>
      <c r="J112" s="84">
        <f t="shared" ca="1" si="8"/>
        <v>9.7770680440589784E-14</v>
      </c>
      <c r="K112" s="84">
        <f t="shared" ca="1" si="9"/>
        <v>1.1732481652870774E-14</v>
      </c>
      <c r="L112" s="83">
        <f t="shared" ca="1" si="10"/>
        <v>1.0950316209346055E-13</v>
      </c>
      <c r="M112" s="643">
        <f>INDEX(TablaCliente!_CapturaAbonoAnticipadoTablaCliente,__Amortizacion)</f>
        <v>0</v>
      </c>
      <c r="N112" s="84">
        <f t="shared" ca="1" si="11"/>
        <v>9.0949470177292824E-12</v>
      </c>
      <c r="P112" s="615" t="b">
        <f ca="1">__Saldo_Final _Anterior &gt; 0</f>
        <v>1</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c r="D113" s="616">
        <v>95</v>
      </c>
      <c r="F113" s="18">
        <f ca="1" xml:space="preserve"> ( __Saldo_Final _Anterior + T_SeguroAnual!__Saldo_Ciclico ) * ( __Stopper_Saldo_Inicial )</f>
        <v>9.0949470177292824E-12</v>
      </c>
      <c r="G113" s="83">
        <f ca="1">MIN( CHOOSE(i.Opcion.Abono, __Capital_Opcion_1, __Capital_Opcion_2, __Capital_Opcion_3) _Actual, __Saldo_Inicial _Actual)</f>
        <v>0</v>
      </c>
      <c r="H113" s="83">
        <f t="shared" ca="1" si="7"/>
        <v>3.2590226813529929E-15</v>
      </c>
      <c r="I113" s="84">
        <f ca="1">T_AutoYSeguroMulti!__Dias_Interes_Periodo</f>
        <v>30</v>
      </c>
      <c r="J113" s="84">
        <f t="shared" ca="1" si="8"/>
        <v>9.7770680440589784E-14</v>
      </c>
      <c r="K113" s="84">
        <f t="shared" ca="1" si="9"/>
        <v>1.1732481652870774E-14</v>
      </c>
      <c r="L113" s="83">
        <f t="shared" ca="1" si="10"/>
        <v>1.0950316209346055E-13</v>
      </c>
      <c r="M113" s="643">
        <f>INDEX(TablaCliente!_CapturaAbonoAnticipadoTablaCliente,__Amortizacion)</f>
        <v>0</v>
      </c>
      <c r="N113" s="84">
        <f t="shared" ca="1" si="11"/>
        <v>9.0949470177292824E-12</v>
      </c>
      <c r="P113" s="615" t="b">
        <f ca="1">__Saldo_Final _Anterior &gt; 0</f>
        <v>1</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c r="D114" s="616">
        <v>96</v>
      </c>
      <c r="F114" s="18">
        <f ca="1" xml:space="preserve"> ( __Saldo_Final _Anterior + T_SeguroAnual!__Saldo_Ciclico ) * ( __Stopper_Saldo_Inicial )</f>
        <v>9.0949470177292824E-12</v>
      </c>
      <c r="G114" s="83">
        <f ca="1">MIN( CHOOSE(i.Opcion.Abono, __Capital_Opcion_1, __Capital_Opcion_2, __Capital_Opcion_3) _Actual, __Saldo_Inicial _Actual)</f>
        <v>0</v>
      </c>
      <c r="H114" s="83">
        <f t="shared" ca="1" si="7"/>
        <v>3.2590226813529929E-15</v>
      </c>
      <c r="I114" s="84">
        <f ca="1">T_AutoYSeguroMulti!__Dias_Interes_Periodo</f>
        <v>30</v>
      </c>
      <c r="J114" s="84">
        <f t="shared" ca="1" si="8"/>
        <v>9.7770680440589784E-14</v>
      </c>
      <c r="K114" s="84">
        <f t="shared" ca="1" si="9"/>
        <v>1.1732481652870774E-14</v>
      </c>
      <c r="L114" s="83">
        <f t="shared" ca="1" si="10"/>
        <v>1.0950316209346055E-13</v>
      </c>
      <c r="M114" s="643">
        <f>INDEX(TablaCliente!_CapturaAbonoAnticipadoTablaCliente,__Amortizacion)</f>
        <v>0</v>
      </c>
      <c r="N114" s="84">
        <f t="shared" ca="1" si="11"/>
        <v>9.0949470177292824E-12</v>
      </c>
      <c r="P114" s="615" t="b">
        <f ca="1">__Saldo_Final _Anterior &gt; 0</f>
        <v>1</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c r="D115" s="616">
        <v>97</v>
      </c>
      <c r="F115" s="18">
        <f ca="1" xml:space="preserve"> ( __Saldo_Final _Anterior + T_SeguroAnual!__Saldo_Ciclico ) * ( __Stopper_Saldo_Inicial )</f>
        <v>9.0949470177292824E-12</v>
      </c>
      <c r="G115" s="83">
        <f ca="1">MIN( CHOOSE(i.Opcion.Abono, __Capital_Opcion_1, __Capital_Opcion_2, __Capital_Opcion_3) _Actual, __Saldo_Inicial _Actual)</f>
        <v>0</v>
      </c>
      <c r="H115" s="83">
        <f t="shared" ca="1" si="7"/>
        <v>3.2590226813529929E-15</v>
      </c>
      <c r="I115" s="84">
        <f ca="1">T_AutoYSeguroMulti!__Dias_Interes_Periodo</f>
        <v>30</v>
      </c>
      <c r="J115" s="84">
        <f t="shared" ca="1" si="8"/>
        <v>9.7770680440589784E-14</v>
      </c>
      <c r="K115" s="84">
        <f t="shared" ca="1" si="9"/>
        <v>1.1732481652870774E-14</v>
      </c>
      <c r="L115" s="83">
        <f t="shared" ca="1" si="10"/>
        <v>1.0950316209346055E-13</v>
      </c>
      <c r="M115" s="643">
        <f>INDEX(TablaCliente!_CapturaAbonoAnticipadoTablaCliente,__Amortizacion)</f>
        <v>0</v>
      </c>
      <c r="N115" s="84">
        <f t="shared" ca="1" si="11"/>
        <v>9.0949470177292824E-12</v>
      </c>
      <c r="P115" s="615" t="b">
        <f ca="1">__Saldo_Final _Anterior &gt; 0</f>
        <v>1</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c r="D116" s="616">
        <v>98</v>
      </c>
      <c r="F116" s="18">
        <f ca="1" xml:space="preserve"> ( __Saldo_Final _Anterior + T_SeguroAnual!__Saldo_Ciclico ) * ( __Stopper_Saldo_Inicial )</f>
        <v>9.0949470177292824E-12</v>
      </c>
      <c r="G116" s="83">
        <f ca="1">MIN( CHOOSE(i.Opcion.Abono, __Capital_Opcion_1, __Capital_Opcion_2, __Capital_Opcion_3) _Actual, __Saldo_Inicial _Actual)</f>
        <v>0</v>
      </c>
      <c r="H116" s="83">
        <f t="shared" ca="1" si="7"/>
        <v>3.2590226813529929E-15</v>
      </c>
      <c r="I116" s="84">
        <f ca="1">T_AutoYSeguroMulti!__Dias_Interes_Periodo</f>
        <v>30</v>
      </c>
      <c r="J116" s="84">
        <f t="shared" ca="1" si="8"/>
        <v>9.7770680440589784E-14</v>
      </c>
      <c r="K116" s="84">
        <f t="shared" ca="1" si="9"/>
        <v>1.1732481652870774E-14</v>
      </c>
      <c r="L116" s="83">
        <f t="shared" ca="1" si="10"/>
        <v>1.0950316209346055E-13</v>
      </c>
      <c r="M116" s="643">
        <f>INDEX(TablaCliente!_CapturaAbonoAnticipadoTablaCliente,__Amortizacion)</f>
        <v>0</v>
      </c>
      <c r="N116" s="84">
        <f t="shared" ca="1" si="11"/>
        <v>9.0949470177292824E-12</v>
      </c>
      <c r="P116" s="615" t="b">
        <f ca="1">__Saldo_Final _Anterior &gt; 0</f>
        <v>1</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c r="D117" s="616">
        <v>99</v>
      </c>
      <c r="F117" s="18">
        <f ca="1" xml:space="preserve"> ( __Saldo_Final _Anterior + T_SeguroAnual!__Saldo_Ciclico ) * ( __Stopper_Saldo_Inicial )</f>
        <v>9.0949470177292824E-12</v>
      </c>
      <c r="G117" s="83">
        <f ca="1">MIN( CHOOSE(i.Opcion.Abono, __Capital_Opcion_1, __Capital_Opcion_2, __Capital_Opcion_3) _Actual, __Saldo_Inicial _Actual)</f>
        <v>0</v>
      </c>
      <c r="H117" s="83">
        <f t="shared" ca="1" si="7"/>
        <v>3.2590226813529929E-15</v>
      </c>
      <c r="I117" s="84">
        <f ca="1">T_AutoYSeguroMulti!__Dias_Interes_Periodo</f>
        <v>30</v>
      </c>
      <c r="J117" s="84">
        <f t="shared" ca="1" si="8"/>
        <v>9.7770680440589784E-14</v>
      </c>
      <c r="K117" s="84">
        <f t="shared" ca="1" si="9"/>
        <v>1.1732481652870774E-14</v>
      </c>
      <c r="L117" s="83">
        <f t="shared" ca="1" si="10"/>
        <v>1.0950316209346055E-13</v>
      </c>
      <c r="M117" s="643">
        <f>INDEX(TablaCliente!_CapturaAbonoAnticipadoTablaCliente,__Amortizacion)</f>
        <v>0</v>
      </c>
      <c r="N117" s="84">
        <f t="shared" ca="1" si="11"/>
        <v>9.0949470177292824E-12</v>
      </c>
      <c r="P117" s="615" t="b">
        <f ca="1">__Saldo_Final _Anterior &gt; 0</f>
        <v>1</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c r="D118" s="616">
        <v>100</v>
      </c>
      <c r="F118" s="18">
        <f ca="1" xml:space="preserve"> ( __Saldo_Final _Anterior + T_SeguroAnual!__Saldo_Ciclico ) * ( __Stopper_Saldo_Inicial )</f>
        <v>9.0949470177292824E-12</v>
      </c>
      <c r="G118" s="83">
        <f ca="1">MIN( CHOOSE(i.Opcion.Abono, __Capital_Opcion_1, __Capital_Opcion_2, __Capital_Opcion_3) _Actual, __Saldo_Inicial _Actual)</f>
        <v>0</v>
      </c>
      <c r="H118" s="83">
        <f t="shared" ca="1" si="7"/>
        <v>3.2590226813529929E-15</v>
      </c>
      <c r="I118" s="84">
        <f ca="1">T_AutoYSeguroMulti!__Dias_Interes_Periodo</f>
        <v>30</v>
      </c>
      <c r="J118" s="84">
        <f t="shared" ca="1" si="8"/>
        <v>9.7770680440589784E-14</v>
      </c>
      <c r="K118" s="84">
        <f t="shared" ca="1" si="9"/>
        <v>1.1732481652870774E-14</v>
      </c>
      <c r="L118" s="83">
        <f t="shared" ca="1" si="10"/>
        <v>1.0950316209346055E-13</v>
      </c>
      <c r="M118" s="643">
        <f>INDEX(TablaCliente!_CapturaAbonoAnticipadoTablaCliente,__Amortizacion)</f>
        <v>0</v>
      </c>
      <c r="N118" s="84">
        <f t="shared" ca="1" si="11"/>
        <v>9.0949470177292824E-12</v>
      </c>
      <c r="P118" s="615" t="b">
        <f ca="1">__Saldo_Final _Anterior &gt; 0</f>
        <v>1</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c r="D119" s="616">
        <v>101</v>
      </c>
      <c r="F119" s="18">
        <f ca="1" xml:space="preserve"> ( __Saldo_Final _Anterior + T_SeguroAnual!__Saldo_Ciclico ) * ( __Stopper_Saldo_Inicial )</f>
        <v>9.0949470177292824E-12</v>
      </c>
      <c r="G119" s="83">
        <f ca="1">MIN( CHOOSE(i.Opcion.Abono, __Capital_Opcion_1, __Capital_Opcion_2, __Capital_Opcion_3) _Actual, __Saldo_Inicial _Actual)</f>
        <v>0</v>
      </c>
      <c r="H119" s="83">
        <f t="shared" ca="1" si="7"/>
        <v>3.2590226813529929E-15</v>
      </c>
      <c r="I119" s="84">
        <f ca="1">T_AutoYSeguroMulti!__Dias_Interes_Periodo</f>
        <v>30</v>
      </c>
      <c r="J119" s="84">
        <f t="shared" ca="1" si="8"/>
        <v>9.7770680440589784E-14</v>
      </c>
      <c r="K119" s="84">
        <f t="shared" ca="1" si="9"/>
        <v>1.1732481652870774E-14</v>
      </c>
      <c r="L119" s="83">
        <f t="shared" ca="1" si="10"/>
        <v>1.0950316209346055E-13</v>
      </c>
      <c r="M119" s="643">
        <f>INDEX(TablaCliente!_CapturaAbonoAnticipadoTablaCliente,__Amortizacion)</f>
        <v>0</v>
      </c>
      <c r="N119" s="84">
        <f t="shared" ca="1" si="11"/>
        <v>9.0949470177292824E-12</v>
      </c>
      <c r="P119" s="615" t="b">
        <f ca="1">__Saldo_Final _Anterior &gt; 0</f>
        <v>1</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c r="D120" s="616">
        <v>102</v>
      </c>
      <c r="F120" s="18">
        <f ca="1" xml:space="preserve"> ( __Saldo_Final _Anterior + T_SeguroAnual!__Saldo_Ciclico ) * ( __Stopper_Saldo_Inicial )</f>
        <v>9.0949470177292824E-12</v>
      </c>
      <c r="G120" s="83">
        <f ca="1">MIN( CHOOSE(i.Opcion.Abono, __Capital_Opcion_1, __Capital_Opcion_2, __Capital_Opcion_3) _Actual, __Saldo_Inicial _Actual)</f>
        <v>0</v>
      </c>
      <c r="H120" s="83">
        <f t="shared" ca="1" si="7"/>
        <v>3.2590226813529929E-15</v>
      </c>
      <c r="I120" s="84">
        <f ca="1">T_AutoYSeguroMulti!__Dias_Interes_Periodo</f>
        <v>30</v>
      </c>
      <c r="J120" s="84">
        <f t="shared" ca="1" si="8"/>
        <v>9.7770680440589784E-14</v>
      </c>
      <c r="K120" s="84">
        <f t="shared" ca="1" si="9"/>
        <v>1.1732481652870774E-14</v>
      </c>
      <c r="L120" s="83">
        <f t="shared" ca="1" si="10"/>
        <v>1.0950316209346055E-13</v>
      </c>
      <c r="M120" s="643">
        <f>INDEX(TablaCliente!_CapturaAbonoAnticipadoTablaCliente,__Amortizacion)</f>
        <v>0</v>
      </c>
      <c r="N120" s="84">
        <f t="shared" ca="1" si="11"/>
        <v>9.0949470177292824E-12</v>
      </c>
      <c r="P120" s="615" t="b">
        <f ca="1">__Saldo_Final _Anterior &gt; 0</f>
        <v>1</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c r="D121" s="616">
        <v>103</v>
      </c>
      <c r="F121" s="18">
        <f ca="1" xml:space="preserve"> ( __Saldo_Final _Anterior + T_SeguroAnual!__Saldo_Ciclico ) * ( __Stopper_Saldo_Inicial )</f>
        <v>9.0949470177292824E-12</v>
      </c>
      <c r="G121" s="83">
        <f ca="1">MIN( CHOOSE(i.Opcion.Abono, __Capital_Opcion_1, __Capital_Opcion_2, __Capital_Opcion_3) _Actual, __Saldo_Inicial _Actual)</f>
        <v>0</v>
      </c>
      <c r="H121" s="83">
        <f t="shared" ca="1" si="7"/>
        <v>3.2590226813529929E-15</v>
      </c>
      <c r="I121" s="84">
        <f ca="1">T_AutoYSeguroMulti!__Dias_Interes_Periodo</f>
        <v>30</v>
      </c>
      <c r="J121" s="84">
        <f t="shared" ca="1" si="8"/>
        <v>9.7770680440589784E-14</v>
      </c>
      <c r="K121" s="84">
        <f t="shared" ca="1" si="9"/>
        <v>1.1732481652870774E-14</v>
      </c>
      <c r="L121" s="83">
        <f t="shared" ca="1" si="10"/>
        <v>1.0950316209346055E-13</v>
      </c>
      <c r="M121" s="643">
        <f>INDEX(TablaCliente!_CapturaAbonoAnticipadoTablaCliente,__Amortizacion)</f>
        <v>0</v>
      </c>
      <c r="N121" s="84">
        <f t="shared" ca="1" si="11"/>
        <v>9.0949470177292824E-12</v>
      </c>
      <c r="P121" s="615" t="b">
        <f ca="1">__Saldo_Final _Anterior &gt; 0</f>
        <v>1</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c r="D122" s="616">
        <v>104</v>
      </c>
      <c r="F122" s="18">
        <f ca="1" xml:space="preserve"> ( __Saldo_Final _Anterior + T_SeguroAnual!__Saldo_Ciclico ) * ( __Stopper_Saldo_Inicial )</f>
        <v>9.0949470177292824E-12</v>
      </c>
      <c r="G122" s="83">
        <f ca="1">MIN( CHOOSE(i.Opcion.Abono, __Capital_Opcion_1, __Capital_Opcion_2, __Capital_Opcion_3) _Actual, __Saldo_Inicial _Actual)</f>
        <v>0</v>
      </c>
      <c r="H122" s="83">
        <f t="shared" ca="1" si="7"/>
        <v>3.2590226813529929E-15</v>
      </c>
      <c r="I122" s="84">
        <f ca="1">T_AutoYSeguroMulti!__Dias_Interes_Periodo</f>
        <v>30</v>
      </c>
      <c r="J122" s="84">
        <f t="shared" ca="1" si="8"/>
        <v>9.7770680440589784E-14</v>
      </c>
      <c r="K122" s="84">
        <f t="shared" ca="1" si="9"/>
        <v>1.1732481652870774E-14</v>
      </c>
      <c r="L122" s="83">
        <f t="shared" ca="1" si="10"/>
        <v>1.0950316209346055E-13</v>
      </c>
      <c r="M122" s="643">
        <f>INDEX(TablaCliente!_CapturaAbonoAnticipadoTablaCliente,__Amortizacion)</f>
        <v>0</v>
      </c>
      <c r="N122" s="84">
        <f t="shared" ca="1" si="11"/>
        <v>9.0949470177292824E-12</v>
      </c>
      <c r="P122" s="615" t="b">
        <f ca="1">__Saldo_Final _Anterior &gt; 0</f>
        <v>1</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c r="D123" s="616">
        <v>105</v>
      </c>
      <c r="F123" s="18">
        <f ca="1" xml:space="preserve"> ( __Saldo_Final _Anterior + T_SeguroAnual!__Saldo_Ciclico ) * ( __Stopper_Saldo_Inicial )</f>
        <v>9.0949470177292824E-12</v>
      </c>
      <c r="G123" s="83">
        <f ca="1">MIN( CHOOSE(i.Opcion.Abono, __Capital_Opcion_1, __Capital_Opcion_2, __Capital_Opcion_3) _Actual, __Saldo_Inicial _Actual)</f>
        <v>0</v>
      </c>
      <c r="H123" s="83">
        <f t="shared" ca="1" si="7"/>
        <v>3.2590226813529929E-15</v>
      </c>
      <c r="I123" s="84">
        <f ca="1">T_AutoYSeguroMulti!__Dias_Interes_Periodo</f>
        <v>30</v>
      </c>
      <c r="J123" s="84">
        <f t="shared" ca="1" si="8"/>
        <v>9.7770680440589784E-14</v>
      </c>
      <c r="K123" s="84">
        <f t="shared" ca="1" si="9"/>
        <v>1.1732481652870774E-14</v>
      </c>
      <c r="L123" s="83">
        <f t="shared" ca="1" si="10"/>
        <v>1.0950316209346055E-13</v>
      </c>
      <c r="M123" s="643">
        <f>INDEX(TablaCliente!_CapturaAbonoAnticipadoTablaCliente,__Amortizacion)</f>
        <v>0</v>
      </c>
      <c r="N123" s="84">
        <f t="shared" ca="1" si="11"/>
        <v>9.0949470177292824E-12</v>
      </c>
      <c r="P123" s="615" t="b">
        <f ca="1">__Saldo_Final _Anterior &gt; 0</f>
        <v>1</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c r="D124" s="616">
        <v>106</v>
      </c>
      <c r="F124" s="18">
        <f ca="1" xml:space="preserve"> ( __Saldo_Final _Anterior + T_SeguroAnual!__Saldo_Ciclico ) * ( __Stopper_Saldo_Inicial )</f>
        <v>9.0949470177292824E-12</v>
      </c>
      <c r="G124" s="83">
        <f ca="1">MIN( CHOOSE(i.Opcion.Abono, __Capital_Opcion_1, __Capital_Opcion_2, __Capital_Opcion_3) _Actual, __Saldo_Inicial _Actual)</f>
        <v>0</v>
      </c>
      <c r="H124" s="83">
        <f t="shared" ca="1" si="7"/>
        <v>3.2590226813529929E-15</v>
      </c>
      <c r="I124" s="84">
        <f ca="1">T_AutoYSeguroMulti!__Dias_Interes_Periodo</f>
        <v>30</v>
      </c>
      <c r="J124" s="84">
        <f t="shared" ca="1" si="8"/>
        <v>9.7770680440589784E-14</v>
      </c>
      <c r="K124" s="84">
        <f t="shared" ca="1" si="9"/>
        <v>1.1732481652870774E-14</v>
      </c>
      <c r="L124" s="83">
        <f t="shared" ca="1" si="10"/>
        <v>1.0950316209346055E-13</v>
      </c>
      <c r="M124" s="643">
        <f>INDEX(TablaCliente!_CapturaAbonoAnticipadoTablaCliente,__Amortizacion)</f>
        <v>0</v>
      </c>
      <c r="N124" s="84">
        <f t="shared" ca="1" si="11"/>
        <v>9.0949470177292824E-12</v>
      </c>
      <c r="P124" s="615" t="b">
        <f ca="1">__Saldo_Final _Anterior &gt; 0</f>
        <v>1</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c r="D125" s="616">
        <v>107</v>
      </c>
      <c r="F125" s="18">
        <f ca="1" xml:space="preserve"> ( __Saldo_Final _Anterior + T_SeguroAnual!__Saldo_Ciclico ) * ( __Stopper_Saldo_Inicial )</f>
        <v>9.0949470177292824E-12</v>
      </c>
      <c r="G125" s="83">
        <f ca="1">MIN( CHOOSE(i.Opcion.Abono, __Capital_Opcion_1, __Capital_Opcion_2, __Capital_Opcion_3) _Actual, __Saldo_Inicial _Actual)</f>
        <v>0</v>
      </c>
      <c r="H125" s="83">
        <f t="shared" ca="1" si="7"/>
        <v>3.2590226813529929E-15</v>
      </c>
      <c r="I125" s="84">
        <f ca="1">T_AutoYSeguroMulti!__Dias_Interes_Periodo</f>
        <v>30</v>
      </c>
      <c r="J125" s="84">
        <f t="shared" ca="1" si="8"/>
        <v>9.7770680440589784E-14</v>
      </c>
      <c r="K125" s="84">
        <f t="shared" ca="1" si="9"/>
        <v>1.1732481652870774E-14</v>
      </c>
      <c r="L125" s="83">
        <f t="shared" ca="1" si="10"/>
        <v>1.0950316209346055E-13</v>
      </c>
      <c r="M125" s="643">
        <f>INDEX(TablaCliente!_CapturaAbonoAnticipadoTablaCliente,__Amortizacion)</f>
        <v>0</v>
      </c>
      <c r="N125" s="84">
        <f t="shared" ca="1" si="11"/>
        <v>9.0949470177292824E-12</v>
      </c>
      <c r="P125" s="615" t="b">
        <f ca="1">__Saldo_Final _Anterior &gt; 0</f>
        <v>1</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c r="D126" s="616">
        <v>108</v>
      </c>
      <c r="F126" s="18">
        <f ca="1" xml:space="preserve"> ( __Saldo_Final _Anterior + T_SeguroAnual!__Saldo_Ciclico ) * ( __Stopper_Saldo_Inicial )</f>
        <v>9.0949470177292824E-12</v>
      </c>
      <c r="G126" s="83">
        <f ca="1">MIN( CHOOSE(i.Opcion.Abono, __Capital_Opcion_1, __Capital_Opcion_2, __Capital_Opcion_3) _Actual, __Saldo_Inicial _Actual)</f>
        <v>0</v>
      </c>
      <c r="H126" s="83">
        <f t="shared" ca="1" si="7"/>
        <v>3.2590226813529929E-15</v>
      </c>
      <c r="I126" s="84">
        <f ca="1">T_AutoYSeguroMulti!__Dias_Interes_Periodo</f>
        <v>30</v>
      </c>
      <c r="J126" s="84">
        <f t="shared" ca="1" si="8"/>
        <v>9.7770680440589784E-14</v>
      </c>
      <c r="K126" s="84">
        <f t="shared" ca="1" si="9"/>
        <v>1.1732481652870774E-14</v>
      </c>
      <c r="L126" s="83">
        <f t="shared" ca="1" si="10"/>
        <v>1.0950316209346055E-13</v>
      </c>
      <c r="M126" s="643">
        <f>INDEX(TablaCliente!_CapturaAbonoAnticipadoTablaCliente,__Amortizacion)</f>
        <v>0</v>
      </c>
      <c r="N126" s="84">
        <f t="shared" ca="1" si="11"/>
        <v>9.0949470177292824E-12</v>
      </c>
      <c r="P126" s="615" t="b">
        <f ca="1">__Saldo_Final _Anterior &gt; 0</f>
        <v>1</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c r="D127" s="616">
        <v>109</v>
      </c>
      <c r="F127" s="18">
        <f ca="1" xml:space="preserve"> ( __Saldo_Final _Anterior + T_SeguroAnual!__Saldo_Ciclico ) * ( __Stopper_Saldo_Inicial )</f>
        <v>9.0949470177292824E-12</v>
      </c>
      <c r="G127" s="83">
        <f ca="1">MIN( CHOOSE(i.Opcion.Abono, __Capital_Opcion_1, __Capital_Opcion_2, __Capital_Opcion_3) _Actual, __Saldo_Inicial _Actual)</f>
        <v>0</v>
      </c>
      <c r="H127" s="83">
        <f t="shared" ca="1" si="7"/>
        <v>3.2590226813529929E-15</v>
      </c>
      <c r="I127" s="84">
        <f ca="1">T_AutoYSeguroMulti!__Dias_Interes_Periodo</f>
        <v>30</v>
      </c>
      <c r="J127" s="84">
        <f t="shared" ca="1" si="8"/>
        <v>9.7770680440589784E-14</v>
      </c>
      <c r="K127" s="84">
        <f t="shared" ca="1" si="9"/>
        <v>1.1732481652870774E-14</v>
      </c>
      <c r="L127" s="83">
        <f t="shared" ca="1" si="10"/>
        <v>1.0950316209346055E-13</v>
      </c>
      <c r="M127" s="643">
        <f>INDEX(TablaCliente!_CapturaAbonoAnticipadoTablaCliente,__Amortizacion)</f>
        <v>0</v>
      </c>
      <c r="N127" s="84">
        <f t="shared" ca="1" si="11"/>
        <v>9.0949470177292824E-12</v>
      </c>
      <c r="P127" s="615" t="b">
        <f ca="1">__Saldo_Final _Anterior &gt; 0</f>
        <v>1</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c r="D128" s="616">
        <v>110</v>
      </c>
      <c r="F128" s="18">
        <f ca="1" xml:space="preserve"> ( __Saldo_Final _Anterior + T_SeguroAnual!__Saldo_Ciclico ) * ( __Stopper_Saldo_Inicial )</f>
        <v>9.0949470177292824E-12</v>
      </c>
      <c r="G128" s="83">
        <f ca="1">MIN( CHOOSE(i.Opcion.Abono, __Capital_Opcion_1, __Capital_Opcion_2, __Capital_Opcion_3) _Actual, __Saldo_Inicial _Actual)</f>
        <v>0</v>
      </c>
      <c r="H128" s="83">
        <f t="shared" ca="1" si="7"/>
        <v>3.2590226813529929E-15</v>
      </c>
      <c r="I128" s="84">
        <f ca="1">T_AutoYSeguroMulti!__Dias_Interes_Periodo</f>
        <v>30</v>
      </c>
      <c r="J128" s="84">
        <f t="shared" ca="1" si="8"/>
        <v>9.7770680440589784E-14</v>
      </c>
      <c r="K128" s="84">
        <f t="shared" ca="1" si="9"/>
        <v>1.1732481652870774E-14</v>
      </c>
      <c r="L128" s="83">
        <f t="shared" ca="1" si="10"/>
        <v>1.0950316209346055E-13</v>
      </c>
      <c r="M128" s="643">
        <f>INDEX(TablaCliente!_CapturaAbonoAnticipadoTablaCliente,__Amortizacion)</f>
        <v>0</v>
      </c>
      <c r="N128" s="84">
        <f t="shared" ca="1" si="11"/>
        <v>9.0949470177292824E-12</v>
      </c>
      <c r="P128" s="615" t="b">
        <f ca="1">__Saldo_Final _Anterior &gt; 0</f>
        <v>1</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c r="D129" s="616">
        <v>111</v>
      </c>
      <c r="F129" s="18">
        <f ca="1" xml:space="preserve"> ( __Saldo_Final _Anterior + T_SeguroAnual!__Saldo_Ciclico ) * ( __Stopper_Saldo_Inicial )</f>
        <v>9.0949470177292824E-12</v>
      </c>
      <c r="G129" s="83">
        <f ca="1">MIN( CHOOSE(i.Opcion.Abono, __Capital_Opcion_1, __Capital_Opcion_2, __Capital_Opcion_3) _Actual, __Saldo_Inicial _Actual)</f>
        <v>0</v>
      </c>
      <c r="H129" s="83">
        <f t="shared" ca="1" si="7"/>
        <v>3.2590226813529929E-15</v>
      </c>
      <c r="I129" s="84">
        <f ca="1">T_AutoYSeguroMulti!__Dias_Interes_Periodo</f>
        <v>30</v>
      </c>
      <c r="J129" s="84">
        <f t="shared" ca="1" si="8"/>
        <v>9.7770680440589784E-14</v>
      </c>
      <c r="K129" s="84">
        <f t="shared" ca="1" si="9"/>
        <v>1.1732481652870774E-14</v>
      </c>
      <c r="L129" s="83">
        <f t="shared" ca="1" si="10"/>
        <v>1.0950316209346055E-13</v>
      </c>
      <c r="M129" s="643">
        <f>INDEX(TablaCliente!_CapturaAbonoAnticipadoTablaCliente,__Amortizacion)</f>
        <v>0</v>
      </c>
      <c r="N129" s="84">
        <f t="shared" ca="1" si="11"/>
        <v>9.0949470177292824E-12</v>
      </c>
      <c r="P129" s="615" t="b">
        <f ca="1">__Saldo_Final _Anterior &gt; 0</f>
        <v>1</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c r="D130" s="616">
        <v>112</v>
      </c>
      <c r="F130" s="18">
        <f ca="1" xml:space="preserve"> ( __Saldo_Final _Anterior + T_SeguroAnual!__Saldo_Ciclico ) * ( __Stopper_Saldo_Inicial )</f>
        <v>9.0949470177292824E-12</v>
      </c>
      <c r="G130" s="83">
        <f ca="1">MIN( CHOOSE(i.Opcion.Abono, __Capital_Opcion_1, __Capital_Opcion_2, __Capital_Opcion_3) _Actual, __Saldo_Inicial _Actual)</f>
        <v>0</v>
      </c>
      <c r="H130" s="83">
        <f t="shared" ca="1" si="7"/>
        <v>3.2590226813529929E-15</v>
      </c>
      <c r="I130" s="84">
        <f ca="1">T_AutoYSeguroMulti!__Dias_Interes_Periodo</f>
        <v>30</v>
      </c>
      <c r="J130" s="84">
        <f t="shared" ca="1" si="8"/>
        <v>9.7770680440589784E-14</v>
      </c>
      <c r="K130" s="84">
        <f t="shared" ca="1" si="9"/>
        <v>1.1732481652870774E-14</v>
      </c>
      <c r="L130" s="83">
        <f t="shared" ca="1" si="10"/>
        <v>1.0950316209346055E-13</v>
      </c>
      <c r="M130" s="643">
        <f>INDEX(TablaCliente!_CapturaAbonoAnticipadoTablaCliente,__Amortizacion)</f>
        <v>0</v>
      </c>
      <c r="N130" s="84">
        <f t="shared" ca="1" si="11"/>
        <v>9.0949470177292824E-12</v>
      </c>
      <c r="P130" s="615" t="b">
        <f ca="1">__Saldo_Final _Anterior &gt; 0</f>
        <v>1</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c r="D131" s="616">
        <v>113</v>
      </c>
      <c r="F131" s="18">
        <f ca="1" xml:space="preserve"> ( __Saldo_Final _Anterior + T_SeguroAnual!__Saldo_Ciclico ) * ( __Stopper_Saldo_Inicial )</f>
        <v>9.0949470177292824E-12</v>
      </c>
      <c r="G131" s="83">
        <f ca="1">MIN( CHOOSE(i.Opcion.Abono, __Capital_Opcion_1, __Capital_Opcion_2, __Capital_Opcion_3) _Actual, __Saldo_Inicial _Actual)</f>
        <v>0</v>
      </c>
      <c r="H131" s="83">
        <f t="shared" ca="1" si="7"/>
        <v>3.2590226813529929E-15</v>
      </c>
      <c r="I131" s="84">
        <f ca="1">T_AutoYSeguroMulti!__Dias_Interes_Periodo</f>
        <v>30</v>
      </c>
      <c r="J131" s="84">
        <f t="shared" ca="1" si="8"/>
        <v>9.7770680440589784E-14</v>
      </c>
      <c r="K131" s="84">
        <f t="shared" ca="1" si="9"/>
        <v>1.1732481652870774E-14</v>
      </c>
      <c r="L131" s="83">
        <f t="shared" ca="1" si="10"/>
        <v>1.0950316209346055E-13</v>
      </c>
      <c r="M131" s="643">
        <f>INDEX(TablaCliente!_CapturaAbonoAnticipadoTablaCliente,__Amortizacion)</f>
        <v>0</v>
      </c>
      <c r="N131" s="84">
        <f t="shared" ca="1" si="11"/>
        <v>9.0949470177292824E-12</v>
      </c>
      <c r="P131" s="615" t="b">
        <f ca="1">__Saldo_Final _Anterior &gt; 0</f>
        <v>1</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c r="D132" s="616">
        <v>114</v>
      </c>
      <c r="F132" s="18">
        <f ca="1" xml:space="preserve"> ( __Saldo_Final _Anterior + T_SeguroAnual!__Saldo_Ciclico ) * ( __Stopper_Saldo_Inicial )</f>
        <v>9.0949470177292824E-12</v>
      </c>
      <c r="G132" s="83">
        <f ca="1">MIN( CHOOSE(i.Opcion.Abono, __Capital_Opcion_1, __Capital_Opcion_2, __Capital_Opcion_3) _Actual, __Saldo_Inicial _Actual)</f>
        <v>0</v>
      </c>
      <c r="H132" s="83">
        <f t="shared" ca="1" si="7"/>
        <v>3.2590226813529929E-15</v>
      </c>
      <c r="I132" s="84">
        <f ca="1">T_AutoYSeguroMulti!__Dias_Interes_Periodo</f>
        <v>30</v>
      </c>
      <c r="J132" s="84">
        <f t="shared" ca="1" si="8"/>
        <v>9.7770680440589784E-14</v>
      </c>
      <c r="K132" s="84">
        <f t="shared" ca="1" si="9"/>
        <v>1.1732481652870774E-14</v>
      </c>
      <c r="L132" s="83">
        <f t="shared" ca="1" si="10"/>
        <v>1.0950316209346055E-13</v>
      </c>
      <c r="M132" s="643">
        <f>INDEX(TablaCliente!_CapturaAbonoAnticipadoTablaCliente,__Amortizacion)</f>
        <v>0</v>
      </c>
      <c r="N132" s="84">
        <f t="shared" ca="1" si="11"/>
        <v>9.0949470177292824E-12</v>
      </c>
      <c r="P132" s="615" t="b">
        <f ca="1">__Saldo_Final _Anterior &gt; 0</f>
        <v>1</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c r="D133" s="616">
        <v>115</v>
      </c>
      <c r="F133" s="18">
        <f ca="1" xml:space="preserve"> ( __Saldo_Final _Anterior + T_SeguroAnual!__Saldo_Ciclico ) * ( __Stopper_Saldo_Inicial )</f>
        <v>9.0949470177292824E-12</v>
      </c>
      <c r="G133" s="83">
        <f ca="1">MIN( CHOOSE(i.Opcion.Abono, __Capital_Opcion_1, __Capital_Opcion_2, __Capital_Opcion_3) _Actual, __Saldo_Inicial _Actual)</f>
        <v>0</v>
      </c>
      <c r="H133" s="83">
        <f t="shared" ca="1" si="7"/>
        <v>3.2590226813529929E-15</v>
      </c>
      <c r="I133" s="84">
        <f ca="1">T_AutoYSeguroMulti!__Dias_Interes_Periodo</f>
        <v>30</v>
      </c>
      <c r="J133" s="84">
        <f t="shared" ca="1" si="8"/>
        <v>9.7770680440589784E-14</v>
      </c>
      <c r="K133" s="84">
        <f t="shared" ca="1" si="9"/>
        <v>1.1732481652870774E-14</v>
      </c>
      <c r="L133" s="83">
        <f t="shared" ca="1" si="10"/>
        <v>1.0950316209346055E-13</v>
      </c>
      <c r="M133" s="643">
        <f>INDEX(TablaCliente!_CapturaAbonoAnticipadoTablaCliente,__Amortizacion)</f>
        <v>0</v>
      </c>
      <c r="N133" s="84">
        <f t="shared" ca="1" si="11"/>
        <v>9.0949470177292824E-12</v>
      </c>
      <c r="P133" s="615" t="b">
        <f ca="1">__Saldo_Final _Anterior &gt; 0</f>
        <v>1</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c r="D134" s="616">
        <v>116</v>
      </c>
      <c r="F134" s="18">
        <f ca="1" xml:space="preserve"> ( __Saldo_Final _Anterior + T_SeguroAnual!__Saldo_Ciclico ) * ( __Stopper_Saldo_Inicial )</f>
        <v>9.0949470177292824E-12</v>
      </c>
      <c r="G134" s="83">
        <f ca="1">MIN( CHOOSE(i.Opcion.Abono, __Capital_Opcion_1, __Capital_Opcion_2, __Capital_Opcion_3) _Actual, __Saldo_Inicial _Actual)</f>
        <v>0</v>
      </c>
      <c r="H134" s="83">
        <f t="shared" ca="1" si="7"/>
        <v>3.2590226813529929E-15</v>
      </c>
      <c r="I134" s="84">
        <f ca="1">T_AutoYSeguroMulti!__Dias_Interes_Periodo</f>
        <v>30</v>
      </c>
      <c r="J134" s="84">
        <f t="shared" ca="1" si="8"/>
        <v>9.7770680440589784E-14</v>
      </c>
      <c r="K134" s="84">
        <f t="shared" ca="1" si="9"/>
        <v>1.1732481652870774E-14</v>
      </c>
      <c r="L134" s="83">
        <f t="shared" ca="1" si="10"/>
        <v>1.0950316209346055E-13</v>
      </c>
      <c r="M134" s="643">
        <f>INDEX(TablaCliente!_CapturaAbonoAnticipadoTablaCliente,__Amortizacion)</f>
        <v>0</v>
      </c>
      <c r="N134" s="84">
        <f t="shared" ca="1" si="11"/>
        <v>9.0949470177292824E-12</v>
      </c>
      <c r="P134" s="615" t="b">
        <f ca="1">__Saldo_Final _Anterior &gt; 0</f>
        <v>1</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c r="D135" s="616">
        <v>117</v>
      </c>
      <c r="F135" s="18">
        <f ca="1" xml:space="preserve"> ( __Saldo_Final _Anterior + T_SeguroAnual!__Saldo_Ciclico ) * ( __Stopper_Saldo_Inicial )</f>
        <v>9.0949470177292824E-12</v>
      </c>
      <c r="G135" s="83">
        <f ca="1">MIN( CHOOSE(i.Opcion.Abono, __Capital_Opcion_1, __Capital_Opcion_2, __Capital_Opcion_3) _Actual, __Saldo_Inicial _Actual)</f>
        <v>0</v>
      </c>
      <c r="H135" s="83">
        <f t="shared" ca="1" si="7"/>
        <v>3.2590226813529929E-15</v>
      </c>
      <c r="I135" s="84">
        <f ca="1">T_AutoYSeguroMulti!__Dias_Interes_Periodo</f>
        <v>30</v>
      </c>
      <c r="J135" s="84">
        <f t="shared" ca="1" si="8"/>
        <v>9.7770680440589784E-14</v>
      </c>
      <c r="K135" s="84">
        <f t="shared" ca="1" si="9"/>
        <v>1.1732481652870774E-14</v>
      </c>
      <c r="L135" s="83">
        <f t="shared" ca="1" si="10"/>
        <v>1.0950316209346055E-13</v>
      </c>
      <c r="M135" s="643">
        <f>INDEX(TablaCliente!_CapturaAbonoAnticipadoTablaCliente,__Amortizacion)</f>
        <v>0</v>
      </c>
      <c r="N135" s="84">
        <f t="shared" ca="1" si="11"/>
        <v>9.0949470177292824E-12</v>
      </c>
      <c r="P135" s="615" t="b">
        <f ca="1">__Saldo_Final _Anterior &gt; 0</f>
        <v>1</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c r="D136" s="616">
        <v>118</v>
      </c>
      <c r="F136" s="18">
        <f ca="1" xml:space="preserve"> ( __Saldo_Final _Anterior + T_SeguroAnual!__Saldo_Ciclico ) * ( __Stopper_Saldo_Inicial )</f>
        <v>9.0949470177292824E-12</v>
      </c>
      <c r="G136" s="83">
        <f ca="1">MIN( CHOOSE(i.Opcion.Abono, __Capital_Opcion_1, __Capital_Opcion_2, __Capital_Opcion_3) _Actual, __Saldo_Inicial _Actual)</f>
        <v>0</v>
      </c>
      <c r="H136" s="83">
        <f t="shared" ca="1" si="7"/>
        <v>3.2590226813529929E-15</v>
      </c>
      <c r="I136" s="84">
        <f ca="1">T_AutoYSeguroMulti!__Dias_Interes_Periodo</f>
        <v>30</v>
      </c>
      <c r="J136" s="84">
        <f t="shared" ca="1" si="8"/>
        <v>9.7770680440589784E-14</v>
      </c>
      <c r="K136" s="84">
        <f t="shared" ca="1" si="9"/>
        <v>1.1732481652870774E-14</v>
      </c>
      <c r="L136" s="83">
        <f t="shared" ca="1" si="10"/>
        <v>1.0950316209346055E-13</v>
      </c>
      <c r="M136" s="643">
        <f>INDEX(TablaCliente!_CapturaAbonoAnticipadoTablaCliente,__Amortizacion)</f>
        <v>0</v>
      </c>
      <c r="N136" s="84">
        <f t="shared" ca="1" si="11"/>
        <v>9.0949470177292824E-12</v>
      </c>
      <c r="P136" s="615" t="b">
        <f ca="1">__Saldo_Final _Anterior &gt; 0</f>
        <v>1</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c r="D137" s="616">
        <v>119</v>
      </c>
      <c r="F137" s="18">
        <f ca="1" xml:space="preserve"> ( __Saldo_Final _Anterior + T_SeguroAnual!__Saldo_Ciclico ) * ( __Stopper_Saldo_Inicial )</f>
        <v>9.0949470177292824E-12</v>
      </c>
      <c r="G137" s="83">
        <f ca="1">MIN( CHOOSE(i.Opcion.Abono, __Capital_Opcion_1, __Capital_Opcion_2, __Capital_Opcion_3) _Actual, __Saldo_Inicial _Actual)</f>
        <v>0</v>
      </c>
      <c r="H137" s="83">
        <f t="shared" ca="1" si="7"/>
        <v>3.2590226813529929E-15</v>
      </c>
      <c r="I137" s="84">
        <f ca="1">T_AutoYSeguroMulti!__Dias_Interes_Periodo</f>
        <v>30</v>
      </c>
      <c r="J137" s="84">
        <f t="shared" ca="1" si="8"/>
        <v>9.7770680440589784E-14</v>
      </c>
      <c r="K137" s="84">
        <f t="shared" ca="1" si="9"/>
        <v>1.1732481652870774E-14</v>
      </c>
      <c r="L137" s="83">
        <f t="shared" ca="1" si="10"/>
        <v>1.0950316209346055E-13</v>
      </c>
      <c r="M137" s="643">
        <f>INDEX(TablaCliente!_CapturaAbonoAnticipadoTablaCliente,__Amortizacion)</f>
        <v>0</v>
      </c>
      <c r="N137" s="84">
        <f t="shared" ca="1" si="11"/>
        <v>9.0949470177292824E-12</v>
      </c>
      <c r="P137" s="615" t="b">
        <f ca="1">__Saldo_Final _Anterior &gt; 0</f>
        <v>1</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c r="D138" s="616">
        <v>120</v>
      </c>
      <c r="F138" s="18">
        <f ca="1" xml:space="preserve"> ( __Saldo_Final _Anterior + T_SeguroAnual!__Saldo_Ciclico ) * ( __Stopper_Saldo_Inicial )</f>
        <v>9.0949470177292824E-12</v>
      </c>
      <c r="G138" s="83">
        <f ca="1">MIN( CHOOSE(i.Opcion.Abono, __Capital_Opcion_1, __Capital_Opcion_2, __Capital_Opcion_3) _Actual, __Saldo_Inicial _Actual)</f>
        <v>0</v>
      </c>
      <c r="H138" s="83">
        <f t="shared" ca="1" si="7"/>
        <v>3.2590226813529929E-15</v>
      </c>
      <c r="I138" s="84">
        <f ca="1">T_AutoYSeguroMulti!__Dias_Interes_Periodo</f>
        <v>30</v>
      </c>
      <c r="J138" s="84">
        <f t="shared" ca="1" si="8"/>
        <v>9.7770680440589784E-14</v>
      </c>
      <c r="K138" s="84">
        <f t="shared" ca="1" si="9"/>
        <v>1.1732481652870774E-14</v>
      </c>
      <c r="L138" s="83">
        <f t="shared" ca="1" si="10"/>
        <v>1.0950316209346055E-13</v>
      </c>
      <c r="M138" s="643">
        <f>INDEX(TablaCliente!_CapturaAbonoAnticipadoTablaCliente,__Amortizacion)</f>
        <v>0</v>
      </c>
      <c r="N138" s="84">
        <f t="shared" ca="1" si="11"/>
        <v>9.0949470177292824E-12</v>
      </c>
      <c r="P138" s="615" t="b">
        <f ca="1">__Saldo_Final _Anterior &gt; 0</f>
        <v>1</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c r="D139" s="616">
        <v>121</v>
      </c>
      <c r="F139" s="18">
        <f ca="1" xml:space="preserve"> ( __Saldo_Final _Anterior + T_SeguroAnual!__Saldo_Ciclico ) * ( __Stopper_Saldo_Inicial )</f>
        <v>9.0949470177292824E-12</v>
      </c>
      <c r="G139" s="83">
        <f ca="1">MIN( CHOOSE(i.Opcion.Abono, __Capital_Opcion_1, __Capital_Opcion_2, __Capital_Opcion_3) _Actual, __Saldo_Inicial _Actual)</f>
        <v>0</v>
      </c>
      <c r="H139" s="83">
        <f t="shared" ca="1" si="7"/>
        <v>3.2590226813529929E-15</v>
      </c>
      <c r="I139" s="84">
        <f ca="1">T_AutoYSeguroMulti!__Dias_Interes_Periodo</f>
        <v>30</v>
      </c>
      <c r="J139" s="84">
        <f t="shared" ca="1" si="8"/>
        <v>9.7770680440589784E-14</v>
      </c>
      <c r="K139" s="84">
        <f t="shared" ca="1" si="9"/>
        <v>1.1732481652870774E-14</v>
      </c>
      <c r="L139" s="83">
        <f t="shared" ca="1" si="10"/>
        <v>1.0950316209346055E-13</v>
      </c>
      <c r="M139" s="643">
        <f>INDEX(TablaCliente!_CapturaAbonoAnticipadoTablaCliente,__Amortizacion)</f>
        <v>0</v>
      </c>
      <c r="N139" s="84">
        <f t="shared" ca="1" si="11"/>
        <v>9.0949470177292824E-12</v>
      </c>
      <c r="P139" s="615" t="b">
        <f ca="1">__Saldo_Final _Anterior &gt; 0</f>
        <v>1</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c r="D140" s="616">
        <v>122</v>
      </c>
      <c r="F140" s="18">
        <f ca="1" xml:space="preserve"> ( __Saldo_Final _Anterior + T_SeguroAnual!__Saldo_Ciclico ) * ( __Stopper_Saldo_Inicial )</f>
        <v>9.0949470177292824E-12</v>
      </c>
      <c r="G140" s="83">
        <f ca="1">MIN( CHOOSE(i.Opcion.Abono, __Capital_Opcion_1, __Capital_Opcion_2, __Capital_Opcion_3) _Actual, __Saldo_Inicial _Actual)</f>
        <v>0</v>
      </c>
      <c r="H140" s="83">
        <f t="shared" ca="1" si="7"/>
        <v>3.2590226813529929E-15</v>
      </c>
      <c r="I140" s="84">
        <f ca="1">T_AutoYSeguroMulti!__Dias_Interes_Periodo</f>
        <v>30</v>
      </c>
      <c r="J140" s="84">
        <f t="shared" ca="1" si="8"/>
        <v>9.7770680440589784E-14</v>
      </c>
      <c r="K140" s="84">
        <f t="shared" ca="1" si="9"/>
        <v>1.1732481652870774E-14</v>
      </c>
      <c r="L140" s="83">
        <f t="shared" ca="1" si="10"/>
        <v>1.0950316209346055E-13</v>
      </c>
      <c r="M140" s="643">
        <f>INDEX(TablaCliente!_CapturaAbonoAnticipadoTablaCliente,__Amortizacion)</f>
        <v>0</v>
      </c>
      <c r="N140" s="84">
        <f t="shared" ca="1" si="11"/>
        <v>9.0949470177292824E-12</v>
      </c>
      <c r="P140" s="615" t="b">
        <f ca="1">__Saldo_Final _Anterior &gt; 0</f>
        <v>1</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c r="D141" s="616">
        <v>123</v>
      </c>
      <c r="F141" s="18">
        <f ca="1" xml:space="preserve"> ( __Saldo_Final _Anterior + T_SeguroAnual!__Saldo_Ciclico ) * ( __Stopper_Saldo_Inicial )</f>
        <v>9.0949470177292824E-12</v>
      </c>
      <c r="G141" s="83">
        <f ca="1">MIN( CHOOSE(i.Opcion.Abono, __Capital_Opcion_1, __Capital_Opcion_2, __Capital_Opcion_3) _Actual, __Saldo_Inicial _Actual)</f>
        <v>0</v>
      </c>
      <c r="H141" s="83">
        <f t="shared" ca="1" si="7"/>
        <v>3.2590226813529929E-15</v>
      </c>
      <c r="I141" s="84">
        <f ca="1">T_AutoYSeguroMulti!__Dias_Interes_Periodo</f>
        <v>30</v>
      </c>
      <c r="J141" s="84">
        <f t="shared" ca="1" si="8"/>
        <v>9.7770680440589784E-14</v>
      </c>
      <c r="K141" s="84">
        <f t="shared" ca="1" si="9"/>
        <v>1.1732481652870774E-14</v>
      </c>
      <c r="L141" s="83">
        <f t="shared" ca="1" si="10"/>
        <v>1.0950316209346055E-13</v>
      </c>
      <c r="M141" s="643">
        <f>INDEX(TablaCliente!_CapturaAbonoAnticipadoTablaCliente,__Amortizacion)</f>
        <v>0</v>
      </c>
      <c r="N141" s="84">
        <f t="shared" ca="1" si="11"/>
        <v>9.0949470177292824E-12</v>
      </c>
      <c r="P141" s="615" t="b">
        <f ca="1">__Saldo_Final _Anterior &gt; 0</f>
        <v>1</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c r="D142" s="616">
        <v>124</v>
      </c>
      <c r="F142" s="18">
        <f ca="1" xml:space="preserve"> ( __Saldo_Final _Anterior + T_SeguroAnual!__Saldo_Ciclico ) * ( __Stopper_Saldo_Inicial )</f>
        <v>9.0949470177292824E-12</v>
      </c>
      <c r="G142" s="83">
        <f ca="1">MIN( CHOOSE(i.Opcion.Abono, __Capital_Opcion_1, __Capital_Opcion_2, __Capital_Opcion_3) _Actual, __Saldo_Inicial _Actual)</f>
        <v>0</v>
      </c>
      <c r="H142" s="83">
        <f t="shared" ca="1" si="7"/>
        <v>3.2590226813529929E-15</v>
      </c>
      <c r="I142" s="84">
        <f ca="1">T_AutoYSeguroMulti!__Dias_Interes_Periodo</f>
        <v>30</v>
      </c>
      <c r="J142" s="84">
        <f t="shared" ca="1" si="8"/>
        <v>9.7770680440589784E-14</v>
      </c>
      <c r="K142" s="84">
        <f t="shared" ca="1" si="9"/>
        <v>1.1732481652870774E-14</v>
      </c>
      <c r="L142" s="83">
        <f t="shared" ca="1" si="10"/>
        <v>1.0950316209346055E-13</v>
      </c>
      <c r="M142" s="643">
        <f>INDEX(TablaCliente!_CapturaAbonoAnticipadoTablaCliente,__Amortizacion)</f>
        <v>0</v>
      </c>
      <c r="N142" s="84">
        <f t="shared" ca="1" si="11"/>
        <v>9.0949470177292824E-12</v>
      </c>
      <c r="P142" s="615" t="b">
        <f ca="1">__Saldo_Final _Anterior &gt; 0</f>
        <v>1</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c r="D143" s="616">
        <v>125</v>
      </c>
      <c r="F143" s="18">
        <f ca="1" xml:space="preserve"> ( __Saldo_Final _Anterior + T_SeguroAnual!__Saldo_Ciclico ) * ( __Stopper_Saldo_Inicial )</f>
        <v>9.0949470177292824E-12</v>
      </c>
      <c r="G143" s="83">
        <f ca="1">MIN( CHOOSE(i.Opcion.Abono, __Capital_Opcion_1, __Capital_Opcion_2, __Capital_Opcion_3) _Actual, __Saldo_Inicial _Actual)</f>
        <v>0</v>
      </c>
      <c r="H143" s="83">
        <f t="shared" ca="1" si="7"/>
        <v>3.2590226813529929E-15</v>
      </c>
      <c r="I143" s="84">
        <f ca="1">T_AutoYSeguroMulti!__Dias_Interes_Periodo</f>
        <v>30</v>
      </c>
      <c r="J143" s="84">
        <f t="shared" ca="1" si="8"/>
        <v>9.7770680440589784E-14</v>
      </c>
      <c r="K143" s="84">
        <f t="shared" ca="1" si="9"/>
        <v>1.1732481652870774E-14</v>
      </c>
      <c r="L143" s="83">
        <f t="shared" ca="1" si="10"/>
        <v>1.0950316209346055E-13</v>
      </c>
      <c r="M143" s="643">
        <f>INDEX(TablaCliente!_CapturaAbonoAnticipadoTablaCliente,__Amortizacion)</f>
        <v>0</v>
      </c>
      <c r="N143" s="84">
        <f t="shared" ca="1" si="11"/>
        <v>9.0949470177292824E-12</v>
      </c>
      <c r="P143" s="615" t="b">
        <f ca="1">__Saldo_Final _Anterior &gt; 0</f>
        <v>1</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c r="D144" s="616">
        <v>126</v>
      </c>
      <c r="F144" s="18">
        <f ca="1" xml:space="preserve"> ( __Saldo_Final _Anterior + T_SeguroAnual!__Saldo_Ciclico ) * ( __Stopper_Saldo_Inicial )</f>
        <v>9.0949470177292824E-12</v>
      </c>
      <c r="G144" s="83">
        <f ca="1">MIN( CHOOSE(i.Opcion.Abono, __Capital_Opcion_1, __Capital_Opcion_2, __Capital_Opcion_3) _Actual, __Saldo_Inicial _Actual)</f>
        <v>0</v>
      </c>
      <c r="H144" s="83">
        <f t="shared" ca="1" si="7"/>
        <v>3.2590226813529929E-15</v>
      </c>
      <c r="I144" s="84">
        <f ca="1">T_AutoYSeguroMulti!__Dias_Interes_Periodo</f>
        <v>30</v>
      </c>
      <c r="J144" s="84">
        <f t="shared" ca="1" si="8"/>
        <v>9.7770680440589784E-14</v>
      </c>
      <c r="K144" s="84">
        <f t="shared" ca="1" si="9"/>
        <v>1.1732481652870774E-14</v>
      </c>
      <c r="L144" s="83">
        <f t="shared" ca="1" si="10"/>
        <v>1.0950316209346055E-13</v>
      </c>
      <c r="M144" s="643">
        <f>INDEX(TablaCliente!_CapturaAbonoAnticipadoTablaCliente,__Amortizacion)</f>
        <v>0</v>
      </c>
      <c r="N144" s="84">
        <f t="shared" ca="1" si="11"/>
        <v>9.0949470177292824E-12</v>
      </c>
      <c r="P144" s="615" t="b">
        <f ca="1">__Saldo_Final _Anterior &gt; 0</f>
        <v>1</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c r="D145" s="616">
        <v>127</v>
      </c>
      <c r="F145" s="18">
        <f ca="1" xml:space="preserve"> ( __Saldo_Final _Anterior + T_SeguroAnual!__Saldo_Ciclico ) * ( __Stopper_Saldo_Inicial )</f>
        <v>9.0949470177292824E-12</v>
      </c>
      <c r="G145" s="83">
        <f ca="1">MIN( CHOOSE(i.Opcion.Abono, __Capital_Opcion_1, __Capital_Opcion_2, __Capital_Opcion_3) _Actual, __Saldo_Inicial _Actual)</f>
        <v>0</v>
      </c>
      <c r="H145" s="83">
        <f t="shared" ca="1" si="7"/>
        <v>3.2590226813529929E-15</v>
      </c>
      <c r="I145" s="84">
        <f ca="1">T_AutoYSeguroMulti!__Dias_Interes_Periodo</f>
        <v>30</v>
      </c>
      <c r="J145" s="84">
        <f t="shared" ca="1" si="8"/>
        <v>9.7770680440589784E-14</v>
      </c>
      <c r="K145" s="84">
        <f t="shared" ca="1" si="9"/>
        <v>1.1732481652870774E-14</v>
      </c>
      <c r="L145" s="83">
        <f t="shared" ca="1" si="10"/>
        <v>1.0950316209346055E-13</v>
      </c>
      <c r="M145" s="643">
        <f>INDEX(TablaCliente!_CapturaAbonoAnticipadoTablaCliente,__Amortizacion)</f>
        <v>0</v>
      </c>
      <c r="N145" s="84">
        <f t="shared" ca="1" si="11"/>
        <v>9.0949470177292824E-12</v>
      </c>
      <c r="P145" s="615" t="b">
        <f ca="1">__Saldo_Final _Anterior &gt; 0</f>
        <v>1</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c r="D146" s="616">
        <v>128</v>
      </c>
      <c r="F146" s="18">
        <f ca="1" xml:space="preserve"> ( __Saldo_Final _Anterior + T_SeguroAnual!__Saldo_Ciclico ) * ( __Stopper_Saldo_Inicial )</f>
        <v>9.0949470177292824E-12</v>
      </c>
      <c r="G146" s="83">
        <f ca="1">MIN( CHOOSE(i.Opcion.Abono, __Capital_Opcion_1, __Capital_Opcion_2, __Capital_Opcion_3) _Actual, __Saldo_Inicial _Actual)</f>
        <v>0</v>
      </c>
      <c r="H146" s="83">
        <f t="shared" ca="1" si="7"/>
        <v>3.2590226813529929E-15</v>
      </c>
      <c r="I146" s="84">
        <f ca="1">T_AutoYSeguroMulti!__Dias_Interes_Periodo</f>
        <v>30</v>
      </c>
      <c r="J146" s="84">
        <f t="shared" ca="1" si="8"/>
        <v>9.7770680440589784E-14</v>
      </c>
      <c r="K146" s="84">
        <f t="shared" ca="1" si="9"/>
        <v>1.1732481652870774E-14</v>
      </c>
      <c r="L146" s="83">
        <f t="shared" ca="1" si="10"/>
        <v>1.0950316209346055E-13</v>
      </c>
      <c r="M146" s="643">
        <f>INDEX(TablaCliente!_CapturaAbonoAnticipadoTablaCliente,__Amortizacion)</f>
        <v>0</v>
      </c>
      <c r="N146" s="84">
        <f t="shared" ca="1" si="11"/>
        <v>9.0949470177292824E-12</v>
      </c>
      <c r="P146" s="615" t="b">
        <f ca="1">__Saldo_Final _Anterior &gt; 0</f>
        <v>1</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c r="D147" s="616">
        <v>129</v>
      </c>
      <c r="F147" s="18">
        <f ca="1" xml:space="preserve"> ( __Saldo_Final _Anterior + T_SeguroAnual!__Saldo_Ciclico ) * ( __Stopper_Saldo_Inicial )</f>
        <v>9.0949470177292824E-12</v>
      </c>
      <c r="G147" s="83">
        <f ca="1">MIN( CHOOSE(i.Opcion.Abono, __Capital_Opcion_1, __Capital_Opcion_2, __Capital_Opcion_3) _Actual, __Saldo_Inicial _Actual)</f>
        <v>0</v>
      </c>
      <c r="H147" s="83">
        <f t="shared" ref="H147:H210" ca="1" si="14" xml:space="preserve"> __Saldo_Inicial * _Tasa.Diaria</f>
        <v>3.2590226813529929E-15</v>
      </c>
      <c r="I147" s="84">
        <f ca="1">T_AutoYSeguroMulti!__Dias_Interes_Periodo</f>
        <v>30</v>
      </c>
      <c r="J147" s="84">
        <f t="shared" ref="J147:J210" ca="1" si="15" xml:space="preserve"> __Interes_Diario * __Dias_Interes_Periodo</f>
        <v>9.7770680440589784E-14</v>
      </c>
      <c r="K147" s="84">
        <f t="shared" ref="K147:K210" ca="1" si="16" xml:space="preserve"> __Interes * i.Iva.Intereses</f>
        <v>1.1732481652870774E-14</v>
      </c>
      <c r="L147" s="83">
        <f t="shared" ref="L147:L210" ca="1" si="17" xml:space="preserve"> __Capital + __Interes + __IVA</f>
        <v>1.0950316209346055E-13</v>
      </c>
      <c r="M147" s="643">
        <f>INDEX(TablaCliente!_CapturaAbonoAnticipadoTablaCliente,__Amortizacion)</f>
        <v>0</v>
      </c>
      <c r="N147" s="84">
        <f t="shared" ref="N147:N210" ca="1" si="18">MAX( __Saldo_Inicial-__Capital-__Abono_Anticipado, 0)</f>
        <v>9.0949470177292824E-12</v>
      </c>
      <c r="P147" s="615" t="b">
        <f ca="1">__Saldo_Final _Anterior &gt; 0</f>
        <v>1</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c r="D148" s="616">
        <v>130</v>
      </c>
      <c r="F148" s="18">
        <f ca="1" xml:space="preserve"> ( __Saldo_Final _Anterior + T_SeguroAnual!__Saldo_Ciclico ) * ( __Stopper_Saldo_Inicial )</f>
        <v>9.0949470177292824E-12</v>
      </c>
      <c r="G148" s="83">
        <f ca="1">MIN( CHOOSE(i.Opcion.Abono, __Capital_Opcion_1, __Capital_Opcion_2, __Capital_Opcion_3) _Actual, __Saldo_Inicial _Actual)</f>
        <v>0</v>
      </c>
      <c r="H148" s="83">
        <f t="shared" ca="1" si="14"/>
        <v>3.2590226813529929E-15</v>
      </c>
      <c r="I148" s="84">
        <f ca="1">T_AutoYSeguroMulti!__Dias_Interes_Periodo</f>
        <v>30</v>
      </c>
      <c r="J148" s="84">
        <f t="shared" ca="1" si="15"/>
        <v>9.7770680440589784E-14</v>
      </c>
      <c r="K148" s="84">
        <f t="shared" ca="1" si="16"/>
        <v>1.1732481652870774E-14</v>
      </c>
      <c r="L148" s="83">
        <f t="shared" ca="1" si="17"/>
        <v>1.0950316209346055E-13</v>
      </c>
      <c r="M148" s="643">
        <f>INDEX(TablaCliente!_CapturaAbonoAnticipadoTablaCliente,__Amortizacion)</f>
        <v>0</v>
      </c>
      <c r="N148" s="84">
        <f t="shared" ca="1" si="18"/>
        <v>9.0949470177292824E-12</v>
      </c>
      <c r="P148" s="615" t="b">
        <f ca="1">__Saldo_Final _Anterior &gt; 0</f>
        <v>1</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c r="D149" s="616">
        <v>131</v>
      </c>
      <c r="F149" s="18">
        <f ca="1" xml:space="preserve"> ( __Saldo_Final _Anterior + T_SeguroAnual!__Saldo_Ciclico ) * ( __Stopper_Saldo_Inicial )</f>
        <v>9.0949470177292824E-12</v>
      </c>
      <c r="G149" s="83">
        <f ca="1">MIN( CHOOSE(i.Opcion.Abono, __Capital_Opcion_1, __Capital_Opcion_2, __Capital_Opcion_3) _Actual, __Saldo_Inicial _Actual)</f>
        <v>0</v>
      </c>
      <c r="H149" s="83">
        <f t="shared" ca="1" si="14"/>
        <v>3.2590226813529929E-15</v>
      </c>
      <c r="I149" s="84">
        <f ca="1">T_AutoYSeguroMulti!__Dias_Interes_Periodo</f>
        <v>30</v>
      </c>
      <c r="J149" s="84">
        <f t="shared" ca="1" si="15"/>
        <v>9.7770680440589784E-14</v>
      </c>
      <c r="K149" s="84">
        <f t="shared" ca="1" si="16"/>
        <v>1.1732481652870774E-14</v>
      </c>
      <c r="L149" s="83">
        <f t="shared" ca="1" si="17"/>
        <v>1.0950316209346055E-13</v>
      </c>
      <c r="M149" s="643">
        <f>INDEX(TablaCliente!_CapturaAbonoAnticipadoTablaCliente,__Amortizacion)</f>
        <v>0</v>
      </c>
      <c r="N149" s="84">
        <f t="shared" ca="1" si="18"/>
        <v>9.0949470177292824E-12</v>
      </c>
      <c r="P149" s="615" t="b">
        <f ca="1">__Saldo_Final _Anterior &gt; 0</f>
        <v>1</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c r="D150" s="616">
        <v>132</v>
      </c>
      <c r="F150" s="18">
        <f ca="1" xml:space="preserve"> ( __Saldo_Final _Anterior + T_SeguroAnual!__Saldo_Ciclico ) * ( __Stopper_Saldo_Inicial )</f>
        <v>9.0949470177292824E-12</v>
      </c>
      <c r="G150" s="83">
        <f ca="1">MIN( CHOOSE(i.Opcion.Abono, __Capital_Opcion_1, __Capital_Opcion_2, __Capital_Opcion_3) _Actual, __Saldo_Inicial _Actual)</f>
        <v>0</v>
      </c>
      <c r="H150" s="83">
        <f t="shared" ca="1" si="14"/>
        <v>3.2590226813529929E-15</v>
      </c>
      <c r="I150" s="84">
        <f ca="1">T_AutoYSeguroMulti!__Dias_Interes_Periodo</f>
        <v>30</v>
      </c>
      <c r="J150" s="84">
        <f t="shared" ca="1" si="15"/>
        <v>9.7770680440589784E-14</v>
      </c>
      <c r="K150" s="84">
        <f t="shared" ca="1" si="16"/>
        <v>1.1732481652870774E-14</v>
      </c>
      <c r="L150" s="83">
        <f t="shared" ca="1" si="17"/>
        <v>1.0950316209346055E-13</v>
      </c>
      <c r="M150" s="643">
        <f>INDEX(TablaCliente!_CapturaAbonoAnticipadoTablaCliente,__Amortizacion)</f>
        <v>0</v>
      </c>
      <c r="N150" s="84">
        <f t="shared" ca="1" si="18"/>
        <v>9.0949470177292824E-12</v>
      </c>
      <c r="P150" s="615" t="b">
        <f ca="1">__Saldo_Final _Anterior &gt; 0</f>
        <v>1</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c r="D151" s="616">
        <v>133</v>
      </c>
      <c r="F151" s="18">
        <f ca="1" xml:space="preserve"> ( __Saldo_Final _Anterior + T_SeguroAnual!__Saldo_Ciclico ) * ( __Stopper_Saldo_Inicial )</f>
        <v>9.0949470177292824E-12</v>
      </c>
      <c r="G151" s="83">
        <f ca="1">MIN( CHOOSE(i.Opcion.Abono, __Capital_Opcion_1, __Capital_Opcion_2, __Capital_Opcion_3) _Actual, __Saldo_Inicial _Actual)</f>
        <v>0</v>
      </c>
      <c r="H151" s="83">
        <f t="shared" ca="1" si="14"/>
        <v>3.2590226813529929E-15</v>
      </c>
      <c r="I151" s="84">
        <f ca="1">T_AutoYSeguroMulti!__Dias_Interes_Periodo</f>
        <v>30</v>
      </c>
      <c r="J151" s="84">
        <f t="shared" ca="1" si="15"/>
        <v>9.7770680440589784E-14</v>
      </c>
      <c r="K151" s="84">
        <f t="shared" ca="1" si="16"/>
        <v>1.1732481652870774E-14</v>
      </c>
      <c r="L151" s="83">
        <f t="shared" ca="1" si="17"/>
        <v>1.0950316209346055E-13</v>
      </c>
      <c r="M151" s="643">
        <f>INDEX(TablaCliente!_CapturaAbonoAnticipadoTablaCliente,__Amortizacion)</f>
        <v>0</v>
      </c>
      <c r="N151" s="84">
        <f t="shared" ca="1" si="18"/>
        <v>9.0949470177292824E-12</v>
      </c>
      <c r="P151" s="615" t="b">
        <f ca="1">__Saldo_Final _Anterior &gt; 0</f>
        <v>1</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c r="D152" s="616">
        <v>134</v>
      </c>
      <c r="F152" s="18">
        <f ca="1" xml:space="preserve"> ( __Saldo_Final _Anterior + T_SeguroAnual!__Saldo_Ciclico ) * ( __Stopper_Saldo_Inicial )</f>
        <v>9.0949470177292824E-12</v>
      </c>
      <c r="G152" s="83">
        <f ca="1">MIN( CHOOSE(i.Opcion.Abono, __Capital_Opcion_1, __Capital_Opcion_2, __Capital_Opcion_3) _Actual, __Saldo_Inicial _Actual)</f>
        <v>0</v>
      </c>
      <c r="H152" s="83">
        <f t="shared" ca="1" si="14"/>
        <v>3.2590226813529929E-15</v>
      </c>
      <c r="I152" s="84">
        <f ca="1">T_AutoYSeguroMulti!__Dias_Interes_Periodo</f>
        <v>30</v>
      </c>
      <c r="J152" s="84">
        <f t="shared" ca="1" si="15"/>
        <v>9.7770680440589784E-14</v>
      </c>
      <c r="K152" s="84">
        <f t="shared" ca="1" si="16"/>
        <v>1.1732481652870774E-14</v>
      </c>
      <c r="L152" s="83">
        <f t="shared" ca="1" si="17"/>
        <v>1.0950316209346055E-13</v>
      </c>
      <c r="M152" s="643">
        <f>INDEX(TablaCliente!_CapturaAbonoAnticipadoTablaCliente,__Amortizacion)</f>
        <v>0</v>
      </c>
      <c r="N152" s="84">
        <f t="shared" ca="1" si="18"/>
        <v>9.0949470177292824E-12</v>
      </c>
      <c r="P152" s="615" t="b">
        <f ca="1">__Saldo_Final _Anterior &gt; 0</f>
        <v>1</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c r="D153" s="98">
        <v>135</v>
      </c>
      <c r="F153" s="18">
        <f ca="1" xml:space="preserve"> ( __Saldo_Final _Anterior + T_SeguroAnual!__Saldo_Ciclico ) * ( __Stopper_Saldo_Inicial )</f>
        <v>9.0949470177292824E-12</v>
      </c>
      <c r="G153" s="83">
        <f ca="1">MIN( CHOOSE(i.Opcion.Abono, __Capital_Opcion_1, __Capital_Opcion_2, __Capital_Opcion_3) _Actual, __Saldo_Inicial _Actual)</f>
        <v>0</v>
      </c>
      <c r="H153" s="83">
        <f t="shared" ca="1" si="14"/>
        <v>3.2590226813529929E-15</v>
      </c>
      <c r="I153" s="84">
        <f ca="1">T_AutoYSeguroMulti!__Dias_Interes_Periodo</f>
        <v>30</v>
      </c>
      <c r="J153" s="84">
        <f t="shared" ca="1" si="15"/>
        <v>9.7770680440589784E-14</v>
      </c>
      <c r="K153" s="84">
        <f t="shared" ca="1" si="16"/>
        <v>1.1732481652870774E-14</v>
      </c>
      <c r="L153" s="83">
        <f t="shared" ca="1" si="17"/>
        <v>1.0950316209346055E-13</v>
      </c>
      <c r="M153" s="643">
        <f>INDEX(TablaCliente!_CapturaAbonoAnticipadoTablaCliente,__Amortizacion)</f>
        <v>0</v>
      </c>
      <c r="N153" s="84">
        <f t="shared" ca="1" si="18"/>
        <v>9.0949470177292824E-12</v>
      </c>
      <c r="P153" s="615" t="b">
        <f ca="1">__Saldo_Final _Anterior &gt; 0</f>
        <v>1</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c r="D154" s="616">
        <v>136</v>
      </c>
      <c r="F154" s="18">
        <f ca="1" xml:space="preserve"> ( __Saldo_Final _Anterior + T_SeguroAnual!__Saldo_Ciclico ) * ( __Stopper_Saldo_Inicial )</f>
        <v>9.0949470177292824E-12</v>
      </c>
      <c r="G154" s="83">
        <f ca="1">MIN( CHOOSE(i.Opcion.Abono, __Capital_Opcion_1, __Capital_Opcion_2, __Capital_Opcion_3) _Actual, __Saldo_Inicial _Actual)</f>
        <v>0</v>
      </c>
      <c r="H154" s="83">
        <f t="shared" ca="1" si="14"/>
        <v>3.2590226813529929E-15</v>
      </c>
      <c r="I154" s="84">
        <f ca="1">T_AutoYSeguroMulti!__Dias_Interes_Periodo</f>
        <v>30</v>
      </c>
      <c r="J154" s="84">
        <f t="shared" ca="1" si="15"/>
        <v>9.7770680440589784E-14</v>
      </c>
      <c r="K154" s="84">
        <f t="shared" ca="1" si="16"/>
        <v>1.1732481652870774E-14</v>
      </c>
      <c r="L154" s="83">
        <f t="shared" ca="1" si="17"/>
        <v>1.0950316209346055E-13</v>
      </c>
      <c r="M154" s="643">
        <f>INDEX(TablaCliente!_CapturaAbonoAnticipadoTablaCliente,__Amortizacion)</f>
        <v>0</v>
      </c>
      <c r="N154" s="84">
        <f t="shared" ca="1" si="18"/>
        <v>9.0949470177292824E-12</v>
      </c>
      <c r="P154" s="615" t="b">
        <f ca="1">__Saldo_Final _Anterior &gt; 0</f>
        <v>1</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c r="D155" s="616">
        <v>137</v>
      </c>
      <c r="F155" s="18">
        <f ca="1" xml:space="preserve"> ( __Saldo_Final _Anterior + T_SeguroAnual!__Saldo_Ciclico ) * ( __Stopper_Saldo_Inicial )</f>
        <v>9.0949470177292824E-12</v>
      </c>
      <c r="G155" s="83">
        <f ca="1">MIN( CHOOSE(i.Opcion.Abono, __Capital_Opcion_1, __Capital_Opcion_2, __Capital_Opcion_3) _Actual, __Saldo_Inicial _Actual)</f>
        <v>0</v>
      </c>
      <c r="H155" s="83">
        <f t="shared" ca="1" si="14"/>
        <v>3.2590226813529929E-15</v>
      </c>
      <c r="I155" s="84">
        <f ca="1">T_AutoYSeguroMulti!__Dias_Interes_Periodo</f>
        <v>30</v>
      </c>
      <c r="J155" s="84">
        <f t="shared" ca="1" si="15"/>
        <v>9.7770680440589784E-14</v>
      </c>
      <c r="K155" s="84">
        <f t="shared" ca="1" si="16"/>
        <v>1.1732481652870774E-14</v>
      </c>
      <c r="L155" s="83">
        <f t="shared" ca="1" si="17"/>
        <v>1.0950316209346055E-13</v>
      </c>
      <c r="M155" s="643">
        <f>INDEX(TablaCliente!_CapturaAbonoAnticipadoTablaCliente,__Amortizacion)</f>
        <v>0</v>
      </c>
      <c r="N155" s="84">
        <f t="shared" ca="1" si="18"/>
        <v>9.0949470177292824E-12</v>
      </c>
      <c r="P155" s="615" t="b">
        <f ca="1">__Saldo_Final _Anterior &gt; 0</f>
        <v>1</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c r="D156" s="616">
        <v>138</v>
      </c>
      <c r="F156" s="18">
        <f ca="1" xml:space="preserve"> ( __Saldo_Final _Anterior + T_SeguroAnual!__Saldo_Ciclico ) * ( __Stopper_Saldo_Inicial )</f>
        <v>9.0949470177292824E-12</v>
      </c>
      <c r="G156" s="83">
        <f ca="1">MIN( CHOOSE(i.Opcion.Abono, __Capital_Opcion_1, __Capital_Opcion_2, __Capital_Opcion_3) _Actual, __Saldo_Inicial _Actual)</f>
        <v>0</v>
      </c>
      <c r="H156" s="83">
        <f t="shared" ca="1" si="14"/>
        <v>3.2590226813529929E-15</v>
      </c>
      <c r="I156" s="84">
        <f ca="1">T_AutoYSeguroMulti!__Dias_Interes_Periodo</f>
        <v>30</v>
      </c>
      <c r="J156" s="84">
        <f t="shared" ca="1" si="15"/>
        <v>9.7770680440589784E-14</v>
      </c>
      <c r="K156" s="84">
        <f t="shared" ca="1" si="16"/>
        <v>1.1732481652870774E-14</v>
      </c>
      <c r="L156" s="83">
        <f t="shared" ca="1" si="17"/>
        <v>1.0950316209346055E-13</v>
      </c>
      <c r="M156" s="643">
        <f>INDEX(TablaCliente!_CapturaAbonoAnticipadoTablaCliente,__Amortizacion)</f>
        <v>0</v>
      </c>
      <c r="N156" s="84">
        <f t="shared" ca="1" si="18"/>
        <v>9.0949470177292824E-12</v>
      </c>
      <c r="P156" s="615" t="b">
        <f ca="1">__Saldo_Final _Anterior &gt; 0</f>
        <v>1</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c r="D157" s="616">
        <v>139</v>
      </c>
      <c r="F157" s="18">
        <f ca="1" xml:space="preserve"> ( __Saldo_Final _Anterior + T_SeguroAnual!__Saldo_Ciclico ) * ( __Stopper_Saldo_Inicial )</f>
        <v>9.0949470177292824E-12</v>
      </c>
      <c r="G157" s="83">
        <f ca="1">MIN( CHOOSE(i.Opcion.Abono, __Capital_Opcion_1, __Capital_Opcion_2, __Capital_Opcion_3) _Actual, __Saldo_Inicial _Actual)</f>
        <v>0</v>
      </c>
      <c r="H157" s="83">
        <f t="shared" ca="1" si="14"/>
        <v>3.2590226813529929E-15</v>
      </c>
      <c r="I157" s="84">
        <f ca="1">T_AutoYSeguroMulti!__Dias_Interes_Periodo</f>
        <v>30</v>
      </c>
      <c r="J157" s="84">
        <f t="shared" ca="1" si="15"/>
        <v>9.7770680440589784E-14</v>
      </c>
      <c r="K157" s="84">
        <f t="shared" ca="1" si="16"/>
        <v>1.1732481652870774E-14</v>
      </c>
      <c r="L157" s="83">
        <f t="shared" ca="1" si="17"/>
        <v>1.0950316209346055E-13</v>
      </c>
      <c r="M157" s="643">
        <f>INDEX(TablaCliente!_CapturaAbonoAnticipadoTablaCliente,__Amortizacion)</f>
        <v>0</v>
      </c>
      <c r="N157" s="84">
        <f t="shared" ca="1" si="18"/>
        <v>9.0949470177292824E-12</v>
      </c>
      <c r="P157" s="615" t="b">
        <f ca="1">__Saldo_Final _Anterior &gt; 0</f>
        <v>1</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c r="D158" s="616">
        <v>140</v>
      </c>
      <c r="F158" s="18">
        <f ca="1" xml:space="preserve"> ( __Saldo_Final _Anterior + T_SeguroAnual!__Saldo_Ciclico ) * ( __Stopper_Saldo_Inicial )</f>
        <v>9.0949470177292824E-12</v>
      </c>
      <c r="G158" s="83">
        <f ca="1">MIN( CHOOSE(i.Opcion.Abono, __Capital_Opcion_1, __Capital_Opcion_2, __Capital_Opcion_3) _Actual, __Saldo_Inicial _Actual)</f>
        <v>0</v>
      </c>
      <c r="H158" s="83">
        <f t="shared" ca="1" si="14"/>
        <v>3.2590226813529929E-15</v>
      </c>
      <c r="I158" s="84">
        <f ca="1">T_AutoYSeguroMulti!__Dias_Interes_Periodo</f>
        <v>30</v>
      </c>
      <c r="J158" s="84">
        <f t="shared" ca="1" si="15"/>
        <v>9.7770680440589784E-14</v>
      </c>
      <c r="K158" s="84">
        <f t="shared" ca="1" si="16"/>
        <v>1.1732481652870774E-14</v>
      </c>
      <c r="L158" s="83">
        <f t="shared" ca="1" si="17"/>
        <v>1.0950316209346055E-13</v>
      </c>
      <c r="M158" s="643">
        <f>INDEX(TablaCliente!_CapturaAbonoAnticipadoTablaCliente,__Amortizacion)</f>
        <v>0</v>
      </c>
      <c r="N158" s="84">
        <f t="shared" ca="1" si="18"/>
        <v>9.0949470177292824E-12</v>
      </c>
      <c r="P158" s="615" t="b">
        <f ca="1">__Saldo_Final _Anterior &gt; 0</f>
        <v>1</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c r="D159" s="616">
        <v>141</v>
      </c>
      <c r="F159" s="18">
        <f ca="1" xml:space="preserve"> ( __Saldo_Final _Anterior + T_SeguroAnual!__Saldo_Ciclico ) * ( __Stopper_Saldo_Inicial )</f>
        <v>9.0949470177292824E-12</v>
      </c>
      <c r="G159" s="83">
        <f ca="1">MIN( CHOOSE(i.Opcion.Abono, __Capital_Opcion_1, __Capital_Opcion_2, __Capital_Opcion_3) _Actual, __Saldo_Inicial _Actual)</f>
        <v>0</v>
      </c>
      <c r="H159" s="83">
        <f t="shared" ca="1" si="14"/>
        <v>3.2590226813529929E-15</v>
      </c>
      <c r="I159" s="84">
        <f ca="1">T_AutoYSeguroMulti!__Dias_Interes_Periodo</f>
        <v>30</v>
      </c>
      <c r="J159" s="84">
        <f t="shared" ca="1" si="15"/>
        <v>9.7770680440589784E-14</v>
      </c>
      <c r="K159" s="84">
        <f t="shared" ca="1" si="16"/>
        <v>1.1732481652870774E-14</v>
      </c>
      <c r="L159" s="83">
        <f t="shared" ca="1" si="17"/>
        <v>1.0950316209346055E-13</v>
      </c>
      <c r="M159" s="643">
        <f>INDEX(TablaCliente!_CapturaAbonoAnticipadoTablaCliente,__Amortizacion)</f>
        <v>0</v>
      </c>
      <c r="N159" s="84">
        <f t="shared" ca="1" si="18"/>
        <v>9.0949470177292824E-12</v>
      </c>
      <c r="P159" s="615" t="b">
        <f ca="1">__Saldo_Final _Anterior &gt; 0</f>
        <v>1</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c r="D160" s="616">
        <v>142</v>
      </c>
      <c r="F160" s="18">
        <f ca="1" xml:space="preserve"> ( __Saldo_Final _Anterior + T_SeguroAnual!__Saldo_Ciclico ) * ( __Stopper_Saldo_Inicial )</f>
        <v>9.0949470177292824E-12</v>
      </c>
      <c r="G160" s="83">
        <f ca="1">MIN( CHOOSE(i.Opcion.Abono, __Capital_Opcion_1, __Capital_Opcion_2, __Capital_Opcion_3) _Actual, __Saldo_Inicial _Actual)</f>
        <v>0</v>
      </c>
      <c r="H160" s="83">
        <f t="shared" ca="1" si="14"/>
        <v>3.2590226813529929E-15</v>
      </c>
      <c r="I160" s="84">
        <f ca="1">T_AutoYSeguroMulti!__Dias_Interes_Periodo</f>
        <v>30</v>
      </c>
      <c r="J160" s="84">
        <f t="shared" ca="1" si="15"/>
        <v>9.7770680440589784E-14</v>
      </c>
      <c r="K160" s="84">
        <f t="shared" ca="1" si="16"/>
        <v>1.1732481652870774E-14</v>
      </c>
      <c r="L160" s="83">
        <f t="shared" ca="1" si="17"/>
        <v>1.0950316209346055E-13</v>
      </c>
      <c r="M160" s="643">
        <f>INDEX(TablaCliente!_CapturaAbonoAnticipadoTablaCliente,__Amortizacion)</f>
        <v>0</v>
      </c>
      <c r="N160" s="84">
        <f t="shared" ca="1" si="18"/>
        <v>9.0949470177292824E-12</v>
      </c>
      <c r="P160" s="615" t="b">
        <f ca="1">__Saldo_Final _Anterior &gt; 0</f>
        <v>1</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c r="D161" s="616">
        <v>143</v>
      </c>
      <c r="F161" s="18">
        <f ca="1" xml:space="preserve"> ( __Saldo_Final _Anterior + T_SeguroAnual!__Saldo_Ciclico ) * ( __Stopper_Saldo_Inicial )</f>
        <v>9.0949470177292824E-12</v>
      </c>
      <c r="G161" s="83">
        <f ca="1">MIN( CHOOSE(i.Opcion.Abono, __Capital_Opcion_1, __Capital_Opcion_2, __Capital_Opcion_3) _Actual, __Saldo_Inicial _Actual)</f>
        <v>0</v>
      </c>
      <c r="H161" s="83">
        <f t="shared" ca="1" si="14"/>
        <v>3.2590226813529929E-15</v>
      </c>
      <c r="I161" s="84">
        <f ca="1">T_AutoYSeguroMulti!__Dias_Interes_Periodo</f>
        <v>30</v>
      </c>
      <c r="J161" s="84">
        <f t="shared" ca="1" si="15"/>
        <v>9.7770680440589784E-14</v>
      </c>
      <c r="K161" s="84">
        <f t="shared" ca="1" si="16"/>
        <v>1.1732481652870774E-14</v>
      </c>
      <c r="L161" s="83">
        <f t="shared" ca="1" si="17"/>
        <v>1.0950316209346055E-13</v>
      </c>
      <c r="M161" s="643">
        <f>INDEX(TablaCliente!_CapturaAbonoAnticipadoTablaCliente,__Amortizacion)</f>
        <v>0</v>
      </c>
      <c r="N161" s="84">
        <f t="shared" ca="1" si="18"/>
        <v>9.0949470177292824E-12</v>
      </c>
      <c r="P161" s="615" t="b">
        <f ca="1">__Saldo_Final _Anterior &gt; 0</f>
        <v>1</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c r="D162" s="616">
        <v>144</v>
      </c>
      <c r="F162" s="18">
        <f ca="1" xml:space="preserve"> ( __Saldo_Final _Anterior + T_SeguroAnual!__Saldo_Ciclico ) * ( __Stopper_Saldo_Inicial )</f>
        <v>9.0949470177292824E-12</v>
      </c>
      <c r="G162" s="83">
        <f ca="1">MIN( CHOOSE(i.Opcion.Abono, __Capital_Opcion_1, __Capital_Opcion_2, __Capital_Opcion_3) _Actual, __Saldo_Inicial _Actual)</f>
        <v>0</v>
      </c>
      <c r="H162" s="83">
        <f t="shared" ca="1" si="14"/>
        <v>3.2590226813529929E-15</v>
      </c>
      <c r="I162" s="84">
        <f ca="1">T_AutoYSeguroMulti!__Dias_Interes_Periodo</f>
        <v>30</v>
      </c>
      <c r="J162" s="84">
        <f t="shared" ca="1" si="15"/>
        <v>9.7770680440589784E-14</v>
      </c>
      <c r="K162" s="84">
        <f t="shared" ca="1" si="16"/>
        <v>1.1732481652870774E-14</v>
      </c>
      <c r="L162" s="83">
        <f t="shared" ca="1" si="17"/>
        <v>1.0950316209346055E-13</v>
      </c>
      <c r="M162" s="643">
        <f>INDEX(TablaCliente!_CapturaAbonoAnticipadoTablaCliente,__Amortizacion)</f>
        <v>0</v>
      </c>
      <c r="N162" s="84">
        <f t="shared" ca="1" si="18"/>
        <v>9.0949470177292824E-12</v>
      </c>
      <c r="P162" s="615" t="b">
        <f ca="1">__Saldo_Final _Anterior &gt; 0</f>
        <v>1</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c r="D163" s="616">
        <v>145</v>
      </c>
      <c r="F163" s="18">
        <f ca="1" xml:space="preserve"> ( __Saldo_Final _Anterior + T_SeguroAnual!__Saldo_Ciclico ) * ( __Stopper_Saldo_Inicial )</f>
        <v>9.0949470177292824E-12</v>
      </c>
      <c r="G163" s="83">
        <f ca="1">MIN( CHOOSE(i.Opcion.Abono, __Capital_Opcion_1, __Capital_Opcion_2, __Capital_Opcion_3) _Actual, __Saldo_Inicial _Actual)</f>
        <v>0</v>
      </c>
      <c r="H163" s="83">
        <f t="shared" ca="1" si="14"/>
        <v>3.2590226813529929E-15</v>
      </c>
      <c r="I163" s="84">
        <f ca="1">T_AutoYSeguroMulti!__Dias_Interes_Periodo</f>
        <v>30</v>
      </c>
      <c r="J163" s="84">
        <f t="shared" ca="1" si="15"/>
        <v>9.7770680440589784E-14</v>
      </c>
      <c r="K163" s="84">
        <f t="shared" ca="1" si="16"/>
        <v>1.1732481652870774E-14</v>
      </c>
      <c r="L163" s="83">
        <f t="shared" ca="1" si="17"/>
        <v>1.0950316209346055E-13</v>
      </c>
      <c r="M163" s="643">
        <f>INDEX(TablaCliente!_CapturaAbonoAnticipadoTablaCliente,__Amortizacion)</f>
        <v>0</v>
      </c>
      <c r="N163" s="84">
        <f t="shared" ca="1" si="18"/>
        <v>9.0949470177292824E-12</v>
      </c>
      <c r="P163" s="615" t="b">
        <f ca="1">__Saldo_Final _Anterior &gt; 0</f>
        <v>1</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c r="D164" s="616">
        <v>146</v>
      </c>
      <c r="F164" s="18">
        <f ca="1" xml:space="preserve"> ( __Saldo_Final _Anterior + T_SeguroAnual!__Saldo_Ciclico ) * ( __Stopper_Saldo_Inicial )</f>
        <v>9.0949470177292824E-12</v>
      </c>
      <c r="G164" s="83">
        <f ca="1">MIN( CHOOSE(i.Opcion.Abono, __Capital_Opcion_1, __Capital_Opcion_2, __Capital_Opcion_3) _Actual, __Saldo_Inicial _Actual)</f>
        <v>0</v>
      </c>
      <c r="H164" s="83">
        <f t="shared" ca="1" si="14"/>
        <v>3.2590226813529929E-15</v>
      </c>
      <c r="I164" s="84">
        <f ca="1">T_AutoYSeguroMulti!__Dias_Interes_Periodo</f>
        <v>30</v>
      </c>
      <c r="J164" s="84">
        <f t="shared" ca="1" si="15"/>
        <v>9.7770680440589784E-14</v>
      </c>
      <c r="K164" s="84">
        <f t="shared" ca="1" si="16"/>
        <v>1.1732481652870774E-14</v>
      </c>
      <c r="L164" s="83">
        <f t="shared" ca="1" si="17"/>
        <v>1.0950316209346055E-13</v>
      </c>
      <c r="M164" s="643">
        <f>INDEX(TablaCliente!_CapturaAbonoAnticipadoTablaCliente,__Amortizacion)</f>
        <v>0</v>
      </c>
      <c r="N164" s="84">
        <f t="shared" ca="1" si="18"/>
        <v>9.0949470177292824E-12</v>
      </c>
      <c r="P164" s="615" t="b">
        <f ca="1">__Saldo_Final _Anterior &gt; 0</f>
        <v>1</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c r="D165" s="616">
        <v>147</v>
      </c>
      <c r="F165" s="18">
        <f ca="1" xml:space="preserve"> ( __Saldo_Final _Anterior + T_SeguroAnual!__Saldo_Ciclico ) * ( __Stopper_Saldo_Inicial )</f>
        <v>9.0949470177292824E-12</v>
      </c>
      <c r="G165" s="83">
        <f ca="1">MIN( CHOOSE(i.Opcion.Abono, __Capital_Opcion_1, __Capital_Opcion_2, __Capital_Opcion_3) _Actual, __Saldo_Inicial _Actual)</f>
        <v>0</v>
      </c>
      <c r="H165" s="83">
        <f t="shared" ca="1" si="14"/>
        <v>3.2590226813529929E-15</v>
      </c>
      <c r="I165" s="84">
        <f ca="1">T_AutoYSeguroMulti!__Dias_Interes_Periodo</f>
        <v>30</v>
      </c>
      <c r="J165" s="84">
        <f t="shared" ca="1" si="15"/>
        <v>9.7770680440589784E-14</v>
      </c>
      <c r="K165" s="84">
        <f t="shared" ca="1" si="16"/>
        <v>1.1732481652870774E-14</v>
      </c>
      <c r="L165" s="83">
        <f t="shared" ca="1" si="17"/>
        <v>1.0950316209346055E-13</v>
      </c>
      <c r="M165" s="643">
        <f>INDEX(TablaCliente!_CapturaAbonoAnticipadoTablaCliente,__Amortizacion)</f>
        <v>0</v>
      </c>
      <c r="N165" s="84">
        <f t="shared" ca="1" si="18"/>
        <v>9.0949470177292824E-12</v>
      </c>
      <c r="P165" s="615" t="b">
        <f ca="1">__Saldo_Final _Anterior &gt; 0</f>
        <v>1</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c r="D166" s="616">
        <v>148</v>
      </c>
      <c r="F166" s="18">
        <f ca="1" xml:space="preserve"> ( __Saldo_Final _Anterior + T_SeguroAnual!__Saldo_Ciclico ) * ( __Stopper_Saldo_Inicial )</f>
        <v>9.0949470177292824E-12</v>
      </c>
      <c r="G166" s="83">
        <f ca="1">MIN( CHOOSE(i.Opcion.Abono, __Capital_Opcion_1, __Capital_Opcion_2, __Capital_Opcion_3) _Actual, __Saldo_Inicial _Actual)</f>
        <v>0</v>
      </c>
      <c r="H166" s="83">
        <f t="shared" ca="1" si="14"/>
        <v>3.2590226813529929E-15</v>
      </c>
      <c r="I166" s="84">
        <f ca="1">T_AutoYSeguroMulti!__Dias_Interes_Periodo</f>
        <v>30</v>
      </c>
      <c r="J166" s="84">
        <f t="shared" ca="1" si="15"/>
        <v>9.7770680440589784E-14</v>
      </c>
      <c r="K166" s="84">
        <f t="shared" ca="1" si="16"/>
        <v>1.1732481652870774E-14</v>
      </c>
      <c r="L166" s="83">
        <f t="shared" ca="1" si="17"/>
        <v>1.0950316209346055E-13</v>
      </c>
      <c r="M166" s="643">
        <f>INDEX(TablaCliente!_CapturaAbonoAnticipadoTablaCliente,__Amortizacion)</f>
        <v>0</v>
      </c>
      <c r="N166" s="84">
        <f t="shared" ca="1" si="18"/>
        <v>9.0949470177292824E-12</v>
      </c>
      <c r="P166" s="615" t="b">
        <f ca="1">__Saldo_Final _Anterior &gt; 0</f>
        <v>1</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c r="D167" s="616">
        <v>149</v>
      </c>
      <c r="F167" s="18">
        <f ca="1" xml:space="preserve"> ( __Saldo_Final _Anterior + T_SeguroAnual!__Saldo_Ciclico ) * ( __Stopper_Saldo_Inicial )</f>
        <v>9.0949470177292824E-12</v>
      </c>
      <c r="G167" s="83">
        <f ca="1">MIN( CHOOSE(i.Opcion.Abono, __Capital_Opcion_1, __Capital_Opcion_2, __Capital_Opcion_3) _Actual, __Saldo_Inicial _Actual)</f>
        <v>0</v>
      </c>
      <c r="H167" s="83">
        <f t="shared" ca="1" si="14"/>
        <v>3.2590226813529929E-15</v>
      </c>
      <c r="I167" s="84">
        <f ca="1">T_AutoYSeguroMulti!__Dias_Interes_Periodo</f>
        <v>30</v>
      </c>
      <c r="J167" s="84">
        <f t="shared" ca="1" si="15"/>
        <v>9.7770680440589784E-14</v>
      </c>
      <c r="K167" s="84">
        <f t="shared" ca="1" si="16"/>
        <v>1.1732481652870774E-14</v>
      </c>
      <c r="L167" s="83">
        <f t="shared" ca="1" si="17"/>
        <v>1.0950316209346055E-13</v>
      </c>
      <c r="M167" s="643">
        <f>INDEX(TablaCliente!_CapturaAbonoAnticipadoTablaCliente,__Amortizacion)</f>
        <v>0</v>
      </c>
      <c r="N167" s="84">
        <f t="shared" ca="1" si="18"/>
        <v>9.0949470177292824E-12</v>
      </c>
      <c r="P167" s="615" t="b">
        <f ca="1">__Saldo_Final _Anterior &gt; 0</f>
        <v>1</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c r="D168" s="616">
        <v>150</v>
      </c>
      <c r="F168" s="18">
        <f ca="1" xml:space="preserve"> ( __Saldo_Final _Anterior + T_SeguroAnual!__Saldo_Ciclico ) * ( __Stopper_Saldo_Inicial )</f>
        <v>9.0949470177292824E-12</v>
      </c>
      <c r="G168" s="83">
        <f ca="1">MIN( CHOOSE(i.Opcion.Abono, __Capital_Opcion_1, __Capital_Opcion_2, __Capital_Opcion_3) _Actual, __Saldo_Inicial _Actual)</f>
        <v>0</v>
      </c>
      <c r="H168" s="83">
        <f t="shared" ca="1" si="14"/>
        <v>3.2590226813529929E-15</v>
      </c>
      <c r="I168" s="84">
        <f ca="1">T_AutoYSeguroMulti!__Dias_Interes_Periodo</f>
        <v>30</v>
      </c>
      <c r="J168" s="84">
        <f t="shared" ca="1" si="15"/>
        <v>9.7770680440589784E-14</v>
      </c>
      <c r="K168" s="84">
        <f t="shared" ca="1" si="16"/>
        <v>1.1732481652870774E-14</v>
      </c>
      <c r="L168" s="83">
        <f t="shared" ca="1" si="17"/>
        <v>1.0950316209346055E-13</v>
      </c>
      <c r="M168" s="643">
        <f>INDEX(TablaCliente!_CapturaAbonoAnticipadoTablaCliente,__Amortizacion)</f>
        <v>0</v>
      </c>
      <c r="N168" s="84">
        <f t="shared" ca="1" si="18"/>
        <v>9.0949470177292824E-12</v>
      </c>
      <c r="P168" s="615" t="b">
        <f ca="1">__Saldo_Final _Anterior &gt; 0</f>
        <v>1</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c r="D169" s="616">
        <v>151</v>
      </c>
      <c r="F169" s="18">
        <f ca="1" xml:space="preserve"> ( __Saldo_Final _Anterior + T_SeguroAnual!__Saldo_Ciclico ) * ( __Stopper_Saldo_Inicial )</f>
        <v>9.0949470177292824E-12</v>
      </c>
      <c r="G169" s="83">
        <f ca="1">MIN( CHOOSE(i.Opcion.Abono, __Capital_Opcion_1, __Capital_Opcion_2, __Capital_Opcion_3) _Actual, __Saldo_Inicial _Actual)</f>
        <v>0</v>
      </c>
      <c r="H169" s="83">
        <f t="shared" ca="1" si="14"/>
        <v>3.2590226813529929E-15</v>
      </c>
      <c r="I169" s="84">
        <f ca="1">T_AutoYSeguroMulti!__Dias_Interes_Periodo</f>
        <v>30</v>
      </c>
      <c r="J169" s="84">
        <f t="shared" ca="1" si="15"/>
        <v>9.7770680440589784E-14</v>
      </c>
      <c r="K169" s="84">
        <f t="shared" ca="1" si="16"/>
        <v>1.1732481652870774E-14</v>
      </c>
      <c r="L169" s="83">
        <f t="shared" ca="1" si="17"/>
        <v>1.0950316209346055E-13</v>
      </c>
      <c r="M169" s="643">
        <f>INDEX(TablaCliente!_CapturaAbonoAnticipadoTablaCliente,__Amortizacion)</f>
        <v>0</v>
      </c>
      <c r="N169" s="84">
        <f t="shared" ca="1" si="18"/>
        <v>9.0949470177292824E-12</v>
      </c>
      <c r="P169" s="615" t="b">
        <f ca="1">__Saldo_Final _Anterior &gt; 0</f>
        <v>1</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c r="D170" s="616">
        <v>152</v>
      </c>
      <c r="F170" s="18">
        <f ca="1" xml:space="preserve"> ( __Saldo_Final _Anterior + T_SeguroAnual!__Saldo_Ciclico ) * ( __Stopper_Saldo_Inicial )</f>
        <v>9.0949470177292824E-12</v>
      </c>
      <c r="G170" s="83">
        <f ca="1">MIN( CHOOSE(i.Opcion.Abono, __Capital_Opcion_1, __Capital_Opcion_2, __Capital_Opcion_3) _Actual, __Saldo_Inicial _Actual)</f>
        <v>0</v>
      </c>
      <c r="H170" s="83">
        <f t="shared" ca="1" si="14"/>
        <v>3.2590226813529929E-15</v>
      </c>
      <c r="I170" s="84">
        <f ca="1">T_AutoYSeguroMulti!__Dias_Interes_Periodo</f>
        <v>30</v>
      </c>
      <c r="J170" s="84">
        <f t="shared" ca="1" si="15"/>
        <v>9.7770680440589784E-14</v>
      </c>
      <c r="K170" s="84">
        <f t="shared" ca="1" si="16"/>
        <v>1.1732481652870774E-14</v>
      </c>
      <c r="L170" s="83">
        <f t="shared" ca="1" si="17"/>
        <v>1.0950316209346055E-13</v>
      </c>
      <c r="M170" s="643">
        <f>INDEX(TablaCliente!_CapturaAbonoAnticipadoTablaCliente,__Amortizacion)</f>
        <v>0</v>
      </c>
      <c r="N170" s="84">
        <f t="shared" ca="1" si="18"/>
        <v>9.0949470177292824E-12</v>
      </c>
      <c r="P170" s="615" t="b">
        <f ca="1">__Saldo_Final _Anterior &gt; 0</f>
        <v>1</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c r="D171" s="616">
        <v>153</v>
      </c>
      <c r="F171" s="18">
        <f ca="1" xml:space="preserve"> ( __Saldo_Final _Anterior + T_SeguroAnual!__Saldo_Ciclico ) * ( __Stopper_Saldo_Inicial )</f>
        <v>9.0949470177292824E-12</v>
      </c>
      <c r="G171" s="83">
        <f ca="1">MIN( CHOOSE(i.Opcion.Abono, __Capital_Opcion_1, __Capital_Opcion_2, __Capital_Opcion_3) _Actual, __Saldo_Inicial _Actual)</f>
        <v>0</v>
      </c>
      <c r="H171" s="83">
        <f t="shared" ca="1" si="14"/>
        <v>3.2590226813529929E-15</v>
      </c>
      <c r="I171" s="84">
        <f ca="1">T_AutoYSeguroMulti!__Dias_Interes_Periodo</f>
        <v>30</v>
      </c>
      <c r="J171" s="84">
        <f t="shared" ca="1" si="15"/>
        <v>9.7770680440589784E-14</v>
      </c>
      <c r="K171" s="84">
        <f t="shared" ca="1" si="16"/>
        <v>1.1732481652870774E-14</v>
      </c>
      <c r="L171" s="83">
        <f t="shared" ca="1" si="17"/>
        <v>1.0950316209346055E-13</v>
      </c>
      <c r="M171" s="643">
        <f>INDEX(TablaCliente!_CapturaAbonoAnticipadoTablaCliente,__Amortizacion)</f>
        <v>0</v>
      </c>
      <c r="N171" s="84">
        <f t="shared" ca="1" si="18"/>
        <v>9.0949470177292824E-12</v>
      </c>
      <c r="P171" s="615" t="b">
        <f ca="1">__Saldo_Final _Anterior &gt; 0</f>
        <v>1</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c r="D172" s="616">
        <v>154</v>
      </c>
      <c r="F172" s="18">
        <f ca="1" xml:space="preserve"> ( __Saldo_Final _Anterior + T_SeguroAnual!__Saldo_Ciclico ) * ( __Stopper_Saldo_Inicial )</f>
        <v>9.0949470177292824E-12</v>
      </c>
      <c r="G172" s="83">
        <f ca="1">MIN( CHOOSE(i.Opcion.Abono, __Capital_Opcion_1, __Capital_Opcion_2, __Capital_Opcion_3) _Actual, __Saldo_Inicial _Actual)</f>
        <v>0</v>
      </c>
      <c r="H172" s="83">
        <f t="shared" ca="1" si="14"/>
        <v>3.2590226813529929E-15</v>
      </c>
      <c r="I172" s="84">
        <f ca="1">T_AutoYSeguroMulti!__Dias_Interes_Periodo</f>
        <v>30</v>
      </c>
      <c r="J172" s="84">
        <f t="shared" ca="1" si="15"/>
        <v>9.7770680440589784E-14</v>
      </c>
      <c r="K172" s="84">
        <f t="shared" ca="1" si="16"/>
        <v>1.1732481652870774E-14</v>
      </c>
      <c r="L172" s="83">
        <f t="shared" ca="1" si="17"/>
        <v>1.0950316209346055E-13</v>
      </c>
      <c r="M172" s="643">
        <f>INDEX(TablaCliente!_CapturaAbonoAnticipadoTablaCliente,__Amortizacion)</f>
        <v>0</v>
      </c>
      <c r="N172" s="84">
        <f t="shared" ca="1" si="18"/>
        <v>9.0949470177292824E-12</v>
      </c>
      <c r="P172" s="615" t="b">
        <f ca="1">__Saldo_Final _Anterior &gt; 0</f>
        <v>1</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c r="D173" s="616">
        <v>155</v>
      </c>
      <c r="F173" s="18">
        <f ca="1" xml:space="preserve"> ( __Saldo_Final _Anterior + T_SeguroAnual!__Saldo_Ciclico ) * ( __Stopper_Saldo_Inicial )</f>
        <v>9.0949470177292824E-12</v>
      </c>
      <c r="G173" s="83">
        <f ca="1">MIN( CHOOSE(i.Opcion.Abono, __Capital_Opcion_1, __Capital_Opcion_2, __Capital_Opcion_3) _Actual, __Saldo_Inicial _Actual)</f>
        <v>0</v>
      </c>
      <c r="H173" s="83">
        <f t="shared" ca="1" si="14"/>
        <v>3.2590226813529929E-15</v>
      </c>
      <c r="I173" s="84">
        <f ca="1">T_AutoYSeguroMulti!__Dias_Interes_Periodo</f>
        <v>30</v>
      </c>
      <c r="J173" s="84">
        <f t="shared" ca="1" si="15"/>
        <v>9.7770680440589784E-14</v>
      </c>
      <c r="K173" s="84">
        <f t="shared" ca="1" si="16"/>
        <v>1.1732481652870774E-14</v>
      </c>
      <c r="L173" s="83">
        <f t="shared" ca="1" si="17"/>
        <v>1.0950316209346055E-13</v>
      </c>
      <c r="M173" s="643">
        <f>INDEX(TablaCliente!_CapturaAbonoAnticipadoTablaCliente,__Amortizacion)</f>
        <v>0</v>
      </c>
      <c r="N173" s="84">
        <f t="shared" ca="1" si="18"/>
        <v>9.0949470177292824E-12</v>
      </c>
      <c r="P173" s="615" t="b">
        <f ca="1">__Saldo_Final _Anterior &gt; 0</f>
        <v>1</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c r="D174" s="616">
        <v>156</v>
      </c>
      <c r="F174" s="18">
        <f ca="1" xml:space="preserve"> ( __Saldo_Final _Anterior + T_SeguroAnual!__Saldo_Ciclico ) * ( __Stopper_Saldo_Inicial )</f>
        <v>9.0949470177292824E-12</v>
      </c>
      <c r="G174" s="83">
        <f ca="1">MIN( CHOOSE(i.Opcion.Abono, __Capital_Opcion_1, __Capital_Opcion_2, __Capital_Opcion_3) _Actual, __Saldo_Inicial _Actual)</f>
        <v>0</v>
      </c>
      <c r="H174" s="83">
        <f t="shared" ca="1" si="14"/>
        <v>3.2590226813529929E-15</v>
      </c>
      <c r="I174" s="84">
        <f ca="1">T_AutoYSeguroMulti!__Dias_Interes_Periodo</f>
        <v>30</v>
      </c>
      <c r="J174" s="84">
        <f t="shared" ca="1" si="15"/>
        <v>9.7770680440589784E-14</v>
      </c>
      <c r="K174" s="84">
        <f t="shared" ca="1" si="16"/>
        <v>1.1732481652870774E-14</v>
      </c>
      <c r="L174" s="83">
        <f t="shared" ca="1" si="17"/>
        <v>1.0950316209346055E-13</v>
      </c>
      <c r="M174" s="643">
        <f>INDEX(TablaCliente!_CapturaAbonoAnticipadoTablaCliente,__Amortizacion)</f>
        <v>0</v>
      </c>
      <c r="N174" s="84">
        <f t="shared" ca="1" si="18"/>
        <v>9.0949470177292824E-12</v>
      </c>
      <c r="P174" s="615" t="b">
        <f ca="1">__Saldo_Final _Anterior &gt; 0</f>
        <v>1</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c r="D175" s="616">
        <v>157</v>
      </c>
      <c r="F175" s="18">
        <f ca="1" xml:space="preserve"> ( __Saldo_Final _Anterior + T_SeguroAnual!__Saldo_Ciclico ) * ( __Stopper_Saldo_Inicial )</f>
        <v>9.0949470177292824E-12</v>
      </c>
      <c r="G175" s="83">
        <f ca="1">MIN( CHOOSE(i.Opcion.Abono, __Capital_Opcion_1, __Capital_Opcion_2, __Capital_Opcion_3) _Actual, __Saldo_Inicial _Actual)</f>
        <v>0</v>
      </c>
      <c r="H175" s="83">
        <f t="shared" ca="1" si="14"/>
        <v>3.2590226813529929E-15</v>
      </c>
      <c r="I175" s="84">
        <f ca="1">T_AutoYSeguroMulti!__Dias_Interes_Periodo</f>
        <v>30</v>
      </c>
      <c r="J175" s="84">
        <f t="shared" ca="1" si="15"/>
        <v>9.7770680440589784E-14</v>
      </c>
      <c r="K175" s="84">
        <f t="shared" ca="1" si="16"/>
        <v>1.1732481652870774E-14</v>
      </c>
      <c r="L175" s="83">
        <f t="shared" ca="1" si="17"/>
        <v>1.0950316209346055E-13</v>
      </c>
      <c r="M175" s="643">
        <f>INDEX(TablaCliente!_CapturaAbonoAnticipadoTablaCliente,__Amortizacion)</f>
        <v>0</v>
      </c>
      <c r="N175" s="84">
        <f t="shared" ca="1" si="18"/>
        <v>9.0949470177292824E-12</v>
      </c>
      <c r="P175" s="615" t="b">
        <f ca="1">__Saldo_Final _Anterior &gt; 0</f>
        <v>1</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c r="D176" s="616">
        <v>158</v>
      </c>
      <c r="F176" s="18">
        <f ca="1" xml:space="preserve"> ( __Saldo_Final _Anterior + T_SeguroAnual!__Saldo_Ciclico ) * ( __Stopper_Saldo_Inicial )</f>
        <v>9.0949470177292824E-12</v>
      </c>
      <c r="G176" s="83">
        <f ca="1">MIN( CHOOSE(i.Opcion.Abono, __Capital_Opcion_1, __Capital_Opcion_2, __Capital_Opcion_3) _Actual, __Saldo_Inicial _Actual)</f>
        <v>0</v>
      </c>
      <c r="H176" s="83">
        <f t="shared" ca="1" si="14"/>
        <v>3.2590226813529929E-15</v>
      </c>
      <c r="I176" s="84">
        <f ca="1">T_AutoYSeguroMulti!__Dias_Interes_Periodo</f>
        <v>30</v>
      </c>
      <c r="J176" s="84">
        <f t="shared" ca="1" si="15"/>
        <v>9.7770680440589784E-14</v>
      </c>
      <c r="K176" s="84">
        <f t="shared" ca="1" si="16"/>
        <v>1.1732481652870774E-14</v>
      </c>
      <c r="L176" s="83">
        <f t="shared" ca="1" si="17"/>
        <v>1.0950316209346055E-13</v>
      </c>
      <c r="M176" s="643">
        <f>INDEX(TablaCliente!_CapturaAbonoAnticipadoTablaCliente,__Amortizacion)</f>
        <v>0</v>
      </c>
      <c r="N176" s="84">
        <f t="shared" ca="1" si="18"/>
        <v>9.0949470177292824E-12</v>
      </c>
      <c r="P176" s="615" t="b">
        <f ca="1">__Saldo_Final _Anterior &gt; 0</f>
        <v>1</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c r="D177" s="616">
        <v>159</v>
      </c>
      <c r="F177" s="18">
        <f ca="1" xml:space="preserve"> ( __Saldo_Final _Anterior + T_SeguroAnual!__Saldo_Ciclico ) * ( __Stopper_Saldo_Inicial )</f>
        <v>9.0949470177292824E-12</v>
      </c>
      <c r="G177" s="83">
        <f ca="1">MIN( CHOOSE(i.Opcion.Abono, __Capital_Opcion_1, __Capital_Opcion_2, __Capital_Opcion_3) _Actual, __Saldo_Inicial _Actual)</f>
        <v>0</v>
      </c>
      <c r="H177" s="83">
        <f t="shared" ca="1" si="14"/>
        <v>3.2590226813529929E-15</v>
      </c>
      <c r="I177" s="84">
        <f ca="1">T_AutoYSeguroMulti!__Dias_Interes_Periodo</f>
        <v>30</v>
      </c>
      <c r="J177" s="84">
        <f t="shared" ca="1" si="15"/>
        <v>9.7770680440589784E-14</v>
      </c>
      <c r="K177" s="84">
        <f t="shared" ca="1" si="16"/>
        <v>1.1732481652870774E-14</v>
      </c>
      <c r="L177" s="83">
        <f t="shared" ca="1" si="17"/>
        <v>1.0950316209346055E-13</v>
      </c>
      <c r="M177" s="643">
        <f>INDEX(TablaCliente!_CapturaAbonoAnticipadoTablaCliente,__Amortizacion)</f>
        <v>0</v>
      </c>
      <c r="N177" s="84">
        <f t="shared" ca="1" si="18"/>
        <v>9.0949470177292824E-12</v>
      </c>
      <c r="P177" s="615" t="b">
        <f ca="1">__Saldo_Final _Anterior &gt; 0</f>
        <v>1</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c r="D178" s="616">
        <v>160</v>
      </c>
      <c r="F178" s="18">
        <f ca="1" xml:space="preserve"> ( __Saldo_Final _Anterior + T_SeguroAnual!__Saldo_Ciclico ) * ( __Stopper_Saldo_Inicial )</f>
        <v>9.0949470177292824E-12</v>
      </c>
      <c r="G178" s="83">
        <f ca="1">MIN( CHOOSE(i.Opcion.Abono, __Capital_Opcion_1, __Capital_Opcion_2, __Capital_Opcion_3) _Actual, __Saldo_Inicial _Actual)</f>
        <v>0</v>
      </c>
      <c r="H178" s="83">
        <f t="shared" ca="1" si="14"/>
        <v>3.2590226813529929E-15</v>
      </c>
      <c r="I178" s="84">
        <f ca="1">T_AutoYSeguroMulti!__Dias_Interes_Periodo</f>
        <v>30</v>
      </c>
      <c r="J178" s="84">
        <f t="shared" ca="1" si="15"/>
        <v>9.7770680440589784E-14</v>
      </c>
      <c r="K178" s="84">
        <f t="shared" ca="1" si="16"/>
        <v>1.1732481652870774E-14</v>
      </c>
      <c r="L178" s="83">
        <f t="shared" ca="1" si="17"/>
        <v>1.0950316209346055E-13</v>
      </c>
      <c r="M178" s="643">
        <f>INDEX(TablaCliente!_CapturaAbonoAnticipadoTablaCliente,__Amortizacion)</f>
        <v>0</v>
      </c>
      <c r="N178" s="84">
        <f t="shared" ca="1" si="18"/>
        <v>9.0949470177292824E-12</v>
      </c>
      <c r="P178" s="615" t="b">
        <f ca="1">__Saldo_Final _Anterior &gt; 0</f>
        <v>1</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c r="D179" s="616">
        <v>161</v>
      </c>
      <c r="F179" s="18">
        <f ca="1" xml:space="preserve"> ( __Saldo_Final _Anterior + T_SeguroAnual!__Saldo_Ciclico ) * ( __Stopper_Saldo_Inicial )</f>
        <v>9.0949470177292824E-12</v>
      </c>
      <c r="G179" s="83">
        <f ca="1">MIN( CHOOSE(i.Opcion.Abono, __Capital_Opcion_1, __Capital_Opcion_2, __Capital_Opcion_3) _Actual, __Saldo_Inicial _Actual)</f>
        <v>0</v>
      </c>
      <c r="H179" s="83">
        <f t="shared" ca="1" si="14"/>
        <v>3.2590226813529929E-15</v>
      </c>
      <c r="I179" s="84">
        <f ca="1">T_AutoYSeguroMulti!__Dias_Interes_Periodo</f>
        <v>30</v>
      </c>
      <c r="J179" s="84">
        <f t="shared" ca="1" si="15"/>
        <v>9.7770680440589784E-14</v>
      </c>
      <c r="K179" s="84">
        <f t="shared" ca="1" si="16"/>
        <v>1.1732481652870774E-14</v>
      </c>
      <c r="L179" s="83">
        <f t="shared" ca="1" si="17"/>
        <v>1.0950316209346055E-13</v>
      </c>
      <c r="M179" s="643">
        <f>INDEX(TablaCliente!_CapturaAbonoAnticipadoTablaCliente,__Amortizacion)</f>
        <v>0</v>
      </c>
      <c r="N179" s="84">
        <f t="shared" ca="1" si="18"/>
        <v>9.0949470177292824E-12</v>
      </c>
      <c r="P179" s="615" t="b">
        <f ca="1">__Saldo_Final _Anterior &gt; 0</f>
        <v>1</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c r="D180" s="616">
        <v>162</v>
      </c>
      <c r="F180" s="18">
        <f ca="1" xml:space="preserve"> ( __Saldo_Final _Anterior + T_SeguroAnual!__Saldo_Ciclico ) * ( __Stopper_Saldo_Inicial )</f>
        <v>9.0949470177292824E-12</v>
      </c>
      <c r="G180" s="83">
        <f ca="1">MIN( CHOOSE(i.Opcion.Abono, __Capital_Opcion_1, __Capital_Opcion_2, __Capital_Opcion_3) _Actual, __Saldo_Inicial _Actual)</f>
        <v>0</v>
      </c>
      <c r="H180" s="83">
        <f t="shared" ca="1" si="14"/>
        <v>3.2590226813529929E-15</v>
      </c>
      <c r="I180" s="84">
        <f ca="1">T_AutoYSeguroMulti!__Dias_Interes_Periodo</f>
        <v>30</v>
      </c>
      <c r="J180" s="84">
        <f t="shared" ca="1" si="15"/>
        <v>9.7770680440589784E-14</v>
      </c>
      <c r="K180" s="84">
        <f t="shared" ca="1" si="16"/>
        <v>1.1732481652870774E-14</v>
      </c>
      <c r="L180" s="83">
        <f t="shared" ca="1" si="17"/>
        <v>1.0950316209346055E-13</v>
      </c>
      <c r="M180" s="643">
        <f>INDEX(TablaCliente!_CapturaAbonoAnticipadoTablaCliente,__Amortizacion)</f>
        <v>0</v>
      </c>
      <c r="N180" s="84">
        <f t="shared" ca="1" si="18"/>
        <v>9.0949470177292824E-12</v>
      </c>
      <c r="P180" s="615" t="b">
        <f ca="1">__Saldo_Final _Anterior &gt; 0</f>
        <v>1</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c r="D181" s="616">
        <v>163</v>
      </c>
      <c r="F181" s="18">
        <f ca="1" xml:space="preserve"> ( __Saldo_Final _Anterior + T_SeguroAnual!__Saldo_Ciclico ) * ( __Stopper_Saldo_Inicial )</f>
        <v>9.0949470177292824E-12</v>
      </c>
      <c r="G181" s="83">
        <f ca="1">MIN( CHOOSE(i.Opcion.Abono, __Capital_Opcion_1, __Capital_Opcion_2, __Capital_Opcion_3) _Actual, __Saldo_Inicial _Actual)</f>
        <v>0</v>
      </c>
      <c r="H181" s="83">
        <f t="shared" ca="1" si="14"/>
        <v>3.2590226813529929E-15</v>
      </c>
      <c r="I181" s="84">
        <f ca="1">T_AutoYSeguroMulti!__Dias_Interes_Periodo</f>
        <v>30</v>
      </c>
      <c r="J181" s="84">
        <f t="shared" ca="1" si="15"/>
        <v>9.7770680440589784E-14</v>
      </c>
      <c r="K181" s="84">
        <f t="shared" ca="1" si="16"/>
        <v>1.1732481652870774E-14</v>
      </c>
      <c r="L181" s="83">
        <f t="shared" ca="1" si="17"/>
        <v>1.0950316209346055E-13</v>
      </c>
      <c r="M181" s="643">
        <f>INDEX(TablaCliente!_CapturaAbonoAnticipadoTablaCliente,__Amortizacion)</f>
        <v>0</v>
      </c>
      <c r="N181" s="84">
        <f t="shared" ca="1" si="18"/>
        <v>9.0949470177292824E-12</v>
      </c>
      <c r="P181" s="615" t="b">
        <f ca="1">__Saldo_Final _Anterior &gt; 0</f>
        <v>1</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c r="D182" s="616">
        <v>164</v>
      </c>
      <c r="F182" s="18">
        <f ca="1" xml:space="preserve"> ( __Saldo_Final _Anterior + T_SeguroAnual!__Saldo_Ciclico ) * ( __Stopper_Saldo_Inicial )</f>
        <v>9.0949470177292824E-12</v>
      </c>
      <c r="G182" s="83">
        <f ca="1">MIN( CHOOSE(i.Opcion.Abono, __Capital_Opcion_1, __Capital_Opcion_2, __Capital_Opcion_3) _Actual, __Saldo_Inicial _Actual)</f>
        <v>0</v>
      </c>
      <c r="H182" s="83">
        <f t="shared" ca="1" si="14"/>
        <v>3.2590226813529929E-15</v>
      </c>
      <c r="I182" s="84">
        <f ca="1">T_AutoYSeguroMulti!__Dias_Interes_Periodo</f>
        <v>30</v>
      </c>
      <c r="J182" s="84">
        <f t="shared" ca="1" si="15"/>
        <v>9.7770680440589784E-14</v>
      </c>
      <c r="K182" s="84">
        <f t="shared" ca="1" si="16"/>
        <v>1.1732481652870774E-14</v>
      </c>
      <c r="L182" s="83">
        <f t="shared" ca="1" si="17"/>
        <v>1.0950316209346055E-13</v>
      </c>
      <c r="M182" s="643">
        <f>INDEX(TablaCliente!_CapturaAbonoAnticipadoTablaCliente,__Amortizacion)</f>
        <v>0</v>
      </c>
      <c r="N182" s="84">
        <f t="shared" ca="1" si="18"/>
        <v>9.0949470177292824E-12</v>
      </c>
      <c r="P182" s="615" t="b">
        <f ca="1">__Saldo_Final _Anterior &gt; 0</f>
        <v>1</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c r="D183" s="616">
        <v>165</v>
      </c>
      <c r="F183" s="18">
        <f ca="1" xml:space="preserve"> ( __Saldo_Final _Anterior + T_SeguroAnual!__Saldo_Ciclico ) * ( __Stopper_Saldo_Inicial )</f>
        <v>9.0949470177292824E-12</v>
      </c>
      <c r="G183" s="83">
        <f ca="1">MIN( CHOOSE(i.Opcion.Abono, __Capital_Opcion_1, __Capital_Opcion_2, __Capital_Opcion_3) _Actual, __Saldo_Inicial _Actual)</f>
        <v>0</v>
      </c>
      <c r="H183" s="83">
        <f t="shared" ca="1" si="14"/>
        <v>3.2590226813529929E-15</v>
      </c>
      <c r="I183" s="84">
        <f ca="1">T_AutoYSeguroMulti!__Dias_Interes_Periodo</f>
        <v>30</v>
      </c>
      <c r="J183" s="84">
        <f t="shared" ca="1" si="15"/>
        <v>9.7770680440589784E-14</v>
      </c>
      <c r="K183" s="84">
        <f t="shared" ca="1" si="16"/>
        <v>1.1732481652870774E-14</v>
      </c>
      <c r="L183" s="83">
        <f t="shared" ca="1" si="17"/>
        <v>1.0950316209346055E-13</v>
      </c>
      <c r="M183" s="643">
        <f>INDEX(TablaCliente!_CapturaAbonoAnticipadoTablaCliente,__Amortizacion)</f>
        <v>0</v>
      </c>
      <c r="N183" s="84">
        <f t="shared" ca="1" si="18"/>
        <v>9.0949470177292824E-12</v>
      </c>
      <c r="P183" s="615" t="b">
        <f ca="1">__Saldo_Final _Anterior &gt; 0</f>
        <v>1</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c r="D184" s="616">
        <v>166</v>
      </c>
      <c r="F184" s="18">
        <f ca="1" xml:space="preserve"> ( __Saldo_Final _Anterior + T_SeguroAnual!__Saldo_Ciclico ) * ( __Stopper_Saldo_Inicial )</f>
        <v>9.0949470177292824E-12</v>
      </c>
      <c r="G184" s="83">
        <f ca="1">MIN( CHOOSE(i.Opcion.Abono, __Capital_Opcion_1, __Capital_Opcion_2, __Capital_Opcion_3) _Actual, __Saldo_Inicial _Actual)</f>
        <v>0</v>
      </c>
      <c r="H184" s="83">
        <f t="shared" ca="1" si="14"/>
        <v>3.2590226813529929E-15</v>
      </c>
      <c r="I184" s="84">
        <f ca="1">T_AutoYSeguroMulti!__Dias_Interes_Periodo</f>
        <v>30</v>
      </c>
      <c r="J184" s="84">
        <f t="shared" ca="1" si="15"/>
        <v>9.7770680440589784E-14</v>
      </c>
      <c r="K184" s="84">
        <f t="shared" ca="1" si="16"/>
        <v>1.1732481652870774E-14</v>
      </c>
      <c r="L184" s="83">
        <f t="shared" ca="1" si="17"/>
        <v>1.0950316209346055E-13</v>
      </c>
      <c r="M184" s="643">
        <f>INDEX(TablaCliente!_CapturaAbonoAnticipadoTablaCliente,__Amortizacion)</f>
        <v>0</v>
      </c>
      <c r="N184" s="84">
        <f t="shared" ca="1" si="18"/>
        <v>9.0949470177292824E-12</v>
      </c>
      <c r="P184" s="615" t="b">
        <f ca="1">__Saldo_Final _Anterior &gt; 0</f>
        <v>1</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c r="D185" s="616">
        <v>167</v>
      </c>
      <c r="F185" s="18">
        <f ca="1" xml:space="preserve"> ( __Saldo_Final _Anterior + T_SeguroAnual!__Saldo_Ciclico ) * ( __Stopper_Saldo_Inicial )</f>
        <v>9.0949470177292824E-12</v>
      </c>
      <c r="G185" s="83">
        <f ca="1">MIN( CHOOSE(i.Opcion.Abono, __Capital_Opcion_1, __Capital_Opcion_2, __Capital_Opcion_3) _Actual, __Saldo_Inicial _Actual)</f>
        <v>0</v>
      </c>
      <c r="H185" s="83">
        <f t="shared" ca="1" si="14"/>
        <v>3.2590226813529929E-15</v>
      </c>
      <c r="I185" s="84">
        <f ca="1">T_AutoYSeguroMulti!__Dias_Interes_Periodo</f>
        <v>30</v>
      </c>
      <c r="J185" s="84">
        <f t="shared" ca="1" si="15"/>
        <v>9.7770680440589784E-14</v>
      </c>
      <c r="K185" s="84">
        <f t="shared" ca="1" si="16"/>
        <v>1.1732481652870774E-14</v>
      </c>
      <c r="L185" s="83">
        <f t="shared" ca="1" si="17"/>
        <v>1.0950316209346055E-13</v>
      </c>
      <c r="M185" s="643">
        <f>INDEX(TablaCliente!_CapturaAbonoAnticipadoTablaCliente,__Amortizacion)</f>
        <v>0</v>
      </c>
      <c r="N185" s="84">
        <f t="shared" ca="1" si="18"/>
        <v>9.0949470177292824E-12</v>
      </c>
      <c r="P185" s="615" t="b">
        <f ca="1">__Saldo_Final _Anterior &gt; 0</f>
        <v>1</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c r="D186" s="616">
        <v>168</v>
      </c>
      <c r="F186" s="18">
        <f ca="1" xml:space="preserve"> ( __Saldo_Final _Anterior + T_SeguroAnual!__Saldo_Ciclico ) * ( __Stopper_Saldo_Inicial )</f>
        <v>9.0949470177292824E-12</v>
      </c>
      <c r="G186" s="83">
        <f ca="1">MIN( CHOOSE(i.Opcion.Abono, __Capital_Opcion_1, __Capital_Opcion_2, __Capital_Opcion_3) _Actual, __Saldo_Inicial _Actual)</f>
        <v>0</v>
      </c>
      <c r="H186" s="83">
        <f t="shared" ca="1" si="14"/>
        <v>3.2590226813529929E-15</v>
      </c>
      <c r="I186" s="84">
        <f ca="1">T_AutoYSeguroMulti!__Dias_Interes_Periodo</f>
        <v>30</v>
      </c>
      <c r="J186" s="84">
        <f t="shared" ca="1" si="15"/>
        <v>9.7770680440589784E-14</v>
      </c>
      <c r="K186" s="84">
        <f t="shared" ca="1" si="16"/>
        <v>1.1732481652870774E-14</v>
      </c>
      <c r="L186" s="83">
        <f t="shared" ca="1" si="17"/>
        <v>1.0950316209346055E-13</v>
      </c>
      <c r="M186" s="643">
        <f>INDEX(TablaCliente!_CapturaAbonoAnticipadoTablaCliente,__Amortizacion)</f>
        <v>0</v>
      </c>
      <c r="N186" s="84">
        <f t="shared" ca="1" si="18"/>
        <v>9.0949470177292824E-12</v>
      </c>
      <c r="P186" s="615" t="b">
        <f ca="1">__Saldo_Final _Anterior &gt; 0</f>
        <v>1</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c r="D187" s="616">
        <v>169</v>
      </c>
      <c r="F187" s="18">
        <f ca="1" xml:space="preserve"> ( __Saldo_Final _Anterior + T_SeguroAnual!__Saldo_Ciclico ) * ( __Stopper_Saldo_Inicial )</f>
        <v>9.0949470177292824E-12</v>
      </c>
      <c r="G187" s="83">
        <f ca="1">MIN( CHOOSE(i.Opcion.Abono, __Capital_Opcion_1, __Capital_Opcion_2, __Capital_Opcion_3) _Actual, __Saldo_Inicial _Actual)</f>
        <v>0</v>
      </c>
      <c r="H187" s="83">
        <f t="shared" ca="1" si="14"/>
        <v>3.2590226813529929E-15</v>
      </c>
      <c r="I187" s="84">
        <f ca="1">T_AutoYSeguroMulti!__Dias_Interes_Periodo</f>
        <v>30</v>
      </c>
      <c r="J187" s="84">
        <f t="shared" ca="1" si="15"/>
        <v>9.7770680440589784E-14</v>
      </c>
      <c r="K187" s="84">
        <f t="shared" ca="1" si="16"/>
        <v>1.1732481652870774E-14</v>
      </c>
      <c r="L187" s="83">
        <f t="shared" ca="1" si="17"/>
        <v>1.0950316209346055E-13</v>
      </c>
      <c r="M187" s="643">
        <f>INDEX(TablaCliente!_CapturaAbonoAnticipadoTablaCliente,__Amortizacion)</f>
        <v>0</v>
      </c>
      <c r="N187" s="84">
        <f t="shared" ca="1" si="18"/>
        <v>9.0949470177292824E-12</v>
      </c>
      <c r="P187" s="615" t="b">
        <f ca="1">__Saldo_Final _Anterior &gt; 0</f>
        <v>1</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c r="D188" s="616">
        <v>170</v>
      </c>
      <c r="F188" s="18">
        <f ca="1" xml:space="preserve"> ( __Saldo_Final _Anterior + T_SeguroAnual!__Saldo_Ciclico ) * ( __Stopper_Saldo_Inicial )</f>
        <v>9.0949470177292824E-12</v>
      </c>
      <c r="G188" s="83">
        <f ca="1">MIN( CHOOSE(i.Opcion.Abono, __Capital_Opcion_1, __Capital_Opcion_2, __Capital_Opcion_3) _Actual, __Saldo_Inicial _Actual)</f>
        <v>0</v>
      </c>
      <c r="H188" s="83">
        <f t="shared" ca="1" si="14"/>
        <v>3.2590226813529929E-15</v>
      </c>
      <c r="I188" s="84">
        <f ca="1">T_AutoYSeguroMulti!__Dias_Interes_Periodo</f>
        <v>30</v>
      </c>
      <c r="J188" s="84">
        <f t="shared" ca="1" si="15"/>
        <v>9.7770680440589784E-14</v>
      </c>
      <c r="K188" s="84">
        <f t="shared" ca="1" si="16"/>
        <v>1.1732481652870774E-14</v>
      </c>
      <c r="L188" s="83">
        <f t="shared" ca="1" si="17"/>
        <v>1.0950316209346055E-13</v>
      </c>
      <c r="M188" s="643">
        <f>INDEX(TablaCliente!_CapturaAbonoAnticipadoTablaCliente,__Amortizacion)</f>
        <v>0</v>
      </c>
      <c r="N188" s="84">
        <f t="shared" ca="1" si="18"/>
        <v>9.0949470177292824E-12</v>
      </c>
      <c r="P188" s="615" t="b">
        <f ca="1">__Saldo_Final _Anterior &gt; 0</f>
        <v>1</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c r="D189" s="616">
        <v>171</v>
      </c>
      <c r="F189" s="18">
        <f ca="1" xml:space="preserve"> ( __Saldo_Final _Anterior + T_SeguroAnual!__Saldo_Ciclico ) * ( __Stopper_Saldo_Inicial )</f>
        <v>9.0949470177292824E-12</v>
      </c>
      <c r="G189" s="83">
        <f ca="1">MIN( CHOOSE(i.Opcion.Abono, __Capital_Opcion_1, __Capital_Opcion_2, __Capital_Opcion_3) _Actual, __Saldo_Inicial _Actual)</f>
        <v>0</v>
      </c>
      <c r="H189" s="83">
        <f t="shared" ca="1" si="14"/>
        <v>3.2590226813529929E-15</v>
      </c>
      <c r="I189" s="84">
        <f ca="1">T_AutoYSeguroMulti!__Dias_Interes_Periodo</f>
        <v>30</v>
      </c>
      <c r="J189" s="84">
        <f t="shared" ca="1" si="15"/>
        <v>9.7770680440589784E-14</v>
      </c>
      <c r="K189" s="84">
        <f t="shared" ca="1" si="16"/>
        <v>1.1732481652870774E-14</v>
      </c>
      <c r="L189" s="83">
        <f t="shared" ca="1" si="17"/>
        <v>1.0950316209346055E-13</v>
      </c>
      <c r="M189" s="643">
        <f>INDEX(TablaCliente!_CapturaAbonoAnticipadoTablaCliente,__Amortizacion)</f>
        <v>0</v>
      </c>
      <c r="N189" s="84">
        <f t="shared" ca="1" si="18"/>
        <v>9.0949470177292824E-12</v>
      </c>
      <c r="P189" s="615" t="b">
        <f ca="1">__Saldo_Final _Anterior &gt; 0</f>
        <v>1</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c r="D190" s="616">
        <v>172</v>
      </c>
      <c r="F190" s="18">
        <f ca="1" xml:space="preserve"> ( __Saldo_Final _Anterior + T_SeguroAnual!__Saldo_Ciclico ) * ( __Stopper_Saldo_Inicial )</f>
        <v>9.0949470177292824E-12</v>
      </c>
      <c r="G190" s="83">
        <f ca="1">MIN( CHOOSE(i.Opcion.Abono, __Capital_Opcion_1, __Capital_Opcion_2, __Capital_Opcion_3) _Actual, __Saldo_Inicial _Actual)</f>
        <v>0</v>
      </c>
      <c r="H190" s="83">
        <f t="shared" ca="1" si="14"/>
        <v>3.2590226813529929E-15</v>
      </c>
      <c r="I190" s="84">
        <f ca="1">T_AutoYSeguroMulti!__Dias_Interes_Periodo</f>
        <v>30</v>
      </c>
      <c r="J190" s="84">
        <f t="shared" ca="1" si="15"/>
        <v>9.7770680440589784E-14</v>
      </c>
      <c r="K190" s="84">
        <f t="shared" ca="1" si="16"/>
        <v>1.1732481652870774E-14</v>
      </c>
      <c r="L190" s="83">
        <f t="shared" ca="1" si="17"/>
        <v>1.0950316209346055E-13</v>
      </c>
      <c r="M190" s="643">
        <f>INDEX(TablaCliente!_CapturaAbonoAnticipadoTablaCliente,__Amortizacion)</f>
        <v>0</v>
      </c>
      <c r="N190" s="84">
        <f t="shared" ca="1" si="18"/>
        <v>9.0949470177292824E-12</v>
      </c>
      <c r="P190" s="615" t="b">
        <f ca="1">__Saldo_Final _Anterior &gt; 0</f>
        <v>1</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c r="D191" s="616">
        <v>173</v>
      </c>
      <c r="F191" s="18">
        <f ca="1" xml:space="preserve"> ( __Saldo_Final _Anterior + T_SeguroAnual!__Saldo_Ciclico ) * ( __Stopper_Saldo_Inicial )</f>
        <v>9.0949470177292824E-12</v>
      </c>
      <c r="G191" s="83">
        <f ca="1">MIN( CHOOSE(i.Opcion.Abono, __Capital_Opcion_1, __Capital_Opcion_2, __Capital_Opcion_3) _Actual, __Saldo_Inicial _Actual)</f>
        <v>0</v>
      </c>
      <c r="H191" s="83">
        <f t="shared" ca="1" si="14"/>
        <v>3.2590226813529929E-15</v>
      </c>
      <c r="I191" s="84">
        <f ca="1">T_AutoYSeguroMulti!__Dias_Interes_Periodo</f>
        <v>30</v>
      </c>
      <c r="J191" s="84">
        <f t="shared" ca="1" si="15"/>
        <v>9.7770680440589784E-14</v>
      </c>
      <c r="K191" s="84">
        <f t="shared" ca="1" si="16"/>
        <v>1.1732481652870774E-14</v>
      </c>
      <c r="L191" s="83">
        <f t="shared" ca="1" si="17"/>
        <v>1.0950316209346055E-13</v>
      </c>
      <c r="M191" s="643">
        <f>INDEX(TablaCliente!_CapturaAbonoAnticipadoTablaCliente,__Amortizacion)</f>
        <v>0</v>
      </c>
      <c r="N191" s="84">
        <f t="shared" ca="1" si="18"/>
        <v>9.0949470177292824E-12</v>
      </c>
      <c r="P191" s="615" t="b">
        <f ca="1">__Saldo_Final _Anterior &gt; 0</f>
        <v>1</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c r="D192" s="616">
        <v>174</v>
      </c>
      <c r="F192" s="18">
        <f ca="1" xml:space="preserve"> ( __Saldo_Final _Anterior + T_SeguroAnual!__Saldo_Ciclico ) * ( __Stopper_Saldo_Inicial )</f>
        <v>9.0949470177292824E-12</v>
      </c>
      <c r="G192" s="83">
        <f ca="1">MIN( CHOOSE(i.Opcion.Abono, __Capital_Opcion_1, __Capital_Opcion_2, __Capital_Opcion_3) _Actual, __Saldo_Inicial _Actual)</f>
        <v>0</v>
      </c>
      <c r="H192" s="83">
        <f t="shared" ca="1" si="14"/>
        <v>3.2590226813529929E-15</v>
      </c>
      <c r="I192" s="84">
        <f ca="1">T_AutoYSeguroMulti!__Dias_Interes_Periodo</f>
        <v>30</v>
      </c>
      <c r="J192" s="84">
        <f t="shared" ca="1" si="15"/>
        <v>9.7770680440589784E-14</v>
      </c>
      <c r="K192" s="84">
        <f t="shared" ca="1" si="16"/>
        <v>1.1732481652870774E-14</v>
      </c>
      <c r="L192" s="83">
        <f t="shared" ca="1" si="17"/>
        <v>1.0950316209346055E-13</v>
      </c>
      <c r="M192" s="643">
        <f>INDEX(TablaCliente!_CapturaAbonoAnticipadoTablaCliente,__Amortizacion)</f>
        <v>0</v>
      </c>
      <c r="N192" s="84">
        <f t="shared" ca="1" si="18"/>
        <v>9.0949470177292824E-12</v>
      </c>
      <c r="P192" s="615" t="b">
        <f ca="1">__Saldo_Final _Anterior &gt; 0</f>
        <v>1</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c r="D193" s="616">
        <v>175</v>
      </c>
      <c r="F193" s="18">
        <f ca="1" xml:space="preserve"> ( __Saldo_Final _Anterior + T_SeguroAnual!__Saldo_Ciclico ) * ( __Stopper_Saldo_Inicial )</f>
        <v>9.0949470177292824E-12</v>
      </c>
      <c r="G193" s="83">
        <f ca="1">MIN( CHOOSE(i.Opcion.Abono, __Capital_Opcion_1, __Capital_Opcion_2, __Capital_Opcion_3) _Actual, __Saldo_Inicial _Actual)</f>
        <v>0</v>
      </c>
      <c r="H193" s="83">
        <f t="shared" ca="1" si="14"/>
        <v>3.2590226813529929E-15</v>
      </c>
      <c r="I193" s="84">
        <f ca="1">T_AutoYSeguroMulti!__Dias_Interes_Periodo</f>
        <v>30</v>
      </c>
      <c r="J193" s="84">
        <f t="shared" ca="1" si="15"/>
        <v>9.7770680440589784E-14</v>
      </c>
      <c r="K193" s="84">
        <f t="shared" ca="1" si="16"/>
        <v>1.1732481652870774E-14</v>
      </c>
      <c r="L193" s="83">
        <f t="shared" ca="1" si="17"/>
        <v>1.0950316209346055E-13</v>
      </c>
      <c r="M193" s="643">
        <f>INDEX(TablaCliente!_CapturaAbonoAnticipadoTablaCliente,__Amortizacion)</f>
        <v>0</v>
      </c>
      <c r="N193" s="84">
        <f t="shared" ca="1" si="18"/>
        <v>9.0949470177292824E-12</v>
      </c>
      <c r="P193" s="615" t="b">
        <f ca="1">__Saldo_Final _Anterior &gt; 0</f>
        <v>1</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c r="D194" s="616">
        <v>176</v>
      </c>
      <c r="F194" s="18">
        <f ca="1" xml:space="preserve"> ( __Saldo_Final _Anterior + T_SeguroAnual!__Saldo_Ciclico ) * ( __Stopper_Saldo_Inicial )</f>
        <v>9.0949470177292824E-12</v>
      </c>
      <c r="G194" s="83">
        <f ca="1">MIN( CHOOSE(i.Opcion.Abono, __Capital_Opcion_1, __Capital_Opcion_2, __Capital_Opcion_3) _Actual, __Saldo_Inicial _Actual)</f>
        <v>0</v>
      </c>
      <c r="H194" s="83">
        <f t="shared" ca="1" si="14"/>
        <v>3.2590226813529929E-15</v>
      </c>
      <c r="I194" s="84">
        <f ca="1">T_AutoYSeguroMulti!__Dias_Interes_Periodo</f>
        <v>30</v>
      </c>
      <c r="J194" s="84">
        <f t="shared" ca="1" si="15"/>
        <v>9.7770680440589784E-14</v>
      </c>
      <c r="K194" s="84">
        <f t="shared" ca="1" si="16"/>
        <v>1.1732481652870774E-14</v>
      </c>
      <c r="L194" s="83">
        <f t="shared" ca="1" si="17"/>
        <v>1.0950316209346055E-13</v>
      </c>
      <c r="M194" s="643">
        <f>INDEX(TablaCliente!_CapturaAbonoAnticipadoTablaCliente,__Amortizacion)</f>
        <v>0</v>
      </c>
      <c r="N194" s="84">
        <f t="shared" ca="1" si="18"/>
        <v>9.0949470177292824E-12</v>
      </c>
      <c r="P194" s="615" t="b">
        <f ca="1">__Saldo_Final _Anterior &gt; 0</f>
        <v>1</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c r="D195" s="616">
        <v>177</v>
      </c>
      <c r="F195" s="18">
        <f ca="1" xml:space="preserve"> ( __Saldo_Final _Anterior + T_SeguroAnual!__Saldo_Ciclico ) * ( __Stopper_Saldo_Inicial )</f>
        <v>9.0949470177292824E-12</v>
      </c>
      <c r="G195" s="83">
        <f ca="1">MIN( CHOOSE(i.Opcion.Abono, __Capital_Opcion_1, __Capital_Opcion_2, __Capital_Opcion_3) _Actual, __Saldo_Inicial _Actual)</f>
        <v>0</v>
      </c>
      <c r="H195" s="83">
        <f t="shared" ca="1" si="14"/>
        <v>3.2590226813529929E-15</v>
      </c>
      <c r="I195" s="84">
        <f ca="1">T_AutoYSeguroMulti!__Dias_Interes_Periodo</f>
        <v>30</v>
      </c>
      <c r="J195" s="84">
        <f t="shared" ca="1" si="15"/>
        <v>9.7770680440589784E-14</v>
      </c>
      <c r="K195" s="84">
        <f t="shared" ca="1" si="16"/>
        <v>1.1732481652870774E-14</v>
      </c>
      <c r="L195" s="83">
        <f t="shared" ca="1" si="17"/>
        <v>1.0950316209346055E-13</v>
      </c>
      <c r="M195" s="643">
        <f>INDEX(TablaCliente!_CapturaAbonoAnticipadoTablaCliente,__Amortizacion)</f>
        <v>0</v>
      </c>
      <c r="N195" s="84">
        <f t="shared" ca="1" si="18"/>
        <v>9.0949470177292824E-12</v>
      </c>
      <c r="P195" s="615" t="b">
        <f ca="1">__Saldo_Final _Anterior &gt; 0</f>
        <v>1</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c r="D196" s="616">
        <v>178</v>
      </c>
      <c r="F196" s="18">
        <f ca="1" xml:space="preserve"> ( __Saldo_Final _Anterior + T_SeguroAnual!__Saldo_Ciclico ) * ( __Stopper_Saldo_Inicial )</f>
        <v>9.0949470177292824E-12</v>
      </c>
      <c r="G196" s="83">
        <f ca="1">MIN( CHOOSE(i.Opcion.Abono, __Capital_Opcion_1, __Capital_Opcion_2, __Capital_Opcion_3) _Actual, __Saldo_Inicial _Actual)</f>
        <v>0</v>
      </c>
      <c r="H196" s="83">
        <f t="shared" ca="1" si="14"/>
        <v>3.2590226813529929E-15</v>
      </c>
      <c r="I196" s="84">
        <f ca="1">T_AutoYSeguroMulti!__Dias_Interes_Periodo</f>
        <v>30</v>
      </c>
      <c r="J196" s="84">
        <f t="shared" ca="1" si="15"/>
        <v>9.7770680440589784E-14</v>
      </c>
      <c r="K196" s="84">
        <f t="shared" ca="1" si="16"/>
        <v>1.1732481652870774E-14</v>
      </c>
      <c r="L196" s="83">
        <f t="shared" ca="1" si="17"/>
        <v>1.0950316209346055E-13</v>
      </c>
      <c r="M196" s="643">
        <f>INDEX(TablaCliente!_CapturaAbonoAnticipadoTablaCliente,__Amortizacion)</f>
        <v>0</v>
      </c>
      <c r="N196" s="84">
        <f t="shared" ca="1" si="18"/>
        <v>9.0949470177292824E-12</v>
      </c>
      <c r="P196" s="615" t="b">
        <f ca="1">__Saldo_Final _Anterior &gt; 0</f>
        <v>1</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c r="D197" s="616">
        <v>179</v>
      </c>
      <c r="F197" s="18">
        <f ca="1" xml:space="preserve"> ( __Saldo_Final _Anterior + T_SeguroAnual!__Saldo_Ciclico ) * ( __Stopper_Saldo_Inicial )</f>
        <v>9.0949470177292824E-12</v>
      </c>
      <c r="G197" s="83">
        <f ca="1">MIN( CHOOSE(i.Opcion.Abono, __Capital_Opcion_1, __Capital_Opcion_2, __Capital_Opcion_3) _Actual, __Saldo_Inicial _Actual)</f>
        <v>0</v>
      </c>
      <c r="H197" s="83">
        <f t="shared" ca="1" si="14"/>
        <v>3.2590226813529929E-15</v>
      </c>
      <c r="I197" s="84">
        <f ca="1">T_AutoYSeguroMulti!__Dias_Interes_Periodo</f>
        <v>30</v>
      </c>
      <c r="J197" s="84">
        <f t="shared" ca="1" si="15"/>
        <v>9.7770680440589784E-14</v>
      </c>
      <c r="K197" s="84">
        <f t="shared" ca="1" si="16"/>
        <v>1.1732481652870774E-14</v>
      </c>
      <c r="L197" s="83">
        <f t="shared" ca="1" si="17"/>
        <v>1.0950316209346055E-13</v>
      </c>
      <c r="M197" s="643">
        <f>INDEX(TablaCliente!_CapturaAbonoAnticipadoTablaCliente,__Amortizacion)</f>
        <v>0</v>
      </c>
      <c r="N197" s="84">
        <f t="shared" ca="1" si="18"/>
        <v>9.0949470177292824E-12</v>
      </c>
      <c r="P197" s="615" t="b">
        <f ca="1">__Saldo_Final _Anterior &gt; 0</f>
        <v>1</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c r="D198" s="616">
        <v>180</v>
      </c>
      <c r="F198" s="18">
        <f ca="1" xml:space="preserve"> ( __Saldo_Final _Anterior + T_SeguroAnual!__Saldo_Ciclico ) * ( __Stopper_Saldo_Inicial )</f>
        <v>9.0949470177292824E-12</v>
      </c>
      <c r="G198" s="83">
        <f ca="1">MIN( CHOOSE(i.Opcion.Abono, __Capital_Opcion_1, __Capital_Opcion_2, __Capital_Opcion_3) _Actual, __Saldo_Inicial _Actual)</f>
        <v>0</v>
      </c>
      <c r="H198" s="83">
        <f t="shared" ca="1" si="14"/>
        <v>3.2590226813529929E-15</v>
      </c>
      <c r="I198" s="84">
        <f ca="1">T_AutoYSeguroMulti!__Dias_Interes_Periodo</f>
        <v>30</v>
      </c>
      <c r="J198" s="84">
        <f t="shared" ca="1" si="15"/>
        <v>9.7770680440589784E-14</v>
      </c>
      <c r="K198" s="84">
        <f t="shared" ca="1" si="16"/>
        <v>1.1732481652870774E-14</v>
      </c>
      <c r="L198" s="83">
        <f t="shared" ca="1" si="17"/>
        <v>1.0950316209346055E-13</v>
      </c>
      <c r="M198" s="643">
        <f>INDEX(TablaCliente!_CapturaAbonoAnticipadoTablaCliente,__Amortizacion)</f>
        <v>0</v>
      </c>
      <c r="N198" s="84">
        <f t="shared" ca="1" si="18"/>
        <v>9.0949470177292824E-12</v>
      </c>
      <c r="P198" s="615" t="b">
        <f ca="1">__Saldo_Final _Anterior &gt; 0</f>
        <v>1</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c r="D199" s="616">
        <v>181</v>
      </c>
      <c r="F199" s="18">
        <f ca="1" xml:space="preserve"> ( __Saldo_Final _Anterior + T_SeguroAnual!__Saldo_Ciclico ) * ( __Stopper_Saldo_Inicial )</f>
        <v>9.0949470177292824E-12</v>
      </c>
      <c r="G199" s="83">
        <f ca="1">MIN( CHOOSE(i.Opcion.Abono, __Capital_Opcion_1, __Capital_Opcion_2, __Capital_Opcion_3) _Actual, __Saldo_Inicial _Actual)</f>
        <v>0</v>
      </c>
      <c r="H199" s="83">
        <f t="shared" ca="1" si="14"/>
        <v>3.2590226813529929E-15</v>
      </c>
      <c r="I199" s="84">
        <f ca="1">T_AutoYSeguroMulti!__Dias_Interes_Periodo</f>
        <v>30</v>
      </c>
      <c r="J199" s="84">
        <f t="shared" ca="1" si="15"/>
        <v>9.7770680440589784E-14</v>
      </c>
      <c r="K199" s="84">
        <f t="shared" ca="1" si="16"/>
        <v>1.1732481652870774E-14</v>
      </c>
      <c r="L199" s="83">
        <f t="shared" ca="1" si="17"/>
        <v>1.0950316209346055E-13</v>
      </c>
      <c r="M199" s="643">
        <f>INDEX(TablaCliente!_CapturaAbonoAnticipadoTablaCliente,__Amortizacion)</f>
        <v>0</v>
      </c>
      <c r="N199" s="84">
        <f t="shared" ca="1" si="18"/>
        <v>9.0949470177292824E-12</v>
      </c>
      <c r="P199" s="615" t="b">
        <f ca="1">__Saldo_Final _Anterior &gt; 0</f>
        <v>1</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c r="D200" s="616">
        <v>182</v>
      </c>
      <c r="F200" s="18">
        <f ca="1" xml:space="preserve"> ( __Saldo_Final _Anterior + T_SeguroAnual!__Saldo_Ciclico ) * ( __Stopper_Saldo_Inicial )</f>
        <v>9.0949470177292824E-12</v>
      </c>
      <c r="G200" s="83">
        <f ca="1">MIN( CHOOSE(i.Opcion.Abono, __Capital_Opcion_1, __Capital_Opcion_2, __Capital_Opcion_3) _Actual, __Saldo_Inicial _Actual)</f>
        <v>0</v>
      </c>
      <c r="H200" s="83">
        <f t="shared" ca="1" si="14"/>
        <v>3.2590226813529929E-15</v>
      </c>
      <c r="I200" s="84">
        <f ca="1">T_AutoYSeguroMulti!__Dias_Interes_Periodo</f>
        <v>30</v>
      </c>
      <c r="J200" s="84">
        <f t="shared" ca="1" si="15"/>
        <v>9.7770680440589784E-14</v>
      </c>
      <c r="K200" s="84">
        <f t="shared" ca="1" si="16"/>
        <v>1.1732481652870774E-14</v>
      </c>
      <c r="L200" s="83">
        <f t="shared" ca="1" si="17"/>
        <v>1.0950316209346055E-13</v>
      </c>
      <c r="M200" s="643">
        <f>INDEX(TablaCliente!_CapturaAbonoAnticipadoTablaCliente,__Amortizacion)</f>
        <v>0</v>
      </c>
      <c r="N200" s="84">
        <f t="shared" ca="1" si="18"/>
        <v>9.0949470177292824E-12</v>
      </c>
      <c r="P200" s="615" t="b">
        <f ca="1">__Saldo_Final _Anterior &gt; 0</f>
        <v>1</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c r="D201" s="616">
        <v>183</v>
      </c>
      <c r="F201" s="18">
        <f ca="1" xml:space="preserve"> ( __Saldo_Final _Anterior + T_SeguroAnual!__Saldo_Ciclico ) * ( __Stopper_Saldo_Inicial )</f>
        <v>9.0949470177292824E-12</v>
      </c>
      <c r="G201" s="83">
        <f ca="1">MIN( CHOOSE(i.Opcion.Abono, __Capital_Opcion_1, __Capital_Opcion_2, __Capital_Opcion_3) _Actual, __Saldo_Inicial _Actual)</f>
        <v>0</v>
      </c>
      <c r="H201" s="83">
        <f t="shared" ca="1" si="14"/>
        <v>3.2590226813529929E-15</v>
      </c>
      <c r="I201" s="84">
        <f ca="1">T_AutoYSeguroMulti!__Dias_Interes_Periodo</f>
        <v>30</v>
      </c>
      <c r="J201" s="84">
        <f t="shared" ca="1" si="15"/>
        <v>9.7770680440589784E-14</v>
      </c>
      <c r="K201" s="84">
        <f t="shared" ca="1" si="16"/>
        <v>1.1732481652870774E-14</v>
      </c>
      <c r="L201" s="83">
        <f t="shared" ca="1" si="17"/>
        <v>1.0950316209346055E-13</v>
      </c>
      <c r="M201" s="643">
        <f>INDEX(TablaCliente!_CapturaAbonoAnticipadoTablaCliente,__Amortizacion)</f>
        <v>0</v>
      </c>
      <c r="N201" s="84">
        <f t="shared" ca="1" si="18"/>
        <v>9.0949470177292824E-12</v>
      </c>
      <c r="P201" s="615" t="b">
        <f ca="1">__Saldo_Final _Anterior &gt; 0</f>
        <v>1</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c r="D202" s="616">
        <v>184</v>
      </c>
      <c r="F202" s="18">
        <f ca="1" xml:space="preserve"> ( __Saldo_Final _Anterior + T_SeguroAnual!__Saldo_Ciclico ) * ( __Stopper_Saldo_Inicial )</f>
        <v>9.0949470177292824E-12</v>
      </c>
      <c r="G202" s="83">
        <f ca="1">MIN( CHOOSE(i.Opcion.Abono, __Capital_Opcion_1, __Capital_Opcion_2, __Capital_Opcion_3) _Actual, __Saldo_Inicial _Actual)</f>
        <v>0</v>
      </c>
      <c r="H202" s="83">
        <f t="shared" ca="1" si="14"/>
        <v>3.2590226813529929E-15</v>
      </c>
      <c r="I202" s="84">
        <f ca="1">T_AutoYSeguroMulti!__Dias_Interes_Periodo</f>
        <v>30</v>
      </c>
      <c r="J202" s="84">
        <f t="shared" ca="1" si="15"/>
        <v>9.7770680440589784E-14</v>
      </c>
      <c r="K202" s="84">
        <f t="shared" ca="1" si="16"/>
        <v>1.1732481652870774E-14</v>
      </c>
      <c r="L202" s="83">
        <f t="shared" ca="1" si="17"/>
        <v>1.0950316209346055E-13</v>
      </c>
      <c r="M202" s="643">
        <f>INDEX(TablaCliente!_CapturaAbonoAnticipadoTablaCliente,__Amortizacion)</f>
        <v>0</v>
      </c>
      <c r="N202" s="84">
        <f t="shared" ca="1" si="18"/>
        <v>9.0949470177292824E-12</v>
      </c>
      <c r="P202" s="615" t="b">
        <f ca="1">__Saldo_Final _Anterior &gt; 0</f>
        <v>1</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c r="D203" s="616">
        <v>185</v>
      </c>
      <c r="F203" s="18">
        <f ca="1" xml:space="preserve"> ( __Saldo_Final _Anterior + T_SeguroAnual!__Saldo_Ciclico ) * ( __Stopper_Saldo_Inicial )</f>
        <v>9.0949470177292824E-12</v>
      </c>
      <c r="G203" s="83">
        <f ca="1">MIN( CHOOSE(i.Opcion.Abono, __Capital_Opcion_1, __Capital_Opcion_2, __Capital_Opcion_3) _Actual, __Saldo_Inicial _Actual)</f>
        <v>0</v>
      </c>
      <c r="H203" s="83">
        <f t="shared" ca="1" si="14"/>
        <v>3.2590226813529929E-15</v>
      </c>
      <c r="I203" s="84">
        <f ca="1">T_AutoYSeguroMulti!__Dias_Interes_Periodo</f>
        <v>30</v>
      </c>
      <c r="J203" s="84">
        <f t="shared" ca="1" si="15"/>
        <v>9.7770680440589784E-14</v>
      </c>
      <c r="K203" s="84">
        <f t="shared" ca="1" si="16"/>
        <v>1.1732481652870774E-14</v>
      </c>
      <c r="L203" s="83">
        <f t="shared" ca="1" si="17"/>
        <v>1.0950316209346055E-13</v>
      </c>
      <c r="M203" s="643">
        <f>INDEX(TablaCliente!_CapturaAbonoAnticipadoTablaCliente,__Amortizacion)</f>
        <v>0</v>
      </c>
      <c r="N203" s="84">
        <f t="shared" ca="1" si="18"/>
        <v>9.0949470177292824E-12</v>
      </c>
      <c r="P203" s="615" t="b">
        <f ca="1">__Saldo_Final _Anterior &gt; 0</f>
        <v>1</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c r="D204" s="616">
        <v>186</v>
      </c>
      <c r="F204" s="18">
        <f ca="1" xml:space="preserve"> ( __Saldo_Final _Anterior + T_SeguroAnual!__Saldo_Ciclico ) * ( __Stopper_Saldo_Inicial )</f>
        <v>9.0949470177292824E-12</v>
      </c>
      <c r="G204" s="83">
        <f ca="1">MIN( CHOOSE(i.Opcion.Abono, __Capital_Opcion_1, __Capital_Opcion_2, __Capital_Opcion_3) _Actual, __Saldo_Inicial _Actual)</f>
        <v>0</v>
      </c>
      <c r="H204" s="83">
        <f t="shared" ca="1" si="14"/>
        <v>3.2590226813529929E-15</v>
      </c>
      <c r="I204" s="84">
        <f ca="1">T_AutoYSeguroMulti!__Dias_Interes_Periodo</f>
        <v>30</v>
      </c>
      <c r="J204" s="84">
        <f t="shared" ca="1" si="15"/>
        <v>9.7770680440589784E-14</v>
      </c>
      <c r="K204" s="84">
        <f t="shared" ca="1" si="16"/>
        <v>1.1732481652870774E-14</v>
      </c>
      <c r="L204" s="83">
        <f t="shared" ca="1" si="17"/>
        <v>1.0950316209346055E-13</v>
      </c>
      <c r="M204" s="643">
        <f>INDEX(TablaCliente!_CapturaAbonoAnticipadoTablaCliente,__Amortizacion)</f>
        <v>0</v>
      </c>
      <c r="N204" s="84">
        <f t="shared" ca="1" si="18"/>
        <v>9.0949470177292824E-12</v>
      </c>
      <c r="P204" s="615" t="b">
        <f ca="1">__Saldo_Final _Anterior &gt; 0</f>
        <v>1</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c r="D205" s="616">
        <v>187</v>
      </c>
      <c r="F205" s="18">
        <f ca="1" xml:space="preserve"> ( __Saldo_Final _Anterior + T_SeguroAnual!__Saldo_Ciclico ) * ( __Stopper_Saldo_Inicial )</f>
        <v>9.0949470177292824E-12</v>
      </c>
      <c r="G205" s="83">
        <f ca="1">MIN( CHOOSE(i.Opcion.Abono, __Capital_Opcion_1, __Capital_Opcion_2, __Capital_Opcion_3) _Actual, __Saldo_Inicial _Actual)</f>
        <v>0</v>
      </c>
      <c r="H205" s="83">
        <f t="shared" ca="1" si="14"/>
        <v>3.2590226813529929E-15</v>
      </c>
      <c r="I205" s="84">
        <f ca="1">T_AutoYSeguroMulti!__Dias_Interes_Periodo</f>
        <v>30</v>
      </c>
      <c r="J205" s="84">
        <f t="shared" ca="1" si="15"/>
        <v>9.7770680440589784E-14</v>
      </c>
      <c r="K205" s="84">
        <f t="shared" ca="1" si="16"/>
        <v>1.1732481652870774E-14</v>
      </c>
      <c r="L205" s="83">
        <f t="shared" ca="1" si="17"/>
        <v>1.0950316209346055E-13</v>
      </c>
      <c r="M205" s="643">
        <f>INDEX(TablaCliente!_CapturaAbonoAnticipadoTablaCliente,__Amortizacion)</f>
        <v>0</v>
      </c>
      <c r="N205" s="84">
        <f t="shared" ca="1" si="18"/>
        <v>9.0949470177292824E-12</v>
      </c>
      <c r="P205" s="615" t="b">
        <f ca="1">__Saldo_Final _Anterior &gt; 0</f>
        <v>1</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c r="D206" s="616">
        <v>188</v>
      </c>
      <c r="F206" s="18">
        <f ca="1" xml:space="preserve"> ( __Saldo_Final _Anterior + T_SeguroAnual!__Saldo_Ciclico ) * ( __Stopper_Saldo_Inicial )</f>
        <v>9.0949470177292824E-12</v>
      </c>
      <c r="G206" s="83">
        <f ca="1">MIN( CHOOSE(i.Opcion.Abono, __Capital_Opcion_1, __Capital_Opcion_2, __Capital_Opcion_3) _Actual, __Saldo_Inicial _Actual)</f>
        <v>0</v>
      </c>
      <c r="H206" s="83">
        <f t="shared" ca="1" si="14"/>
        <v>3.2590226813529929E-15</v>
      </c>
      <c r="I206" s="84">
        <f ca="1">T_AutoYSeguroMulti!__Dias_Interes_Periodo</f>
        <v>30</v>
      </c>
      <c r="J206" s="84">
        <f t="shared" ca="1" si="15"/>
        <v>9.7770680440589784E-14</v>
      </c>
      <c r="K206" s="84">
        <f t="shared" ca="1" si="16"/>
        <v>1.1732481652870774E-14</v>
      </c>
      <c r="L206" s="83">
        <f t="shared" ca="1" si="17"/>
        <v>1.0950316209346055E-13</v>
      </c>
      <c r="M206" s="643">
        <f>INDEX(TablaCliente!_CapturaAbonoAnticipadoTablaCliente,__Amortizacion)</f>
        <v>0</v>
      </c>
      <c r="N206" s="84">
        <f t="shared" ca="1" si="18"/>
        <v>9.0949470177292824E-12</v>
      </c>
      <c r="P206" s="615" t="b">
        <f ca="1">__Saldo_Final _Anterior &gt; 0</f>
        <v>1</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c r="D207" s="616">
        <v>189</v>
      </c>
      <c r="F207" s="18">
        <f ca="1" xml:space="preserve"> ( __Saldo_Final _Anterior + T_SeguroAnual!__Saldo_Ciclico ) * ( __Stopper_Saldo_Inicial )</f>
        <v>9.0949470177292824E-12</v>
      </c>
      <c r="G207" s="83">
        <f ca="1">MIN( CHOOSE(i.Opcion.Abono, __Capital_Opcion_1, __Capital_Opcion_2, __Capital_Opcion_3) _Actual, __Saldo_Inicial _Actual)</f>
        <v>0</v>
      </c>
      <c r="H207" s="83">
        <f t="shared" ca="1" si="14"/>
        <v>3.2590226813529929E-15</v>
      </c>
      <c r="I207" s="84">
        <f ca="1">T_AutoYSeguroMulti!__Dias_Interes_Periodo</f>
        <v>30</v>
      </c>
      <c r="J207" s="84">
        <f t="shared" ca="1" si="15"/>
        <v>9.7770680440589784E-14</v>
      </c>
      <c r="K207" s="84">
        <f t="shared" ca="1" si="16"/>
        <v>1.1732481652870774E-14</v>
      </c>
      <c r="L207" s="83">
        <f t="shared" ca="1" si="17"/>
        <v>1.0950316209346055E-13</v>
      </c>
      <c r="M207" s="643">
        <f>INDEX(TablaCliente!_CapturaAbonoAnticipadoTablaCliente,__Amortizacion)</f>
        <v>0</v>
      </c>
      <c r="N207" s="84">
        <f t="shared" ca="1" si="18"/>
        <v>9.0949470177292824E-12</v>
      </c>
      <c r="P207" s="615" t="b">
        <f ca="1">__Saldo_Final _Anterior &gt; 0</f>
        <v>1</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c r="D208" s="98">
        <v>190</v>
      </c>
      <c r="F208" s="18">
        <f ca="1" xml:space="preserve"> ( __Saldo_Final _Anterior + T_SeguroAnual!__Saldo_Ciclico ) * ( __Stopper_Saldo_Inicial )</f>
        <v>9.0949470177292824E-12</v>
      </c>
      <c r="G208" s="83">
        <f ca="1">MIN( CHOOSE(i.Opcion.Abono, __Capital_Opcion_1, __Capital_Opcion_2, __Capital_Opcion_3) _Actual, __Saldo_Inicial _Actual)</f>
        <v>0</v>
      </c>
      <c r="H208" s="83">
        <f t="shared" ca="1" si="14"/>
        <v>3.2590226813529929E-15</v>
      </c>
      <c r="I208" s="84">
        <f ca="1">T_AutoYSeguroMulti!__Dias_Interes_Periodo</f>
        <v>30</v>
      </c>
      <c r="J208" s="84">
        <f t="shared" ca="1" si="15"/>
        <v>9.7770680440589784E-14</v>
      </c>
      <c r="K208" s="84">
        <f t="shared" ca="1" si="16"/>
        <v>1.1732481652870774E-14</v>
      </c>
      <c r="L208" s="83">
        <f t="shared" ca="1" si="17"/>
        <v>1.0950316209346055E-13</v>
      </c>
      <c r="M208" s="643">
        <f>INDEX(TablaCliente!_CapturaAbonoAnticipadoTablaCliente,__Amortizacion)</f>
        <v>0</v>
      </c>
      <c r="N208" s="84">
        <f t="shared" ca="1" si="18"/>
        <v>9.0949470177292824E-12</v>
      </c>
      <c r="P208" s="615" t="b">
        <f ca="1">__Saldo_Final _Anterior &gt; 0</f>
        <v>1</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c r="D209" s="616">
        <v>191</v>
      </c>
      <c r="F209" s="18">
        <f ca="1" xml:space="preserve"> ( __Saldo_Final _Anterior + T_SeguroAnual!__Saldo_Ciclico ) * ( __Stopper_Saldo_Inicial )</f>
        <v>9.0949470177292824E-12</v>
      </c>
      <c r="G209" s="83">
        <f ca="1">MIN( CHOOSE(i.Opcion.Abono, __Capital_Opcion_1, __Capital_Opcion_2, __Capital_Opcion_3) _Actual, __Saldo_Inicial _Actual)</f>
        <v>0</v>
      </c>
      <c r="H209" s="83">
        <f t="shared" ca="1" si="14"/>
        <v>3.2590226813529929E-15</v>
      </c>
      <c r="I209" s="84">
        <f ca="1">T_AutoYSeguroMulti!__Dias_Interes_Periodo</f>
        <v>30</v>
      </c>
      <c r="J209" s="84">
        <f t="shared" ca="1" si="15"/>
        <v>9.7770680440589784E-14</v>
      </c>
      <c r="K209" s="84">
        <f t="shared" ca="1" si="16"/>
        <v>1.1732481652870774E-14</v>
      </c>
      <c r="L209" s="83">
        <f t="shared" ca="1" si="17"/>
        <v>1.0950316209346055E-13</v>
      </c>
      <c r="M209" s="643">
        <f>INDEX(TablaCliente!_CapturaAbonoAnticipadoTablaCliente,__Amortizacion)</f>
        <v>0</v>
      </c>
      <c r="N209" s="84">
        <f t="shared" ca="1" si="18"/>
        <v>9.0949470177292824E-12</v>
      </c>
      <c r="P209" s="615" t="b">
        <f ca="1">__Saldo_Final _Anterior &gt; 0</f>
        <v>1</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c r="D210" s="616">
        <v>192</v>
      </c>
      <c r="F210" s="18">
        <f ca="1" xml:space="preserve"> ( __Saldo_Final _Anterior + T_SeguroAnual!__Saldo_Ciclico ) * ( __Stopper_Saldo_Inicial )</f>
        <v>9.0949470177292824E-12</v>
      </c>
      <c r="G210" s="83">
        <f ca="1">MIN( CHOOSE(i.Opcion.Abono, __Capital_Opcion_1, __Capital_Opcion_2, __Capital_Opcion_3) _Actual, __Saldo_Inicial _Actual)</f>
        <v>0</v>
      </c>
      <c r="H210" s="83">
        <f t="shared" ca="1" si="14"/>
        <v>3.2590226813529929E-15</v>
      </c>
      <c r="I210" s="84">
        <f ca="1">T_AutoYSeguroMulti!__Dias_Interes_Periodo</f>
        <v>30</v>
      </c>
      <c r="J210" s="84">
        <f t="shared" ca="1" si="15"/>
        <v>9.7770680440589784E-14</v>
      </c>
      <c r="K210" s="84">
        <f t="shared" ca="1" si="16"/>
        <v>1.1732481652870774E-14</v>
      </c>
      <c r="L210" s="83">
        <f t="shared" ca="1" si="17"/>
        <v>1.0950316209346055E-13</v>
      </c>
      <c r="M210" s="643">
        <f>INDEX(TablaCliente!_CapturaAbonoAnticipadoTablaCliente,__Amortizacion)</f>
        <v>0</v>
      </c>
      <c r="N210" s="84">
        <f t="shared" ca="1" si="18"/>
        <v>9.0949470177292824E-12</v>
      </c>
      <c r="P210" s="615" t="b">
        <f ca="1">__Saldo_Final _Anterior &gt; 0</f>
        <v>1</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c r="D211" s="616">
        <v>193</v>
      </c>
      <c r="F211" s="18">
        <f ca="1" xml:space="preserve"> ( __Saldo_Final _Anterior + T_SeguroAnual!__Saldo_Ciclico ) * ( __Stopper_Saldo_Inicial )</f>
        <v>9.0949470177292824E-12</v>
      </c>
      <c r="G211" s="83">
        <f ca="1">MIN( CHOOSE(i.Opcion.Abono, __Capital_Opcion_1, __Capital_Opcion_2, __Capital_Opcion_3) _Actual, __Saldo_Inicial _Actual)</f>
        <v>0</v>
      </c>
      <c r="H211" s="83">
        <f t="shared" ref="H211:H278" ca="1" si="21" xml:space="preserve"> __Saldo_Inicial * _Tasa.Diaria</f>
        <v>3.2590226813529929E-15</v>
      </c>
      <c r="I211" s="84">
        <f ca="1">T_AutoYSeguroMulti!__Dias_Interes_Periodo</f>
        <v>30</v>
      </c>
      <c r="J211" s="84">
        <f t="shared" ref="J211:J278" ca="1" si="22" xml:space="preserve"> __Interes_Diario * __Dias_Interes_Periodo</f>
        <v>9.7770680440589784E-14</v>
      </c>
      <c r="K211" s="84">
        <f t="shared" ref="K211:K278" ca="1" si="23" xml:space="preserve"> __Interes * i.Iva.Intereses</f>
        <v>1.1732481652870774E-14</v>
      </c>
      <c r="L211" s="83">
        <f t="shared" ref="L211:L278" ca="1" si="24" xml:space="preserve"> __Capital + __Interes + __IVA</f>
        <v>1.0950316209346055E-13</v>
      </c>
      <c r="M211" s="643">
        <f>INDEX(TablaCliente!_CapturaAbonoAnticipadoTablaCliente,__Amortizacion)</f>
        <v>0</v>
      </c>
      <c r="N211" s="84">
        <f t="shared" ref="N211:N278" ca="1" si="25">MAX( __Saldo_Inicial-__Capital-__Abono_Anticipado, 0)</f>
        <v>9.0949470177292824E-12</v>
      </c>
      <c r="P211" s="615" t="b">
        <f ca="1">__Saldo_Final _Anterior &gt; 0</f>
        <v>1</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c r="D212" s="616">
        <v>194</v>
      </c>
      <c r="F212" s="18">
        <f ca="1" xml:space="preserve"> ( __Saldo_Final _Anterior + T_SeguroAnual!__Saldo_Ciclico ) * ( __Stopper_Saldo_Inicial )</f>
        <v>9.0949470177292824E-12</v>
      </c>
      <c r="G212" s="83">
        <f ca="1">MIN( CHOOSE(i.Opcion.Abono, __Capital_Opcion_1, __Capital_Opcion_2, __Capital_Opcion_3) _Actual, __Saldo_Inicial _Actual)</f>
        <v>0</v>
      </c>
      <c r="H212" s="83">
        <f t="shared" ca="1" si="21"/>
        <v>3.2590226813529929E-15</v>
      </c>
      <c r="I212" s="84">
        <f ca="1">T_AutoYSeguroMulti!__Dias_Interes_Periodo</f>
        <v>30</v>
      </c>
      <c r="J212" s="84">
        <f t="shared" ca="1" si="22"/>
        <v>9.7770680440589784E-14</v>
      </c>
      <c r="K212" s="84">
        <f t="shared" ca="1" si="23"/>
        <v>1.1732481652870774E-14</v>
      </c>
      <c r="L212" s="83">
        <f t="shared" ca="1" si="24"/>
        <v>1.0950316209346055E-13</v>
      </c>
      <c r="M212" s="643">
        <f>INDEX(TablaCliente!_CapturaAbonoAnticipadoTablaCliente,__Amortizacion)</f>
        <v>0</v>
      </c>
      <c r="N212" s="84">
        <f t="shared" ca="1" si="25"/>
        <v>9.0949470177292824E-12</v>
      </c>
      <c r="P212" s="615" t="b">
        <f ca="1">__Saldo_Final _Anterior &gt; 0</f>
        <v>1</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c r="D213" s="616">
        <v>195</v>
      </c>
      <c r="F213" s="18">
        <f ca="1" xml:space="preserve"> ( __Saldo_Final _Anterior + T_SeguroAnual!__Saldo_Ciclico ) * ( __Stopper_Saldo_Inicial )</f>
        <v>9.0949470177292824E-12</v>
      </c>
      <c r="G213" s="83">
        <f ca="1">MIN( CHOOSE(i.Opcion.Abono, __Capital_Opcion_1, __Capital_Opcion_2, __Capital_Opcion_3) _Actual, __Saldo_Inicial _Actual)</f>
        <v>0</v>
      </c>
      <c r="H213" s="83">
        <f t="shared" ca="1" si="21"/>
        <v>3.2590226813529929E-15</v>
      </c>
      <c r="I213" s="84">
        <f ca="1">T_AutoYSeguroMulti!__Dias_Interes_Periodo</f>
        <v>30</v>
      </c>
      <c r="J213" s="84">
        <f t="shared" ca="1" si="22"/>
        <v>9.7770680440589784E-14</v>
      </c>
      <c r="K213" s="84">
        <f t="shared" ca="1" si="23"/>
        <v>1.1732481652870774E-14</v>
      </c>
      <c r="L213" s="83">
        <f t="shared" ca="1" si="24"/>
        <v>1.0950316209346055E-13</v>
      </c>
      <c r="M213" s="643">
        <f>INDEX(TablaCliente!_CapturaAbonoAnticipadoTablaCliente,__Amortizacion)</f>
        <v>0</v>
      </c>
      <c r="N213" s="84">
        <f t="shared" ca="1" si="25"/>
        <v>9.0949470177292824E-12</v>
      </c>
      <c r="P213" s="615" t="b">
        <f ca="1">__Saldo_Final _Anterior &gt; 0</f>
        <v>1</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c r="D214" s="616">
        <v>196</v>
      </c>
      <c r="F214" s="18">
        <f ca="1" xml:space="preserve"> ( __Saldo_Final _Anterior + T_SeguroAnual!__Saldo_Ciclico ) * ( __Stopper_Saldo_Inicial )</f>
        <v>9.0949470177292824E-12</v>
      </c>
      <c r="G214" s="83">
        <f ca="1">MIN( CHOOSE(i.Opcion.Abono, __Capital_Opcion_1, __Capital_Opcion_2, __Capital_Opcion_3) _Actual, __Saldo_Inicial _Actual)</f>
        <v>0</v>
      </c>
      <c r="H214" s="83">
        <f t="shared" ca="1" si="21"/>
        <v>3.2590226813529929E-15</v>
      </c>
      <c r="I214" s="84">
        <f ca="1">T_AutoYSeguroMulti!__Dias_Interes_Periodo</f>
        <v>30</v>
      </c>
      <c r="J214" s="84">
        <f t="shared" ca="1" si="22"/>
        <v>9.7770680440589784E-14</v>
      </c>
      <c r="K214" s="84">
        <f t="shared" ca="1" si="23"/>
        <v>1.1732481652870774E-14</v>
      </c>
      <c r="L214" s="83">
        <f t="shared" ca="1" si="24"/>
        <v>1.0950316209346055E-13</v>
      </c>
      <c r="M214" s="643">
        <f>INDEX(TablaCliente!_CapturaAbonoAnticipadoTablaCliente,__Amortizacion)</f>
        <v>0</v>
      </c>
      <c r="N214" s="84">
        <f t="shared" ca="1" si="25"/>
        <v>9.0949470177292824E-12</v>
      </c>
      <c r="P214" s="615" t="b">
        <f ca="1">__Saldo_Final _Anterior &gt; 0</f>
        <v>1</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c r="D215" s="616">
        <v>197</v>
      </c>
      <c r="F215" s="18">
        <f ca="1" xml:space="preserve"> ( __Saldo_Final _Anterior + T_SeguroAnual!__Saldo_Ciclico ) * ( __Stopper_Saldo_Inicial )</f>
        <v>9.0949470177292824E-12</v>
      </c>
      <c r="G215" s="83">
        <f ca="1">MIN( CHOOSE(i.Opcion.Abono, __Capital_Opcion_1, __Capital_Opcion_2, __Capital_Opcion_3) _Actual, __Saldo_Inicial _Actual)</f>
        <v>0</v>
      </c>
      <c r="H215" s="83">
        <f t="shared" ca="1" si="21"/>
        <v>3.2590226813529929E-15</v>
      </c>
      <c r="I215" s="84">
        <f ca="1">T_AutoYSeguroMulti!__Dias_Interes_Periodo</f>
        <v>30</v>
      </c>
      <c r="J215" s="84">
        <f t="shared" ca="1" si="22"/>
        <v>9.7770680440589784E-14</v>
      </c>
      <c r="K215" s="84">
        <f t="shared" ca="1" si="23"/>
        <v>1.1732481652870774E-14</v>
      </c>
      <c r="L215" s="83">
        <f t="shared" ca="1" si="24"/>
        <v>1.0950316209346055E-13</v>
      </c>
      <c r="M215" s="643">
        <f>INDEX(TablaCliente!_CapturaAbonoAnticipadoTablaCliente,__Amortizacion)</f>
        <v>0</v>
      </c>
      <c r="N215" s="84">
        <f t="shared" ca="1" si="25"/>
        <v>9.0949470177292824E-12</v>
      </c>
      <c r="P215" s="615" t="b">
        <f ca="1">__Saldo_Final _Anterior &gt; 0</f>
        <v>1</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c r="D216" s="616">
        <v>198</v>
      </c>
      <c r="F216" s="18">
        <f ca="1" xml:space="preserve"> ( __Saldo_Final _Anterior + T_SeguroAnual!__Saldo_Ciclico ) * ( __Stopper_Saldo_Inicial )</f>
        <v>9.0949470177292824E-12</v>
      </c>
      <c r="G216" s="83">
        <f ca="1">MIN( CHOOSE(i.Opcion.Abono, __Capital_Opcion_1, __Capital_Opcion_2, __Capital_Opcion_3) _Actual, __Saldo_Inicial _Actual)</f>
        <v>0</v>
      </c>
      <c r="H216" s="83">
        <f t="shared" ca="1" si="21"/>
        <v>3.2590226813529929E-15</v>
      </c>
      <c r="I216" s="84">
        <f ca="1">T_AutoYSeguroMulti!__Dias_Interes_Periodo</f>
        <v>30</v>
      </c>
      <c r="J216" s="84">
        <f t="shared" ca="1" si="22"/>
        <v>9.7770680440589784E-14</v>
      </c>
      <c r="K216" s="84">
        <f t="shared" ca="1" si="23"/>
        <v>1.1732481652870774E-14</v>
      </c>
      <c r="L216" s="83">
        <f t="shared" ca="1" si="24"/>
        <v>1.0950316209346055E-13</v>
      </c>
      <c r="M216" s="643">
        <f>INDEX(TablaCliente!_CapturaAbonoAnticipadoTablaCliente,__Amortizacion)</f>
        <v>0</v>
      </c>
      <c r="N216" s="84">
        <f t="shared" ca="1" si="25"/>
        <v>9.0949470177292824E-12</v>
      </c>
      <c r="P216" s="615" t="b">
        <f ca="1">__Saldo_Final _Anterior &gt; 0</f>
        <v>1</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c r="D217" s="616">
        <v>199</v>
      </c>
      <c r="F217" s="18">
        <f ca="1" xml:space="preserve"> ( __Saldo_Final _Anterior + T_SeguroAnual!__Saldo_Ciclico ) * ( __Stopper_Saldo_Inicial )</f>
        <v>9.0949470177292824E-12</v>
      </c>
      <c r="G217" s="83">
        <f ca="1">MIN( CHOOSE(i.Opcion.Abono, __Capital_Opcion_1, __Capital_Opcion_2, __Capital_Opcion_3) _Actual, __Saldo_Inicial _Actual)</f>
        <v>0</v>
      </c>
      <c r="H217" s="83">
        <f t="shared" ca="1" si="21"/>
        <v>3.2590226813529929E-15</v>
      </c>
      <c r="I217" s="84">
        <f ca="1">T_AutoYSeguroMulti!__Dias_Interes_Periodo</f>
        <v>30</v>
      </c>
      <c r="J217" s="84">
        <f t="shared" ca="1" si="22"/>
        <v>9.7770680440589784E-14</v>
      </c>
      <c r="K217" s="84">
        <f t="shared" ca="1" si="23"/>
        <v>1.1732481652870774E-14</v>
      </c>
      <c r="L217" s="83">
        <f t="shared" ca="1" si="24"/>
        <v>1.0950316209346055E-13</v>
      </c>
      <c r="M217" s="643">
        <f>INDEX(TablaCliente!_CapturaAbonoAnticipadoTablaCliente,__Amortizacion)</f>
        <v>0</v>
      </c>
      <c r="N217" s="84">
        <f t="shared" ca="1" si="25"/>
        <v>9.0949470177292824E-12</v>
      </c>
      <c r="P217" s="615" t="b">
        <f ca="1">__Saldo_Final _Anterior &gt; 0</f>
        <v>1</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c r="D218" s="616">
        <v>200</v>
      </c>
      <c r="F218" s="18">
        <f ca="1" xml:space="preserve"> ( __Saldo_Final _Anterior + T_SeguroAnual!__Saldo_Ciclico ) * ( __Stopper_Saldo_Inicial )</f>
        <v>9.0949470177292824E-12</v>
      </c>
      <c r="G218" s="83">
        <f ca="1">MIN( CHOOSE(i.Opcion.Abono, __Capital_Opcion_1, __Capital_Opcion_2, __Capital_Opcion_3) _Actual, __Saldo_Inicial _Actual)</f>
        <v>0</v>
      </c>
      <c r="H218" s="83">
        <f t="shared" ca="1" si="21"/>
        <v>3.2590226813529929E-15</v>
      </c>
      <c r="I218" s="84">
        <f ca="1">T_AutoYSeguroMulti!__Dias_Interes_Periodo</f>
        <v>30</v>
      </c>
      <c r="J218" s="84">
        <f t="shared" ca="1" si="22"/>
        <v>9.7770680440589784E-14</v>
      </c>
      <c r="K218" s="84">
        <f t="shared" ca="1" si="23"/>
        <v>1.1732481652870774E-14</v>
      </c>
      <c r="L218" s="83">
        <f t="shared" ca="1" si="24"/>
        <v>1.0950316209346055E-13</v>
      </c>
      <c r="M218" s="643">
        <f>INDEX(TablaCliente!_CapturaAbonoAnticipadoTablaCliente,__Amortizacion)</f>
        <v>0</v>
      </c>
      <c r="N218" s="84">
        <f t="shared" ca="1" si="25"/>
        <v>9.0949470177292824E-12</v>
      </c>
      <c r="P218" s="615" t="b">
        <f ca="1">__Saldo_Final _Anterior &gt; 0</f>
        <v>1</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c r="D219" s="616">
        <v>201</v>
      </c>
      <c r="F219" s="18">
        <f ca="1" xml:space="preserve"> ( __Saldo_Final _Anterior + T_SeguroAnual!__Saldo_Ciclico ) * ( __Stopper_Saldo_Inicial )</f>
        <v>9.0949470177292824E-12</v>
      </c>
      <c r="G219" s="83">
        <f ca="1">MIN( CHOOSE(i.Opcion.Abono, __Capital_Opcion_1, __Capital_Opcion_2, __Capital_Opcion_3) _Actual, __Saldo_Inicial _Actual)</f>
        <v>0</v>
      </c>
      <c r="H219" s="83">
        <f t="shared" ca="1" si="21"/>
        <v>3.2590226813529929E-15</v>
      </c>
      <c r="I219" s="84">
        <f ca="1">T_AutoYSeguroMulti!__Dias_Interes_Periodo</f>
        <v>30</v>
      </c>
      <c r="J219" s="84">
        <f t="shared" ca="1" si="22"/>
        <v>9.7770680440589784E-14</v>
      </c>
      <c r="K219" s="84">
        <f t="shared" ca="1" si="23"/>
        <v>1.1732481652870774E-14</v>
      </c>
      <c r="L219" s="83">
        <f t="shared" ca="1" si="24"/>
        <v>1.0950316209346055E-13</v>
      </c>
      <c r="M219" s="643">
        <f>INDEX(TablaCliente!_CapturaAbonoAnticipadoTablaCliente,__Amortizacion)</f>
        <v>0</v>
      </c>
      <c r="N219" s="84">
        <f t="shared" ca="1" si="25"/>
        <v>9.0949470177292824E-12</v>
      </c>
      <c r="P219" s="615" t="b">
        <f ca="1">__Saldo_Final _Anterior &gt; 0</f>
        <v>1</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c r="D220" s="616">
        <v>202</v>
      </c>
      <c r="F220" s="18">
        <f ca="1" xml:space="preserve"> ( __Saldo_Final _Anterior + T_SeguroAnual!__Saldo_Ciclico ) * ( __Stopper_Saldo_Inicial )</f>
        <v>9.0949470177292824E-12</v>
      </c>
      <c r="G220" s="83">
        <f ca="1">MIN( CHOOSE(i.Opcion.Abono, __Capital_Opcion_1, __Capital_Opcion_2, __Capital_Opcion_3) _Actual, __Saldo_Inicial _Actual)</f>
        <v>0</v>
      </c>
      <c r="H220" s="83">
        <f t="shared" ca="1" si="21"/>
        <v>3.2590226813529929E-15</v>
      </c>
      <c r="I220" s="84">
        <f ca="1">T_AutoYSeguroMulti!__Dias_Interes_Periodo</f>
        <v>30</v>
      </c>
      <c r="J220" s="84">
        <f t="shared" ca="1" si="22"/>
        <v>9.7770680440589784E-14</v>
      </c>
      <c r="K220" s="84">
        <f t="shared" ca="1" si="23"/>
        <v>1.1732481652870774E-14</v>
      </c>
      <c r="L220" s="83">
        <f t="shared" ca="1" si="24"/>
        <v>1.0950316209346055E-13</v>
      </c>
      <c r="M220" s="643">
        <f>INDEX(TablaCliente!_CapturaAbonoAnticipadoTablaCliente,__Amortizacion)</f>
        <v>0</v>
      </c>
      <c r="N220" s="84">
        <f t="shared" ca="1" si="25"/>
        <v>9.0949470177292824E-12</v>
      </c>
      <c r="P220" s="615" t="b">
        <f ca="1">__Saldo_Final _Anterior &gt; 0</f>
        <v>1</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c r="D221" s="616">
        <v>203</v>
      </c>
      <c r="F221" s="18">
        <f ca="1" xml:space="preserve"> ( __Saldo_Final _Anterior + T_SeguroAnual!__Saldo_Ciclico ) * ( __Stopper_Saldo_Inicial )</f>
        <v>9.0949470177292824E-12</v>
      </c>
      <c r="G221" s="83">
        <f ca="1">MIN( CHOOSE(i.Opcion.Abono, __Capital_Opcion_1, __Capital_Opcion_2, __Capital_Opcion_3) _Actual, __Saldo_Inicial _Actual)</f>
        <v>0</v>
      </c>
      <c r="H221" s="83">
        <f t="shared" ca="1" si="21"/>
        <v>3.2590226813529929E-15</v>
      </c>
      <c r="I221" s="84">
        <f ca="1">T_AutoYSeguroMulti!__Dias_Interes_Periodo</f>
        <v>30</v>
      </c>
      <c r="J221" s="84">
        <f t="shared" ca="1" si="22"/>
        <v>9.7770680440589784E-14</v>
      </c>
      <c r="K221" s="84">
        <f t="shared" ca="1" si="23"/>
        <v>1.1732481652870774E-14</v>
      </c>
      <c r="L221" s="83">
        <f t="shared" ca="1" si="24"/>
        <v>1.0950316209346055E-13</v>
      </c>
      <c r="M221" s="643">
        <f>INDEX(TablaCliente!_CapturaAbonoAnticipadoTablaCliente,__Amortizacion)</f>
        <v>0</v>
      </c>
      <c r="N221" s="84">
        <f t="shared" ca="1" si="25"/>
        <v>9.0949470177292824E-12</v>
      </c>
      <c r="P221" s="615" t="b">
        <f ca="1">__Saldo_Final _Anterior &gt; 0</f>
        <v>1</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c r="D222" s="616">
        <v>204</v>
      </c>
      <c r="F222" s="18">
        <f ca="1" xml:space="preserve"> ( __Saldo_Final _Anterior + T_SeguroAnual!__Saldo_Ciclico ) * ( __Stopper_Saldo_Inicial )</f>
        <v>9.0949470177292824E-12</v>
      </c>
      <c r="G222" s="83">
        <f ca="1">MIN( CHOOSE(i.Opcion.Abono, __Capital_Opcion_1, __Capital_Opcion_2, __Capital_Opcion_3) _Actual, __Saldo_Inicial _Actual)</f>
        <v>0</v>
      </c>
      <c r="H222" s="83">
        <f t="shared" ca="1" si="21"/>
        <v>3.2590226813529929E-15</v>
      </c>
      <c r="I222" s="84">
        <f ca="1">T_AutoYSeguroMulti!__Dias_Interes_Periodo</f>
        <v>30</v>
      </c>
      <c r="J222" s="84">
        <f t="shared" ca="1" si="22"/>
        <v>9.7770680440589784E-14</v>
      </c>
      <c r="K222" s="84">
        <f t="shared" ca="1" si="23"/>
        <v>1.1732481652870774E-14</v>
      </c>
      <c r="L222" s="83">
        <f t="shared" ca="1" si="24"/>
        <v>1.0950316209346055E-13</v>
      </c>
      <c r="M222" s="643">
        <f>INDEX(TablaCliente!_CapturaAbonoAnticipadoTablaCliente,__Amortizacion)</f>
        <v>0</v>
      </c>
      <c r="N222" s="84">
        <f t="shared" ca="1" si="25"/>
        <v>9.0949470177292824E-12</v>
      </c>
      <c r="P222" s="615" t="b">
        <f ca="1">__Saldo_Final _Anterior &gt; 0</f>
        <v>1</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c r="D223" s="616">
        <v>205</v>
      </c>
      <c r="F223" s="18">
        <f ca="1" xml:space="preserve"> ( __Saldo_Final _Anterior + T_SeguroAnual!__Saldo_Ciclico ) * ( __Stopper_Saldo_Inicial )</f>
        <v>9.0949470177292824E-12</v>
      </c>
      <c r="G223" s="83">
        <f ca="1">MIN( CHOOSE(i.Opcion.Abono, __Capital_Opcion_1, __Capital_Opcion_2, __Capital_Opcion_3) _Actual, __Saldo_Inicial _Actual)</f>
        <v>0</v>
      </c>
      <c r="H223" s="83">
        <f t="shared" ca="1" si="21"/>
        <v>3.2590226813529929E-15</v>
      </c>
      <c r="I223" s="84">
        <f ca="1">T_AutoYSeguroMulti!__Dias_Interes_Periodo</f>
        <v>30</v>
      </c>
      <c r="J223" s="84">
        <f t="shared" ca="1" si="22"/>
        <v>9.7770680440589784E-14</v>
      </c>
      <c r="K223" s="84">
        <f t="shared" ca="1" si="23"/>
        <v>1.1732481652870774E-14</v>
      </c>
      <c r="L223" s="83">
        <f t="shared" ca="1" si="24"/>
        <v>1.0950316209346055E-13</v>
      </c>
      <c r="M223" s="643">
        <f>INDEX(TablaCliente!_CapturaAbonoAnticipadoTablaCliente,__Amortizacion)</f>
        <v>0</v>
      </c>
      <c r="N223" s="84">
        <f t="shared" ca="1" si="25"/>
        <v>9.0949470177292824E-12</v>
      </c>
      <c r="P223" s="615" t="b">
        <f ca="1">__Saldo_Final _Anterior &gt; 0</f>
        <v>1</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c r="D224" s="616">
        <v>206</v>
      </c>
      <c r="F224" s="18">
        <f ca="1" xml:space="preserve"> ( __Saldo_Final _Anterior + T_SeguroAnual!__Saldo_Ciclico ) * ( __Stopper_Saldo_Inicial )</f>
        <v>9.0949470177292824E-12</v>
      </c>
      <c r="G224" s="83">
        <f ca="1">MIN( CHOOSE(i.Opcion.Abono, __Capital_Opcion_1, __Capital_Opcion_2, __Capital_Opcion_3) _Actual, __Saldo_Inicial _Actual)</f>
        <v>0</v>
      </c>
      <c r="H224" s="83">
        <f t="shared" ca="1" si="21"/>
        <v>3.2590226813529929E-15</v>
      </c>
      <c r="I224" s="84">
        <f ca="1">T_AutoYSeguroMulti!__Dias_Interes_Periodo</f>
        <v>30</v>
      </c>
      <c r="J224" s="84">
        <f t="shared" ca="1" si="22"/>
        <v>9.7770680440589784E-14</v>
      </c>
      <c r="K224" s="84">
        <f t="shared" ca="1" si="23"/>
        <v>1.1732481652870774E-14</v>
      </c>
      <c r="L224" s="83">
        <f t="shared" ca="1" si="24"/>
        <v>1.0950316209346055E-13</v>
      </c>
      <c r="M224" s="643">
        <f>INDEX(TablaCliente!_CapturaAbonoAnticipadoTablaCliente,__Amortizacion)</f>
        <v>0</v>
      </c>
      <c r="N224" s="84">
        <f t="shared" ca="1" si="25"/>
        <v>9.0949470177292824E-12</v>
      </c>
      <c r="P224" s="615" t="b">
        <f ca="1">__Saldo_Final _Anterior &gt; 0</f>
        <v>1</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c r="D225" s="616">
        <v>207</v>
      </c>
      <c r="F225" s="18">
        <f ca="1" xml:space="preserve"> ( __Saldo_Final _Anterior + T_SeguroAnual!__Saldo_Ciclico ) * ( __Stopper_Saldo_Inicial )</f>
        <v>9.0949470177292824E-12</v>
      </c>
      <c r="G225" s="83">
        <f ca="1">MIN( CHOOSE(i.Opcion.Abono, __Capital_Opcion_1, __Capital_Opcion_2, __Capital_Opcion_3) _Actual, __Saldo_Inicial _Actual)</f>
        <v>0</v>
      </c>
      <c r="H225" s="83">
        <f t="shared" ca="1" si="21"/>
        <v>3.2590226813529929E-15</v>
      </c>
      <c r="I225" s="84">
        <f ca="1">T_AutoYSeguroMulti!__Dias_Interes_Periodo</f>
        <v>30</v>
      </c>
      <c r="J225" s="84">
        <f t="shared" ca="1" si="22"/>
        <v>9.7770680440589784E-14</v>
      </c>
      <c r="K225" s="84">
        <f t="shared" ca="1" si="23"/>
        <v>1.1732481652870774E-14</v>
      </c>
      <c r="L225" s="83">
        <f t="shared" ca="1" si="24"/>
        <v>1.0950316209346055E-13</v>
      </c>
      <c r="M225" s="643">
        <f>INDEX(TablaCliente!_CapturaAbonoAnticipadoTablaCliente,__Amortizacion)</f>
        <v>0</v>
      </c>
      <c r="N225" s="84">
        <f t="shared" ca="1" si="25"/>
        <v>9.0949470177292824E-12</v>
      </c>
      <c r="P225" s="615" t="b">
        <f ca="1">__Saldo_Final _Anterior &gt; 0</f>
        <v>1</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c r="D226" s="616">
        <v>208</v>
      </c>
      <c r="F226" s="18">
        <f ca="1" xml:space="preserve"> ( __Saldo_Final _Anterior + T_SeguroAnual!__Saldo_Ciclico ) * ( __Stopper_Saldo_Inicial )</f>
        <v>9.0949470177292824E-12</v>
      </c>
      <c r="G226" s="83">
        <f ca="1">MIN( CHOOSE(i.Opcion.Abono, __Capital_Opcion_1, __Capital_Opcion_2, __Capital_Opcion_3) _Actual, __Saldo_Inicial _Actual)</f>
        <v>0</v>
      </c>
      <c r="H226" s="83">
        <f t="shared" ca="1" si="21"/>
        <v>3.2590226813529929E-15</v>
      </c>
      <c r="I226" s="84">
        <f ca="1">T_AutoYSeguroMulti!__Dias_Interes_Periodo</f>
        <v>30</v>
      </c>
      <c r="J226" s="84">
        <f t="shared" ca="1" si="22"/>
        <v>9.7770680440589784E-14</v>
      </c>
      <c r="K226" s="84">
        <f t="shared" ca="1" si="23"/>
        <v>1.1732481652870774E-14</v>
      </c>
      <c r="L226" s="83">
        <f t="shared" ca="1" si="24"/>
        <v>1.0950316209346055E-13</v>
      </c>
      <c r="M226" s="643">
        <f>INDEX(TablaCliente!_CapturaAbonoAnticipadoTablaCliente,__Amortizacion)</f>
        <v>0</v>
      </c>
      <c r="N226" s="84">
        <f t="shared" ca="1" si="25"/>
        <v>9.0949470177292824E-12</v>
      </c>
      <c r="P226" s="615" t="b">
        <f ca="1">__Saldo_Final _Anterior &gt; 0</f>
        <v>1</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c r="D227" s="616">
        <v>209</v>
      </c>
      <c r="F227" s="18">
        <f ca="1" xml:space="preserve"> ( __Saldo_Final _Anterior + T_SeguroAnual!__Saldo_Ciclico ) * ( __Stopper_Saldo_Inicial )</f>
        <v>9.0949470177292824E-12</v>
      </c>
      <c r="G227" s="83">
        <f ca="1">MIN( CHOOSE(i.Opcion.Abono, __Capital_Opcion_1, __Capital_Opcion_2, __Capital_Opcion_3) _Actual, __Saldo_Inicial _Actual)</f>
        <v>0</v>
      </c>
      <c r="H227" s="83">
        <f t="shared" ca="1" si="21"/>
        <v>3.2590226813529929E-15</v>
      </c>
      <c r="I227" s="84">
        <f ca="1">T_AutoYSeguroMulti!__Dias_Interes_Periodo</f>
        <v>30</v>
      </c>
      <c r="J227" s="84">
        <f t="shared" ca="1" si="22"/>
        <v>9.7770680440589784E-14</v>
      </c>
      <c r="K227" s="84">
        <f t="shared" ca="1" si="23"/>
        <v>1.1732481652870774E-14</v>
      </c>
      <c r="L227" s="83">
        <f t="shared" ca="1" si="24"/>
        <v>1.0950316209346055E-13</v>
      </c>
      <c r="M227" s="643">
        <f>INDEX(TablaCliente!_CapturaAbonoAnticipadoTablaCliente,__Amortizacion)</f>
        <v>0</v>
      </c>
      <c r="N227" s="84">
        <f t="shared" ca="1" si="25"/>
        <v>9.0949470177292824E-12</v>
      </c>
      <c r="P227" s="615" t="b">
        <f ca="1">__Saldo_Final _Anterior &gt; 0</f>
        <v>1</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c r="D228" s="616">
        <v>210</v>
      </c>
      <c r="F228" s="18">
        <f ca="1" xml:space="preserve"> ( __Saldo_Final _Anterior + T_SeguroAnual!__Saldo_Ciclico ) * ( __Stopper_Saldo_Inicial )</f>
        <v>9.0949470177292824E-12</v>
      </c>
      <c r="G228" s="83">
        <f ca="1">MIN( CHOOSE(i.Opcion.Abono, __Capital_Opcion_1, __Capital_Opcion_2, __Capital_Opcion_3) _Actual, __Saldo_Inicial _Actual)</f>
        <v>0</v>
      </c>
      <c r="H228" s="83">
        <f t="shared" ca="1" si="21"/>
        <v>3.2590226813529929E-15</v>
      </c>
      <c r="I228" s="84">
        <f ca="1">T_AutoYSeguroMulti!__Dias_Interes_Periodo</f>
        <v>30</v>
      </c>
      <c r="J228" s="84">
        <f t="shared" ca="1" si="22"/>
        <v>9.7770680440589784E-14</v>
      </c>
      <c r="K228" s="84">
        <f t="shared" ca="1" si="23"/>
        <v>1.1732481652870774E-14</v>
      </c>
      <c r="L228" s="83">
        <f t="shared" ca="1" si="24"/>
        <v>1.0950316209346055E-13</v>
      </c>
      <c r="M228" s="643">
        <f>INDEX(TablaCliente!_CapturaAbonoAnticipadoTablaCliente,__Amortizacion)</f>
        <v>0</v>
      </c>
      <c r="N228" s="84">
        <f t="shared" ca="1" si="25"/>
        <v>9.0949470177292824E-12</v>
      </c>
      <c r="P228" s="615" t="b">
        <f ca="1">__Saldo_Final _Anterior &gt; 0</f>
        <v>1</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c r="D229" s="616">
        <v>211</v>
      </c>
      <c r="F229" s="18">
        <f ca="1" xml:space="preserve"> ( __Saldo_Final _Anterior + T_SeguroAnual!__Saldo_Ciclico ) * ( __Stopper_Saldo_Inicial )</f>
        <v>9.0949470177292824E-12</v>
      </c>
      <c r="G229" s="83">
        <f ca="1">MIN( CHOOSE(i.Opcion.Abono, __Capital_Opcion_1, __Capital_Opcion_2, __Capital_Opcion_3) _Actual, __Saldo_Inicial _Actual)</f>
        <v>0</v>
      </c>
      <c r="H229" s="83">
        <f t="shared" ca="1" si="21"/>
        <v>3.2590226813529929E-15</v>
      </c>
      <c r="I229" s="84">
        <f ca="1">T_AutoYSeguroMulti!__Dias_Interes_Periodo</f>
        <v>30</v>
      </c>
      <c r="J229" s="84">
        <f t="shared" ca="1" si="22"/>
        <v>9.7770680440589784E-14</v>
      </c>
      <c r="K229" s="84">
        <f t="shared" ca="1" si="23"/>
        <v>1.1732481652870774E-14</v>
      </c>
      <c r="L229" s="83">
        <f t="shared" ca="1" si="24"/>
        <v>1.0950316209346055E-13</v>
      </c>
      <c r="M229" s="643">
        <f>INDEX(TablaCliente!_CapturaAbonoAnticipadoTablaCliente,__Amortizacion)</f>
        <v>0</v>
      </c>
      <c r="N229" s="84">
        <f t="shared" ca="1" si="25"/>
        <v>9.0949470177292824E-12</v>
      </c>
      <c r="P229" s="615" t="b">
        <f ca="1">__Saldo_Final _Anterior &gt; 0</f>
        <v>1</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c r="D230" s="616">
        <v>212</v>
      </c>
      <c r="F230" s="18">
        <f ca="1" xml:space="preserve"> ( __Saldo_Final _Anterior + T_SeguroAnual!__Saldo_Ciclico ) * ( __Stopper_Saldo_Inicial )</f>
        <v>9.0949470177292824E-12</v>
      </c>
      <c r="G230" s="83">
        <f ca="1">MIN( CHOOSE(i.Opcion.Abono, __Capital_Opcion_1, __Capital_Opcion_2, __Capital_Opcion_3) _Actual, __Saldo_Inicial _Actual)</f>
        <v>0</v>
      </c>
      <c r="H230" s="83">
        <f t="shared" ca="1" si="21"/>
        <v>3.2590226813529929E-15</v>
      </c>
      <c r="I230" s="84">
        <f ca="1">T_AutoYSeguroMulti!__Dias_Interes_Periodo</f>
        <v>30</v>
      </c>
      <c r="J230" s="84">
        <f t="shared" ca="1" si="22"/>
        <v>9.7770680440589784E-14</v>
      </c>
      <c r="K230" s="84">
        <f t="shared" ca="1" si="23"/>
        <v>1.1732481652870774E-14</v>
      </c>
      <c r="L230" s="83">
        <f t="shared" ca="1" si="24"/>
        <v>1.0950316209346055E-13</v>
      </c>
      <c r="M230" s="643">
        <f>INDEX(TablaCliente!_CapturaAbonoAnticipadoTablaCliente,__Amortizacion)</f>
        <v>0</v>
      </c>
      <c r="N230" s="84">
        <f t="shared" ca="1" si="25"/>
        <v>9.0949470177292824E-12</v>
      </c>
      <c r="P230" s="615" t="b">
        <f ca="1">__Saldo_Final _Anterior &gt; 0</f>
        <v>1</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c r="D231" s="616">
        <v>213</v>
      </c>
      <c r="F231" s="18">
        <f ca="1" xml:space="preserve"> ( __Saldo_Final _Anterior + T_SeguroAnual!__Saldo_Ciclico ) * ( __Stopper_Saldo_Inicial )</f>
        <v>9.0949470177292824E-12</v>
      </c>
      <c r="G231" s="83">
        <f ca="1">MIN( CHOOSE(i.Opcion.Abono, __Capital_Opcion_1, __Capital_Opcion_2, __Capital_Opcion_3) _Actual, __Saldo_Inicial _Actual)</f>
        <v>0</v>
      </c>
      <c r="H231" s="83">
        <f t="shared" ca="1" si="21"/>
        <v>3.2590226813529929E-15</v>
      </c>
      <c r="I231" s="84">
        <f ca="1">T_AutoYSeguroMulti!__Dias_Interes_Periodo</f>
        <v>30</v>
      </c>
      <c r="J231" s="84">
        <f t="shared" ca="1" si="22"/>
        <v>9.7770680440589784E-14</v>
      </c>
      <c r="K231" s="84">
        <f t="shared" ca="1" si="23"/>
        <v>1.1732481652870774E-14</v>
      </c>
      <c r="L231" s="83">
        <f t="shared" ca="1" si="24"/>
        <v>1.0950316209346055E-13</v>
      </c>
      <c r="M231" s="643">
        <f>INDEX(TablaCliente!_CapturaAbonoAnticipadoTablaCliente,__Amortizacion)</f>
        <v>0</v>
      </c>
      <c r="N231" s="84">
        <f t="shared" ca="1" si="25"/>
        <v>9.0949470177292824E-12</v>
      </c>
      <c r="P231" s="615" t="b">
        <f ca="1">__Saldo_Final _Anterior &gt; 0</f>
        <v>1</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c r="D232" s="616">
        <v>214</v>
      </c>
      <c r="F232" s="18">
        <f ca="1" xml:space="preserve"> ( __Saldo_Final _Anterior + T_SeguroAnual!__Saldo_Ciclico ) * ( __Stopper_Saldo_Inicial )</f>
        <v>9.0949470177292824E-12</v>
      </c>
      <c r="G232" s="83">
        <f ca="1">MIN( CHOOSE(i.Opcion.Abono, __Capital_Opcion_1, __Capital_Opcion_2, __Capital_Opcion_3) _Actual, __Saldo_Inicial _Actual)</f>
        <v>0</v>
      </c>
      <c r="H232" s="83">
        <f t="shared" ca="1" si="21"/>
        <v>3.2590226813529929E-15</v>
      </c>
      <c r="I232" s="84">
        <f ca="1">T_AutoYSeguroMulti!__Dias_Interes_Periodo</f>
        <v>30</v>
      </c>
      <c r="J232" s="84">
        <f t="shared" ca="1" si="22"/>
        <v>9.7770680440589784E-14</v>
      </c>
      <c r="K232" s="84">
        <f t="shared" ca="1" si="23"/>
        <v>1.1732481652870774E-14</v>
      </c>
      <c r="L232" s="83">
        <f t="shared" ca="1" si="24"/>
        <v>1.0950316209346055E-13</v>
      </c>
      <c r="M232" s="643">
        <f>INDEX(TablaCliente!_CapturaAbonoAnticipadoTablaCliente,__Amortizacion)</f>
        <v>0</v>
      </c>
      <c r="N232" s="84">
        <f t="shared" ca="1" si="25"/>
        <v>9.0949470177292824E-12</v>
      </c>
      <c r="P232" s="615" t="b">
        <f ca="1">__Saldo_Final _Anterior &gt; 0</f>
        <v>1</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c r="D233" s="616">
        <v>215</v>
      </c>
      <c r="F233" s="18">
        <f ca="1" xml:space="preserve"> ( __Saldo_Final _Anterior + T_SeguroAnual!__Saldo_Ciclico ) * ( __Stopper_Saldo_Inicial )</f>
        <v>9.0949470177292824E-12</v>
      </c>
      <c r="G233" s="83">
        <f ca="1">MIN( CHOOSE(i.Opcion.Abono, __Capital_Opcion_1, __Capital_Opcion_2, __Capital_Opcion_3) _Actual, __Saldo_Inicial _Actual)</f>
        <v>0</v>
      </c>
      <c r="H233" s="83">
        <f t="shared" ca="1" si="21"/>
        <v>3.2590226813529929E-15</v>
      </c>
      <c r="I233" s="84">
        <f ca="1">T_AutoYSeguroMulti!__Dias_Interes_Periodo</f>
        <v>30</v>
      </c>
      <c r="J233" s="84">
        <f t="shared" ca="1" si="22"/>
        <v>9.7770680440589784E-14</v>
      </c>
      <c r="K233" s="84">
        <f t="shared" ca="1" si="23"/>
        <v>1.1732481652870774E-14</v>
      </c>
      <c r="L233" s="83">
        <f t="shared" ca="1" si="24"/>
        <v>1.0950316209346055E-13</v>
      </c>
      <c r="M233" s="643">
        <f>INDEX(TablaCliente!_CapturaAbonoAnticipadoTablaCliente,__Amortizacion)</f>
        <v>0</v>
      </c>
      <c r="N233" s="84">
        <f t="shared" ca="1" si="25"/>
        <v>9.0949470177292824E-12</v>
      </c>
      <c r="P233" s="615" t="b">
        <f ca="1">__Saldo_Final _Anterior &gt; 0</f>
        <v>1</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c r="D234" s="616">
        <v>216</v>
      </c>
      <c r="F234" s="18">
        <f ca="1" xml:space="preserve"> ( __Saldo_Final _Anterior + T_SeguroAnual!__Saldo_Ciclico ) * ( __Stopper_Saldo_Inicial )</f>
        <v>9.0949470177292824E-12</v>
      </c>
      <c r="G234" s="83">
        <f ca="1">MIN( CHOOSE(i.Opcion.Abono, __Capital_Opcion_1, __Capital_Opcion_2, __Capital_Opcion_3) _Actual, __Saldo_Inicial _Actual)</f>
        <v>0</v>
      </c>
      <c r="H234" s="83">
        <f t="shared" ca="1" si="21"/>
        <v>3.2590226813529929E-15</v>
      </c>
      <c r="I234" s="84">
        <f ca="1">T_AutoYSeguroMulti!__Dias_Interes_Periodo</f>
        <v>30</v>
      </c>
      <c r="J234" s="84">
        <f t="shared" ca="1" si="22"/>
        <v>9.7770680440589784E-14</v>
      </c>
      <c r="K234" s="84">
        <f t="shared" ca="1" si="23"/>
        <v>1.1732481652870774E-14</v>
      </c>
      <c r="L234" s="83">
        <f t="shared" ca="1" si="24"/>
        <v>1.0950316209346055E-13</v>
      </c>
      <c r="M234" s="643">
        <f>INDEX(TablaCliente!_CapturaAbonoAnticipadoTablaCliente,__Amortizacion)</f>
        <v>0</v>
      </c>
      <c r="N234" s="84">
        <f t="shared" ca="1" si="25"/>
        <v>9.0949470177292824E-12</v>
      </c>
      <c r="P234" s="615" t="b">
        <f ca="1">__Saldo_Final _Anterior &gt; 0</f>
        <v>1</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c r="D235" s="616">
        <v>217</v>
      </c>
      <c r="F235" s="18">
        <f ca="1" xml:space="preserve"> ( __Saldo_Final _Anterior + T_SeguroAnual!__Saldo_Ciclico ) * ( __Stopper_Saldo_Inicial )</f>
        <v>9.0949470177292824E-12</v>
      </c>
      <c r="G235" s="83">
        <f ca="1">MIN( CHOOSE(i.Opcion.Abono, __Capital_Opcion_1, __Capital_Opcion_2, __Capital_Opcion_3) _Actual, __Saldo_Inicial _Actual)</f>
        <v>0</v>
      </c>
      <c r="H235" s="83">
        <f t="shared" ca="1" si="21"/>
        <v>3.2590226813529929E-15</v>
      </c>
      <c r="I235" s="84">
        <f ca="1">T_AutoYSeguroMulti!__Dias_Interes_Periodo</f>
        <v>30</v>
      </c>
      <c r="J235" s="84">
        <f t="shared" ca="1" si="22"/>
        <v>9.7770680440589784E-14</v>
      </c>
      <c r="K235" s="84">
        <f t="shared" ca="1" si="23"/>
        <v>1.1732481652870774E-14</v>
      </c>
      <c r="L235" s="83">
        <f t="shared" ca="1" si="24"/>
        <v>1.0950316209346055E-13</v>
      </c>
      <c r="M235" s="643">
        <f>INDEX(TablaCliente!_CapturaAbonoAnticipadoTablaCliente,__Amortizacion)</f>
        <v>0</v>
      </c>
      <c r="N235" s="84">
        <f t="shared" ca="1" si="25"/>
        <v>9.0949470177292824E-12</v>
      </c>
      <c r="P235" s="615" t="b">
        <f ca="1">__Saldo_Final _Anterior &gt; 0</f>
        <v>1</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c r="D236" s="616">
        <v>218</v>
      </c>
      <c r="F236" s="18">
        <f ca="1" xml:space="preserve"> ( __Saldo_Final _Anterior + T_SeguroAnual!__Saldo_Ciclico ) * ( __Stopper_Saldo_Inicial )</f>
        <v>9.0949470177292824E-12</v>
      </c>
      <c r="G236" s="83">
        <f ca="1">MIN( CHOOSE(i.Opcion.Abono, __Capital_Opcion_1, __Capital_Opcion_2, __Capital_Opcion_3) _Actual, __Saldo_Inicial _Actual)</f>
        <v>0</v>
      </c>
      <c r="H236" s="83">
        <f t="shared" ca="1" si="21"/>
        <v>3.2590226813529929E-15</v>
      </c>
      <c r="I236" s="84">
        <f ca="1">T_AutoYSeguroMulti!__Dias_Interes_Periodo</f>
        <v>30</v>
      </c>
      <c r="J236" s="84">
        <f t="shared" ca="1" si="22"/>
        <v>9.7770680440589784E-14</v>
      </c>
      <c r="K236" s="84">
        <f t="shared" ca="1" si="23"/>
        <v>1.1732481652870774E-14</v>
      </c>
      <c r="L236" s="83">
        <f t="shared" ca="1" si="24"/>
        <v>1.0950316209346055E-13</v>
      </c>
      <c r="M236" s="643">
        <f>INDEX(TablaCliente!_CapturaAbonoAnticipadoTablaCliente,__Amortizacion)</f>
        <v>0</v>
      </c>
      <c r="N236" s="84">
        <f t="shared" ca="1" si="25"/>
        <v>9.0949470177292824E-12</v>
      </c>
      <c r="P236" s="615" t="b">
        <f ca="1">__Saldo_Final _Anterior &gt; 0</f>
        <v>1</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c r="D237" s="616">
        <v>219</v>
      </c>
      <c r="F237" s="18">
        <f ca="1" xml:space="preserve"> ( __Saldo_Final _Anterior + T_SeguroAnual!__Saldo_Ciclico ) * ( __Stopper_Saldo_Inicial )</f>
        <v>9.0949470177292824E-12</v>
      </c>
      <c r="G237" s="83">
        <f ca="1">MIN( CHOOSE(i.Opcion.Abono, __Capital_Opcion_1, __Capital_Opcion_2, __Capital_Opcion_3) _Actual, __Saldo_Inicial _Actual)</f>
        <v>0</v>
      </c>
      <c r="H237" s="83">
        <f t="shared" ca="1" si="21"/>
        <v>3.2590226813529929E-15</v>
      </c>
      <c r="I237" s="84">
        <f ca="1">T_AutoYSeguroMulti!__Dias_Interes_Periodo</f>
        <v>30</v>
      </c>
      <c r="J237" s="84">
        <f t="shared" ca="1" si="22"/>
        <v>9.7770680440589784E-14</v>
      </c>
      <c r="K237" s="84">
        <f t="shared" ca="1" si="23"/>
        <v>1.1732481652870774E-14</v>
      </c>
      <c r="L237" s="83">
        <f t="shared" ca="1" si="24"/>
        <v>1.0950316209346055E-13</v>
      </c>
      <c r="M237" s="643">
        <f>INDEX(TablaCliente!_CapturaAbonoAnticipadoTablaCliente,__Amortizacion)</f>
        <v>0</v>
      </c>
      <c r="N237" s="84">
        <f t="shared" ca="1" si="25"/>
        <v>9.0949470177292824E-12</v>
      </c>
      <c r="P237" s="615" t="b">
        <f ca="1">__Saldo_Final _Anterior &gt; 0</f>
        <v>1</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c r="D238" s="616">
        <v>220</v>
      </c>
      <c r="F238" s="18">
        <f ca="1" xml:space="preserve"> ( __Saldo_Final _Anterior + T_SeguroAnual!__Saldo_Ciclico ) * ( __Stopper_Saldo_Inicial )</f>
        <v>9.0949470177292824E-12</v>
      </c>
      <c r="G238" s="83">
        <f ca="1">MIN( CHOOSE(i.Opcion.Abono, __Capital_Opcion_1, __Capital_Opcion_2, __Capital_Opcion_3) _Actual, __Saldo_Inicial _Actual)</f>
        <v>0</v>
      </c>
      <c r="H238" s="83">
        <f t="shared" ca="1" si="21"/>
        <v>3.2590226813529929E-15</v>
      </c>
      <c r="I238" s="84">
        <f ca="1">T_AutoYSeguroMulti!__Dias_Interes_Periodo</f>
        <v>30</v>
      </c>
      <c r="J238" s="84">
        <f t="shared" ca="1" si="22"/>
        <v>9.7770680440589784E-14</v>
      </c>
      <c r="K238" s="84">
        <f t="shared" ca="1" si="23"/>
        <v>1.1732481652870774E-14</v>
      </c>
      <c r="L238" s="83">
        <f t="shared" ca="1" si="24"/>
        <v>1.0950316209346055E-13</v>
      </c>
      <c r="M238" s="643">
        <f>INDEX(TablaCliente!_CapturaAbonoAnticipadoTablaCliente,__Amortizacion)</f>
        <v>0</v>
      </c>
      <c r="N238" s="84">
        <f t="shared" ca="1" si="25"/>
        <v>9.0949470177292824E-12</v>
      </c>
      <c r="P238" s="615" t="b">
        <f ca="1">__Saldo_Final _Anterior &gt; 0</f>
        <v>1</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c r="D239" s="616">
        <v>221</v>
      </c>
      <c r="F239" s="18">
        <f ca="1" xml:space="preserve"> ( __Saldo_Final _Anterior + T_SeguroAnual!__Saldo_Ciclico ) * ( __Stopper_Saldo_Inicial )</f>
        <v>9.0949470177292824E-12</v>
      </c>
      <c r="G239" s="83">
        <f ca="1">MIN( CHOOSE(i.Opcion.Abono, __Capital_Opcion_1, __Capital_Opcion_2, __Capital_Opcion_3) _Actual, __Saldo_Inicial _Actual)</f>
        <v>0</v>
      </c>
      <c r="H239" s="83">
        <f t="shared" ca="1" si="21"/>
        <v>3.2590226813529929E-15</v>
      </c>
      <c r="I239" s="84">
        <f ca="1">T_AutoYSeguroMulti!__Dias_Interes_Periodo</f>
        <v>30</v>
      </c>
      <c r="J239" s="84">
        <f t="shared" ca="1" si="22"/>
        <v>9.7770680440589784E-14</v>
      </c>
      <c r="K239" s="84">
        <f t="shared" ca="1" si="23"/>
        <v>1.1732481652870774E-14</v>
      </c>
      <c r="L239" s="83">
        <f t="shared" ca="1" si="24"/>
        <v>1.0950316209346055E-13</v>
      </c>
      <c r="M239" s="643">
        <f>INDEX(TablaCliente!_CapturaAbonoAnticipadoTablaCliente,__Amortizacion)</f>
        <v>0</v>
      </c>
      <c r="N239" s="84">
        <f t="shared" ca="1" si="25"/>
        <v>9.0949470177292824E-12</v>
      </c>
      <c r="P239" s="615" t="b">
        <f ca="1">__Saldo_Final _Anterior &gt; 0</f>
        <v>1</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c r="D240" s="616">
        <v>222</v>
      </c>
      <c r="F240" s="18">
        <f ca="1" xml:space="preserve"> ( __Saldo_Final _Anterior + T_SeguroAnual!__Saldo_Ciclico ) * ( __Stopper_Saldo_Inicial )</f>
        <v>9.0949470177292824E-12</v>
      </c>
      <c r="G240" s="83">
        <f ca="1">MIN( CHOOSE(i.Opcion.Abono, __Capital_Opcion_1, __Capital_Opcion_2, __Capital_Opcion_3) _Actual, __Saldo_Inicial _Actual)</f>
        <v>0</v>
      </c>
      <c r="H240" s="83">
        <f t="shared" ca="1" si="21"/>
        <v>3.2590226813529929E-15</v>
      </c>
      <c r="I240" s="84">
        <f ca="1">T_AutoYSeguroMulti!__Dias_Interes_Periodo</f>
        <v>30</v>
      </c>
      <c r="J240" s="84">
        <f t="shared" ca="1" si="22"/>
        <v>9.7770680440589784E-14</v>
      </c>
      <c r="K240" s="84">
        <f t="shared" ca="1" si="23"/>
        <v>1.1732481652870774E-14</v>
      </c>
      <c r="L240" s="83">
        <f t="shared" ca="1" si="24"/>
        <v>1.0950316209346055E-13</v>
      </c>
      <c r="M240" s="643">
        <f>INDEX(TablaCliente!_CapturaAbonoAnticipadoTablaCliente,__Amortizacion)</f>
        <v>0</v>
      </c>
      <c r="N240" s="84">
        <f t="shared" ca="1" si="25"/>
        <v>9.0949470177292824E-12</v>
      </c>
      <c r="P240" s="615" t="b">
        <f ca="1">__Saldo_Final _Anterior &gt; 0</f>
        <v>1</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c r="D241" s="616">
        <v>223</v>
      </c>
      <c r="F241" s="18">
        <f ca="1" xml:space="preserve"> ( __Saldo_Final _Anterior + T_SeguroAnual!__Saldo_Ciclico ) * ( __Stopper_Saldo_Inicial )</f>
        <v>9.0949470177292824E-12</v>
      </c>
      <c r="G241" s="83">
        <f ca="1">MIN( CHOOSE(i.Opcion.Abono, __Capital_Opcion_1, __Capital_Opcion_2, __Capital_Opcion_3) _Actual, __Saldo_Inicial _Actual)</f>
        <v>0</v>
      </c>
      <c r="H241" s="83">
        <f t="shared" ca="1" si="21"/>
        <v>3.2590226813529929E-15</v>
      </c>
      <c r="I241" s="84">
        <f ca="1">T_AutoYSeguroMulti!__Dias_Interes_Periodo</f>
        <v>30</v>
      </c>
      <c r="J241" s="84">
        <f t="shared" ca="1" si="22"/>
        <v>9.7770680440589784E-14</v>
      </c>
      <c r="K241" s="84">
        <f t="shared" ca="1" si="23"/>
        <v>1.1732481652870774E-14</v>
      </c>
      <c r="L241" s="83">
        <f t="shared" ca="1" si="24"/>
        <v>1.0950316209346055E-13</v>
      </c>
      <c r="M241" s="643">
        <f>INDEX(TablaCliente!_CapturaAbonoAnticipadoTablaCliente,__Amortizacion)</f>
        <v>0</v>
      </c>
      <c r="N241" s="84">
        <f t="shared" ca="1" si="25"/>
        <v>9.0949470177292824E-12</v>
      </c>
      <c r="P241" s="615" t="b">
        <f ca="1">__Saldo_Final _Anterior &gt; 0</f>
        <v>1</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c r="D242" s="616">
        <v>224</v>
      </c>
      <c r="F242" s="18">
        <f ca="1" xml:space="preserve"> ( __Saldo_Final _Anterior + T_SeguroAnual!__Saldo_Ciclico ) * ( __Stopper_Saldo_Inicial )</f>
        <v>9.0949470177292824E-12</v>
      </c>
      <c r="G242" s="83">
        <f ca="1">MIN( CHOOSE(i.Opcion.Abono, __Capital_Opcion_1, __Capital_Opcion_2, __Capital_Opcion_3) _Actual, __Saldo_Inicial _Actual)</f>
        <v>0</v>
      </c>
      <c r="H242" s="83">
        <f t="shared" ca="1" si="21"/>
        <v>3.2590226813529929E-15</v>
      </c>
      <c r="I242" s="84">
        <f ca="1">T_AutoYSeguroMulti!__Dias_Interes_Periodo</f>
        <v>30</v>
      </c>
      <c r="J242" s="84">
        <f t="shared" ca="1" si="22"/>
        <v>9.7770680440589784E-14</v>
      </c>
      <c r="K242" s="84">
        <f t="shared" ca="1" si="23"/>
        <v>1.1732481652870774E-14</v>
      </c>
      <c r="L242" s="83">
        <f t="shared" ca="1" si="24"/>
        <v>1.0950316209346055E-13</v>
      </c>
      <c r="M242" s="643">
        <f>INDEX(TablaCliente!_CapturaAbonoAnticipadoTablaCliente,__Amortizacion)</f>
        <v>0</v>
      </c>
      <c r="N242" s="84">
        <f t="shared" ca="1" si="25"/>
        <v>9.0949470177292824E-12</v>
      </c>
      <c r="P242" s="615" t="b">
        <f ca="1">__Saldo_Final _Anterior &gt; 0</f>
        <v>1</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c r="D243" s="616">
        <v>225</v>
      </c>
      <c r="F243" s="18">
        <f ca="1" xml:space="preserve"> ( __Saldo_Final _Anterior + T_SeguroAnual!__Saldo_Ciclico ) * ( __Stopper_Saldo_Inicial )</f>
        <v>9.0949470177292824E-12</v>
      </c>
      <c r="G243" s="83">
        <f ca="1">MIN( CHOOSE(i.Opcion.Abono, __Capital_Opcion_1, __Capital_Opcion_2, __Capital_Opcion_3) _Actual, __Saldo_Inicial _Actual)</f>
        <v>0</v>
      </c>
      <c r="H243" s="83">
        <f t="shared" ca="1" si="21"/>
        <v>3.2590226813529929E-15</v>
      </c>
      <c r="I243" s="84">
        <f ca="1">T_AutoYSeguroMulti!__Dias_Interes_Periodo</f>
        <v>30</v>
      </c>
      <c r="J243" s="84">
        <f t="shared" ca="1" si="22"/>
        <v>9.7770680440589784E-14</v>
      </c>
      <c r="K243" s="84">
        <f t="shared" ca="1" si="23"/>
        <v>1.1732481652870774E-14</v>
      </c>
      <c r="L243" s="83">
        <f t="shared" ca="1" si="24"/>
        <v>1.0950316209346055E-13</v>
      </c>
      <c r="M243" s="643">
        <f>INDEX(TablaCliente!_CapturaAbonoAnticipadoTablaCliente,__Amortizacion)</f>
        <v>0</v>
      </c>
      <c r="N243" s="84">
        <f t="shared" ca="1" si="25"/>
        <v>9.0949470177292824E-12</v>
      </c>
      <c r="P243" s="615" t="b">
        <f ca="1">__Saldo_Final _Anterior &gt; 0</f>
        <v>1</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c r="D244" s="616">
        <v>226</v>
      </c>
      <c r="F244" s="18">
        <f ca="1" xml:space="preserve"> ( __Saldo_Final _Anterior + T_SeguroAnual!__Saldo_Ciclico ) * ( __Stopper_Saldo_Inicial )</f>
        <v>9.0949470177292824E-12</v>
      </c>
      <c r="G244" s="83">
        <f ca="1">MIN( CHOOSE(i.Opcion.Abono, __Capital_Opcion_1, __Capital_Opcion_2, __Capital_Opcion_3) _Actual, __Saldo_Inicial _Actual)</f>
        <v>0</v>
      </c>
      <c r="H244" s="83">
        <f t="shared" ca="1" si="21"/>
        <v>3.2590226813529929E-15</v>
      </c>
      <c r="I244" s="84">
        <f ca="1">T_AutoYSeguroMulti!__Dias_Interes_Periodo</f>
        <v>30</v>
      </c>
      <c r="J244" s="84">
        <f t="shared" ca="1" si="22"/>
        <v>9.7770680440589784E-14</v>
      </c>
      <c r="K244" s="84">
        <f t="shared" ca="1" si="23"/>
        <v>1.1732481652870774E-14</v>
      </c>
      <c r="L244" s="83">
        <f t="shared" ca="1" si="24"/>
        <v>1.0950316209346055E-13</v>
      </c>
      <c r="M244" s="643">
        <f>INDEX(TablaCliente!_CapturaAbonoAnticipadoTablaCliente,__Amortizacion)</f>
        <v>0</v>
      </c>
      <c r="N244" s="84">
        <f t="shared" ca="1" si="25"/>
        <v>9.0949470177292824E-12</v>
      </c>
      <c r="P244" s="615" t="b">
        <f ca="1">__Saldo_Final _Anterior &gt; 0</f>
        <v>1</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c r="D245" s="616">
        <v>227</v>
      </c>
      <c r="F245" s="18">
        <f ca="1" xml:space="preserve"> ( __Saldo_Final _Anterior + T_SeguroAnual!__Saldo_Ciclico ) * ( __Stopper_Saldo_Inicial )</f>
        <v>9.0949470177292824E-12</v>
      </c>
      <c r="G245" s="83">
        <f ca="1">MIN( CHOOSE(i.Opcion.Abono, __Capital_Opcion_1, __Capital_Opcion_2, __Capital_Opcion_3) _Actual, __Saldo_Inicial _Actual)</f>
        <v>0</v>
      </c>
      <c r="H245" s="83">
        <f t="shared" ca="1" si="21"/>
        <v>3.2590226813529929E-15</v>
      </c>
      <c r="I245" s="84">
        <f ca="1">T_AutoYSeguroMulti!__Dias_Interes_Periodo</f>
        <v>30</v>
      </c>
      <c r="J245" s="84">
        <f t="shared" ca="1" si="22"/>
        <v>9.7770680440589784E-14</v>
      </c>
      <c r="K245" s="84">
        <f t="shared" ca="1" si="23"/>
        <v>1.1732481652870774E-14</v>
      </c>
      <c r="L245" s="83">
        <f t="shared" ca="1" si="24"/>
        <v>1.0950316209346055E-13</v>
      </c>
      <c r="M245" s="643">
        <f>INDEX(TablaCliente!_CapturaAbonoAnticipadoTablaCliente,__Amortizacion)</f>
        <v>0</v>
      </c>
      <c r="N245" s="84">
        <f t="shared" ca="1" si="25"/>
        <v>9.0949470177292824E-12</v>
      </c>
      <c r="P245" s="615" t="b">
        <f ca="1">__Saldo_Final _Anterior &gt; 0</f>
        <v>1</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c r="D246" s="616">
        <v>228</v>
      </c>
      <c r="F246" s="18">
        <f ca="1" xml:space="preserve"> ( __Saldo_Final _Anterior + T_SeguroAnual!__Saldo_Ciclico ) * ( __Stopper_Saldo_Inicial )</f>
        <v>9.0949470177292824E-12</v>
      </c>
      <c r="G246" s="83">
        <f ca="1">MIN( CHOOSE(i.Opcion.Abono, __Capital_Opcion_1, __Capital_Opcion_2, __Capital_Opcion_3) _Actual, __Saldo_Inicial _Actual)</f>
        <v>0</v>
      </c>
      <c r="H246" s="83">
        <f t="shared" ca="1" si="21"/>
        <v>3.2590226813529929E-15</v>
      </c>
      <c r="I246" s="84">
        <f ca="1">T_AutoYSeguroMulti!__Dias_Interes_Periodo</f>
        <v>30</v>
      </c>
      <c r="J246" s="84">
        <f t="shared" ca="1" si="22"/>
        <v>9.7770680440589784E-14</v>
      </c>
      <c r="K246" s="84">
        <f t="shared" ca="1" si="23"/>
        <v>1.1732481652870774E-14</v>
      </c>
      <c r="L246" s="83">
        <f t="shared" ca="1" si="24"/>
        <v>1.0950316209346055E-13</v>
      </c>
      <c r="M246" s="643">
        <f>INDEX(TablaCliente!_CapturaAbonoAnticipadoTablaCliente,__Amortizacion)</f>
        <v>0</v>
      </c>
      <c r="N246" s="84">
        <f t="shared" ca="1" si="25"/>
        <v>9.0949470177292824E-12</v>
      </c>
      <c r="P246" s="615" t="b">
        <f ca="1">__Saldo_Final _Anterior &gt; 0</f>
        <v>1</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c r="D247" s="616">
        <v>229</v>
      </c>
      <c r="F247" s="18">
        <f ca="1" xml:space="preserve"> ( __Saldo_Final _Anterior + T_SeguroAnual!__Saldo_Ciclico ) * ( __Stopper_Saldo_Inicial )</f>
        <v>9.0949470177292824E-12</v>
      </c>
      <c r="G247" s="83">
        <f ca="1">MIN( CHOOSE(i.Opcion.Abono, __Capital_Opcion_1, __Capital_Opcion_2, __Capital_Opcion_3) _Actual, __Saldo_Inicial _Actual)</f>
        <v>0</v>
      </c>
      <c r="H247" s="83">
        <f t="shared" ca="1" si="21"/>
        <v>3.2590226813529929E-15</v>
      </c>
      <c r="I247" s="84">
        <f ca="1">T_AutoYSeguroMulti!__Dias_Interes_Periodo</f>
        <v>30</v>
      </c>
      <c r="J247" s="84">
        <f t="shared" ca="1" si="22"/>
        <v>9.7770680440589784E-14</v>
      </c>
      <c r="K247" s="84">
        <f t="shared" ca="1" si="23"/>
        <v>1.1732481652870774E-14</v>
      </c>
      <c r="L247" s="83">
        <f t="shared" ca="1" si="24"/>
        <v>1.0950316209346055E-13</v>
      </c>
      <c r="M247" s="643">
        <f>INDEX(TablaCliente!_CapturaAbonoAnticipadoTablaCliente,__Amortizacion)</f>
        <v>0</v>
      </c>
      <c r="N247" s="84">
        <f t="shared" ca="1" si="25"/>
        <v>9.0949470177292824E-12</v>
      </c>
      <c r="P247" s="615" t="b">
        <f ca="1">__Saldo_Final _Anterior &gt; 0</f>
        <v>1</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c r="D248" s="616">
        <v>230</v>
      </c>
      <c r="F248" s="18">
        <f ca="1" xml:space="preserve"> ( __Saldo_Final _Anterior + T_SeguroAnual!__Saldo_Ciclico ) * ( __Stopper_Saldo_Inicial )</f>
        <v>9.0949470177292824E-12</v>
      </c>
      <c r="G248" s="83">
        <f ca="1">MIN( CHOOSE(i.Opcion.Abono, __Capital_Opcion_1, __Capital_Opcion_2, __Capital_Opcion_3) _Actual, __Saldo_Inicial _Actual)</f>
        <v>0</v>
      </c>
      <c r="H248" s="83">
        <f t="shared" ca="1" si="21"/>
        <v>3.2590226813529929E-15</v>
      </c>
      <c r="I248" s="84">
        <f ca="1">T_AutoYSeguroMulti!__Dias_Interes_Periodo</f>
        <v>30</v>
      </c>
      <c r="J248" s="84">
        <f t="shared" ca="1" si="22"/>
        <v>9.7770680440589784E-14</v>
      </c>
      <c r="K248" s="84">
        <f t="shared" ca="1" si="23"/>
        <v>1.1732481652870774E-14</v>
      </c>
      <c r="L248" s="83">
        <f t="shared" ca="1" si="24"/>
        <v>1.0950316209346055E-13</v>
      </c>
      <c r="M248" s="643">
        <f>INDEX(TablaCliente!_CapturaAbonoAnticipadoTablaCliente,__Amortizacion)</f>
        <v>0</v>
      </c>
      <c r="N248" s="84">
        <f t="shared" ca="1" si="25"/>
        <v>9.0949470177292824E-12</v>
      </c>
      <c r="P248" s="615" t="b">
        <f ca="1">__Saldo_Final _Anterior &gt; 0</f>
        <v>1</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c r="D249" s="616">
        <v>231</v>
      </c>
      <c r="F249" s="18">
        <f ca="1" xml:space="preserve"> ( __Saldo_Final _Anterior + T_SeguroAnual!__Saldo_Ciclico ) * ( __Stopper_Saldo_Inicial )</f>
        <v>9.0949470177292824E-12</v>
      </c>
      <c r="G249" s="83">
        <f ca="1">MIN( CHOOSE(i.Opcion.Abono, __Capital_Opcion_1, __Capital_Opcion_2, __Capital_Opcion_3) _Actual, __Saldo_Inicial _Actual)</f>
        <v>0</v>
      </c>
      <c r="H249" s="83">
        <f t="shared" ca="1" si="21"/>
        <v>3.2590226813529929E-15</v>
      </c>
      <c r="I249" s="84">
        <f ca="1">T_AutoYSeguroMulti!__Dias_Interes_Periodo</f>
        <v>30</v>
      </c>
      <c r="J249" s="84">
        <f t="shared" ca="1" si="22"/>
        <v>9.7770680440589784E-14</v>
      </c>
      <c r="K249" s="84">
        <f t="shared" ca="1" si="23"/>
        <v>1.1732481652870774E-14</v>
      </c>
      <c r="L249" s="83">
        <f t="shared" ca="1" si="24"/>
        <v>1.0950316209346055E-13</v>
      </c>
      <c r="M249" s="643">
        <f>INDEX(TablaCliente!_CapturaAbonoAnticipadoTablaCliente,__Amortizacion)</f>
        <v>0</v>
      </c>
      <c r="N249" s="84">
        <f t="shared" ca="1" si="25"/>
        <v>9.0949470177292824E-12</v>
      </c>
      <c r="P249" s="615" t="b">
        <f ca="1">__Saldo_Final _Anterior &gt; 0</f>
        <v>1</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c r="D250" s="616">
        <v>232</v>
      </c>
      <c r="F250" s="18">
        <f ca="1" xml:space="preserve"> ( __Saldo_Final _Anterior + T_SeguroAnual!__Saldo_Ciclico ) * ( __Stopper_Saldo_Inicial )</f>
        <v>9.0949470177292824E-12</v>
      </c>
      <c r="G250" s="83">
        <f ca="1">MIN( CHOOSE(i.Opcion.Abono, __Capital_Opcion_1, __Capital_Opcion_2, __Capital_Opcion_3) _Actual, __Saldo_Inicial _Actual)</f>
        <v>0</v>
      </c>
      <c r="H250" s="83">
        <f t="shared" ca="1" si="21"/>
        <v>3.2590226813529929E-15</v>
      </c>
      <c r="I250" s="84">
        <f ca="1">T_AutoYSeguroMulti!__Dias_Interes_Periodo</f>
        <v>30</v>
      </c>
      <c r="J250" s="84">
        <f t="shared" ca="1" si="22"/>
        <v>9.7770680440589784E-14</v>
      </c>
      <c r="K250" s="84">
        <f t="shared" ca="1" si="23"/>
        <v>1.1732481652870774E-14</v>
      </c>
      <c r="L250" s="83">
        <f t="shared" ca="1" si="24"/>
        <v>1.0950316209346055E-13</v>
      </c>
      <c r="M250" s="643">
        <f>INDEX(TablaCliente!_CapturaAbonoAnticipadoTablaCliente,__Amortizacion)</f>
        <v>0</v>
      </c>
      <c r="N250" s="84">
        <f t="shared" ca="1" si="25"/>
        <v>9.0949470177292824E-12</v>
      </c>
      <c r="P250" s="615" t="b">
        <f ca="1">__Saldo_Final _Anterior &gt; 0</f>
        <v>1</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c r="D251" s="616">
        <v>233</v>
      </c>
      <c r="F251" s="18">
        <f ca="1" xml:space="preserve"> ( __Saldo_Final _Anterior + T_SeguroAnual!__Saldo_Ciclico ) * ( __Stopper_Saldo_Inicial )</f>
        <v>9.0949470177292824E-12</v>
      </c>
      <c r="G251" s="83">
        <f ca="1">MIN( CHOOSE(i.Opcion.Abono, __Capital_Opcion_1, __Capital_Opcion_2, __Capital_Opcion_3) _Actual, __Saldo_Inicial _Actual)</f>
        <v>0</v>
      </c>
      <c r="H251" s="83">
        <f t="shared" ca="1" si="21"/>
        <v>3.2590226813529929E-15</v>
      </c>
      <c r="I251" s="84">
        <f ca="1">T_AutoYSeguroMulti!__Dias_Interes_Periodo</f>
        <v>30</v>
      </c>
      <c r="J251" s="84">
        <f t="shared" ca="1" si="22"/>
        <v>9.7770680440589784E-14</v>
      </c>
      <c r="K251" s="84">
        <f t="shared" ca="1" si="23"/>
        <v>1.1732481652870774E-14</v>
      </c>
      <c r="L251" s="83">
        <f t="shared" ca="1" si="24"/>
        <v>1.0950316209346055E-13</v>
      </c>
      <c r="M251" s="643">
        <f>INDEX(TablaCliente!_CapturaAbonoAnticipadoTablaCliente,__Amortizacion)</f>
        <v>0</v>
      </c>
      <c r="N251" s="84">
        <f t="shared" ca="1" si="25"/>
        <v>9.0949470177292824E-12</v>
      </c>
      <c r="P251" s="615" t="b">
        <f ca="1">__Saldo_Final _Anterior &gt; 0</f>
        <v>1</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c r="D252" s="616">
        <v>234</v>
      </c>
      <c r="F252" s="18">
        <f ca="1" xml:space="preserve"> ( __Saldo_Final _Anterior + T_SeguroAnual!__Saldo_Ciclico ) * ( __Stopper_Saldo_Inicial )</f>
        <v>9.0949470177292824E-12</v>
      </c>
      <c r="G252" s="83">
        <f ca="1">MIN( CHOOSE(i.Opcion.Abono, __Capital_Opcion_1, __Capital_Opcion_2, __Capital_Opcion_3) _Actual, __Saldo_Inicial _Actual)</f>
        <v>0</v>
      </c>
      <c r="H252" s="83">
        <f t="shared" ca="1" si="21"/>
        <v>3.2590226813529929E-15</v>
      </c>
      <c r="I252" s="84">
        <f ca="1">T_AutoYSeguroMulti!__Dias_Interes_Periodo</f>
        <v>30</v>
      </c>
      <c r="J252" s="84">
        <f t="shared" ca="1" si="22"/>
        <v>9.7770680440589784E-14</v>
      </c>
      <c r="K252" s="84">
        <f t="shared" ca="1" si="23"/>
        <v>1.1732481652870774E-14</v>
      </c>
      <c r="L252" s="83">
        <f t="shared" ca="1" si="24"/>
        <v>1.0950316209346055E-13</v>
      </c>
      <c r="M252" s="643">
        <f>INDEX(TablaCliente!_CapturaAbonoAnticipadoTablaCliente,__Amortizacion)</f>
        <v>0</v>
      </c>
      <c r="N252" s="84">
        <f t="shared" ca="1" si="25"/>
        <v>9.0949470177292824E-12</v>
      </c>
      <c r="P252" s="615" t="b">
        <f ca="1">__Saldo_Final _Anterior &gt; 0</f>
        <v>1</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c r="D253" s="616">
        <v>235</v>
      </c>
      <c r="F253" s="18">
        <f ca="1" xml:space="preserve"> ( __Saldo_Final _Anterior + T_SeguroAnual!__Saldo_Ciclico ) * ( __Stopper_Saldo_Inicial )</f>
        <v>9.0949470177292824E-12</v>
      </c>
      <c r="G253" s="83">
        <f ca="1">MIN( CHOOSE(i.Opcion.Abono, __Capital_Opcion_1, __Capital_Opcion_2, __Capital_Opcion_3) _Actual, __Saldo_Inicial _Actual)</f>
        <v>0</v>
      </c>
      <c r="H253" s="83">
        <f t="shared" ca="1" si="21"/>
        <v>3.2590226813529929E-15</v>
      </c>
      <c r="I253" s="84">
        <f ca="1">T_AutoYSeguroMulti!__Dias_Interes_Periodo</f>
        <v>30</v>
      </c>
      <c r="J253" s="84">
        <f t="shared" ca="1" si="22"/>
        <v>9.7770680440589784E-14</v>
      </c>
      <c r="K253" s="84">
        <f t="shared" ca="1" si="23"/>
        <v>1.1732481652870774E-14</v>
      </c>
      <c r="L253" s="83">
        <f t="shared" ca="1" si="24"/>
        <v>1.0950316209346055E-13</v>
      </c>
      <c r="M253" s="643">
        <f>INDEX(TablaCliente!_CapturaAbonoAnticipadoTablaCliente,__Amortizacion)</f>
        <v>0</v>
      </c>
      <c r="N253" s="84">
        <f t="shared" ca="1" si="25"/>
        <v>9.0949470177292824E-12</v>
      </c>
      <c r="P253" s="615" t="b">
        <f ca="1">__Saldo_Final _Anterior &gt; 0</f>
        <v>1</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c r="D254" s="616">
        <v>236</v>
      </c>
      <c r="F254" s="18">
        <f ca="1" xml:space="preserve"> ( __Saldo_Final _Anterior + T_SeguroAnual!__Saldo_Ciclico ) * ( __Stopper_Saldo_Inicial )</f>
        <v>9.0949470177292824E-12</v>
      </c>
      <c r="G254" s="83">
        <f ca="1">MIN( CHOOSE(i.Opcion.Abono, __Capital_Opcion_1, __Capital_Opcion_2, __Capital_Opcion_3) _Actual, __Saldo_Inicial _Actual)</f>
        <v>0</v>
      </c>
      <c r="H254" s="83">
        <f t="shared" ca="1" si="21"/>
        <v>3.2590226813529929E-15</v>
      </c>
      <c r="I254" s="84">
        <f ca="1">T_AutoYSeguroMulti!__Dias_Interes_Periodo</f>
        <v>30</v>
      </c>
      <c r="J254" s="84">
        <f t="shared" ca="1" si="22"/>
        <v>9.7770680440589784E-14</v>
      </c>
      <c r="K254" s="84">
        <f t="shared" ca="1" si="23"/>
        <v>1.1732481652870774E-14</v>
      </c>
      <c r="L254" s="83">
        <f t="shared" ca="1" si="24"/>
        <v>1.0950316209346055E-13</v>
      </c>
      <c r="M254" s="643">
        <f>INDEX(TablaCliente!_CapturaAbonoAnticipadoTablaCliente,__Amortizacion)</f>
        <v>0</v>
      </c>
      <c r="N254" s="84">
        <f t="shared" ca="1" si="25"/>
        <v>9.0949470177292824E-12</v>
      </c>
      <c r="P254" s="615" t="b">
        <f ca="1">__Saldo_Final _Anterior &gt; 0</f>
        <v>1</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c r="D255" s="616">
        <v>237</v>
      </c>
      <c r="F255" s="18">
        <f ca="1" xml:space="preserve"> ( __Saldo_Final _Anterior + T_SeguroAnual!__Saldo_Ciclico ) * ( __Stopper_Saldo_Inicial )</f>
        <v>9.0949470177292824E-12</v>
      </c>
      <c r="G255" s="83">
        <f ca="1">MIN( CHOOSE(i.Opcion.Abono, __Capital_Opcion_1, __Capital_Opcion_2, __Capital_Opcion_3) _Actual, __Saldo_Inicial _Actual)</f>
        <v>0</v>
      </c>
      <c r="H255" s="83">
        <f t="shared" ca="1" si="21"/>
        <v>3.2590226813529929E-15</v>
      </c>
      <c r="I255" s="84">
        <f ca="1">T_AutoYSeguroMulti!__Dias_Interes_Periodo</f>
        <v>30</v>
      </c>
      <c r="J255" s="84">
        <f t="shared" ca="1" si="22"/>
        <v>9.7770680440589784E-14</v>
      </c>
      <c r="K255" s="84">
        <f t="shared" ca="1" si="23"/>
        <v>1.1732481652870774E-14</v>
      </c>
      <c r="L255" s="83">
        <f t="shared" ca="1" si="24"/>
        <v>1.0950316209346055E-13</v>
      </c>
      <c r="M255" s="643">
        <f>INDEX(TablaCliente!_CapturaAbonoAnticipadoTablaCliente,__Amortizacion)</f>
        <v>0</v>
      </c>
      <c r="N255" s="84">
        <f t="shared" ca="1" si="25"/>
        <v>9.0949470177292824E-12</v>
      </c>
      <c r="P255" s="615" t="b">
        <f ca="1">__Saldo_Final _Anterior &gt; 0</f>
        <v>1</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c r="D256" s="616">
        <v>238</v>
      </c>
      <c r="F256" s="18">
        <f ca="1" xml:space="preserve"> ( __Saldo_Final _Anterior + T_SeguroAnual!__Saldo_Ciclico ) * ( __Stopper_Saldo_Inicial )</f>
        <v>9.0949470177292824E-12</v>
      </c>
      <c r="G256" s="83">
        <f ca="1">MIN( CHOOSE(i.Opcion.Abono, __Capital_Opcion_1, __Capital_Opcion_2, __Capital_Opcion_3) _Actual, __Saldo_Inicial _Actual)</f>
        <v>0</v>
      </c>
      <c r="H256" s="83">
        <f t="shared" ca="1" si="21"/>
        <v>3.2590226813529929E-15</v>
      </c>
      <c r="I256" s="84">
        <f ca="1">T_AutoYSeguroMulti!__Dias_Interes_Periodo</f>
        <v>30</v>
      </c>
      <c r="J256" s="84">
        <f t="shared" ca="1" si="22"/>
        <v>9.7770680440589784E-14</v>
      </c>
      <c r="K256" s="84">
        <f t="shared" ca="1" si="23"/>
        <v>1.1732481652870774E-14</v>
      </c>
      <c r="L256" s="83">
        <f t="shared" ca="1" si="24"/>
        <v>1.0950316209346055E-13</v>
      </c>
      <c r="M256" s="643">
        <f>INDEX(TablaCliente!_CapturaAbonoAnticipadoTablaCliente,__Amortizacion)</f>
        <v>0</v>
      </c>
      <c r="N256" s="84">
        <f t="shared" ca="1" si="25"/>
        <v>9.0949470177292824E-12</v>
      </c>
      <c r="P256" s="615" t="b">
        <f ca="1">__Saldo_Final _Anterior &gt; 0</f>
        <v>1</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c r="D257" s="616">
        <v>239</v>
      </c>
      <c r="F257" s="18">
        <f ca="1" xml:space="preserve"> ( __Saldo_Final _Anterior + T_SeguroAnual!__Saldo_Ciclico ) * ( __Stopper_Saldo_Inicial )</f>
        <v>9.0949470177292824E-12</v>
      </c>
      <c r="G257" s="83">
        <f ca="1">MIN( CHOOSE(i.Opcion.Abono, __Capital_Opcion_1, __Capital_Opcion_2, __Capital_Opcion_3) _Actual, __Saldo_Inicial _Actual)</f>
        <v>0</v>
      </c>
      <c r="H257" s="83">
        <f t="shared" ca="1" si="21"/>
        <v>3.2590226813529929E-15</v>
      </c>
      <c r="I257" s="84">
        <f ca="1">T_AutoYSeguroMulti!__Dias_Interes_Periodo</f>
        <v>30</v>
      </c>
      <c r="J257" s="84">
        <f t="shared" ca="1" si="22"/>
        <v>9.7770680440589784E-14</v>
      </c>
      <c r="K257" s="84">
        <f t="shared" ca="1" si="23"/>
        <v>1.1732481652870774E-14</v>
      </c>
      <c r="L257" s="83">
        <f t="shared" ca="1" si="24"/>
        <v>1.0950316209346055E-13</v>
      </c>
      <c r="M257" s="643">
        <f>INDEX(TablaCliente!_CapturaAbonoAnticipadoTablaCliente,__Amortizacion)</f>
        <v>0</v>
      </c>
      <c r="N257" s="84">
        <f t="shared" ca="1" si="25"/>
        <v>9.0949470177292824E-12</v>
      </c>
      <c r="P257" s="615" t="b">
        <f ca="1">__Saldo_Final _Anterior &gt; 0</f>
        <v>1</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c r="D258" s="616">
        <v>240</v>
      </c>
      <c r="F258" s="18">
        <f ca="1" xml:space="preserve"> ( __Saldo_Final _Anterior + T_SeguroAnual!__Saldo_Ciclico ) * ( __Stopper_Saldo_Inicial )</f>
        <v>9.0949470177292824E-12</v>
      </c>
      <c r="G258" s="83">
        <f ca="1">MIN( CHOOSE(i.Opcion.Abono, __Capital_Opcion_1, __Capital_Opcion_2, __Capital_Opcion_3) _Actual, __Saldo_Inicial _Actual)</f>
        <v>0</v>
      </c>
      <c r="H258" s="83">
        <f t="shared" ca="1" si="21"/>
        <v>3.2590226813529929E-15</v>
      </c>
      <c r="I258" s="84">
        <f ca="1">T_AutoYSeguroMulti!__Dias_Interes_Periodo</f>
        <v>30</v>
      </c>
      <c r="J258" s="84">
        <f t="shared" ca="1" si="22"/>
        <v>9.7770680440589784E-14</v>
      </c>
      <c r="K258" s="84">
        <f t="shared" ca="1" si="23"/>
        <v>1.1732481652870774E-14</v>
      </c>
      <c r="L258" s="83">
        <f t="shared" ca="1" si="24"/>
        <v>1.0950316209346055E-13</v>
      </c>
      <c r="M258" s="643">
        <f>INDEX(TablaCliente!_CapturaAbonoAnticipadoTablaCliente,__Amortizacion)</f>
        <v>0</v>
      </c>
      <c r="N258" s="84">
        <f t="shared" ca="1" si="25"/>
        <v>9.0949470177292824E-12</v>
      </c>
      <c r="P258" s="615" t="b">
        <f ca="1">__Saldo_Final _Anterior &gt; 0</f>
        <v>1</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c r="D259" s="616">
        <v>241</v>
      </c>
      <c r="F259" s="18">
        <f ca="1" xml:space="preserve"> ( __Saldo_Final _Anterior + T_SeguroAnual!__Saldo_Ciclico ) * ( __Stopper_Saldo_Inicial )</f>
        <v>9.0949470177292824E-12</v>
      </c>
      <c r="G259" s="83">
        <f ca="1">MIN( CHOOSE(i.Opcion.Abono, __Capital_Opcion_1, __Capital_Opcion_2, __Capital_Opcion_3) _Actual, __Saldo_Inicial _Actual)</f>
        <v>0</v>
      </c>
      <c r="H259" s="83">
        <f t="shared" ca="1" si="21"/>
        <v>3.2590226813529929E-15</v>
      </c>
      <c r="I259" s="84">
        <f ca="1">T_AutoYSeguroMulti!__Dias_Interes_Periodo</f>
        <v>30</v>
      </c>
      <c r="J259" s="84">
        <f t="shared" ca="1" si="22"/>
        <v>9.7770680440589784E-14</v>
      </c>
      <c r="K259" s="84">
        <f t="shared" ca="1" si="23"/>
        <v>1.1732481652870774E-14</v>
      </c>
      <c r="L259" s="83">
        <f t="shared" ca="1" si="24"/>
        <v>1.0950316209346055E-13</v>
      </c>
      <c r="M259" s="643">
        <f>INDEX(TablaCliente!_CapturaAbonoAnticipadoTablaCliente,__Amortizacion)</f>
        <v>0</v>
      </c>
      <c r="N259" s="84">
        <f t="shared" ca="1" si="25"/>
        <v>9.0949470177292824E-12</v>
      </c>
      <c r="P259" s="615" t="b">
        <f ca="1">__Saldo_Final _Anterior &gt; 0</f>
        <v>1</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c r="D260" s="616">
        <v>242</v>
      </c>
      <c r="F260" s="18">
        <f ca="1" xml:space="preserve"> ( __Saldo_Final _Anterior + T_SeguroAnual!__Saldo_Ciclico ) * ( __Stopper_Saldo_Inicial )</f>
        <v>9.0949470177292824E-12</v>
      </c>
      <c r="G260" s="83">
        <f ca="1">MIN( CHOOSE(i.Opcion.Abono, __Capital_Opcion_1, __Capital_Opcion_2, __Capital_Opcion_3) _Actual, __Saldo_Inicial _Actual)</f>
        <v>0</v>
      </c>
      <c r="H260" s="83">
        <f t="shared" ca="1" si="21"/>
        <v>3.2590226813529929E-15</v>
      </c>
      <c r="I260" s="84">
        <f ca="1">T_AutoYSeguroMulti!__Dias_Interes_Periodo</f>
        <v>30</v>
      </c>
      <c r="J260" s="84">
        <f t="shared" ca="1" si="22"/>
        <v>9.7770680440589784E-14</v>
      </c>
      <c r="K260" s="84">
        <f t="shared" ca="1" si="23"/>
        <v>1.1732481652870774E-14</v>
      </c>
      <c r="L260" s="83">
        <f t="shared" ca="1" si="24"/>
        <v>1.0950316209346055E-13</v>
      </c>
      <c r="M260" s="643">
        <f>INDEX(TablaCliente!_CapturaAbonoAnticipadoTablaCliente,__Amortizacion)</f>
        <v>0</v>
      </c>
      <c r="N260" s="84">
        <f t="shared" ca="1" si="25"/>
        <v>9.0949470177292824E-12</v>
      </c>
      <c r="P260" s="615" t="b">
        <f ca="1">__Saldo_Final _Anterior &gt; 0</f>
        <v>1</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c r="D261" s="616">
        <v>243</v>
      </c>
      <c r="F261" s="18">
        <f ca="1" xml:space="preserve"> ( __Saldo_Final _Anterior + T_SeguroAnual!__Saldo_Ciclico ) * ( __Stopper_Saldo_Inicial )</f>
        <v>9.0949470177292824E-12</v>
      </c>
      <c r="G261" s="83">
        <f ca="1">MIN( CHOOSE(i.Opcion.Abono, __Capital_Opcion_1, __Capital_Opcion_2, __Capital_Opcion_3) _Actual, __Saldo_Inicial _Actual)</f>
        <v>0</v>
      </c>
      <c r="H261" s="83">
        <f t="shared" ca="1" si="21"/>
        <v>3.2590226813529929E-15</v>
      </c>
      <c r="I261" s="84">
        <f ca="1">T_AutoYSeguroMulti!__Dias_Interes_Periodo</f>
        <v>30</v>
      </c>
      <c r="J261" s="84">
        <f t="shared" ca="1" si="22"/>
        <v>9.7770680440589784E-14</v>
      </c>
      <c r="K261" s="84">
        <f t="shared" ca="1" si="23"/>
        <v>1.1732481652870774E-14</v>
      </c>
      <c r="L261" s="83">
        <f t="shared" ca="1" si="24"/>
        <v>1.0950316209346055E-13</v>
      </c>
      <c r="M261" s="643">
        <f>INDEX(TablaCliente!_CapturaAbonoAnticipadoTablaCliente,__Amortizacion)</f>
        <v>0</v>
      </c>
      <c r="N261" s="84">
        <f t="shared" ca="1" si="25"/>
        <v>9.0949470177292824E-12</v>
      </c>
      <c r="P261" s="615" t="b">
        <f ca="1">__Saldo_Final _Anterior &gt; 0</f>
        <v>1</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c r="D262" s="616">
        <v>244</v>
      </c>
      <c r="F262" s="18">
        <f ca="1" xml:space="preserve"> ( __Saldo_Final _Anterior + T_SeguroAnual!__Saldo_Ciclico ) * ( __Stopper_Saldo_Inicial )</f>
        <v>9.0949470177292824E-12</v>
      </c>
      <c r="G262" s="83">
        <f ca="1">MIN( CHOOSE(i.Opcion.Abono, __Capital_Opcion_1, __Capital_Opcion_2, __Capital_Opcion_3) _Actual, __Saldo_Inicial _Actual)</f>
        <v>0</v>
      </c>
      <c r="H262" s="83">
        <f t="shared" ca="1" si="21"/>
        <v>3.2590226813529929E-15</v>
      </c>
      <c r="I262" s="84">
        <f ca="1">T_AutoYSeguroMulti!__Dias_Interes_Periodo</f>
        <v>30</v>
      </c>
      <c r="J262" s="84">
        <f t="shared" ca="1" si="22"/>
        <v>9.7770680440589784E-14</v>
      </c>
      <c r="K262" s="84">
        <f t="shared" ca="1" si="23"/>
        <v>1.1732481652870774E-14</v>
      </c>
      <c r="L262" s="83">
        <f t="shared" ca="1" si="24"/>
        <v>1.0950316209346055E-13</v>
      </c>
      <c r="M262" s="643">
        <f>INDEX(TablaCliente!_CapturaAbonoAnticipadoTablaCliente,__Amortizacion)</f>
        <v>0</v>
      </c>
      <c r="N262" s="84">
        <f t="shared" ca="1" si="25"/>
        <v>9.0949470177292824E-12</v>
      </c>
      <c r="P262" s="615" t="b">
        <f ca="1">__Saldo_Final _Anterior &gt; 0</f>
        <v>1</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c r="D263" s="98">
        <v>245</v>
      </c>
      <c r="F263" s="18">
        <f ca="1" xml:space="preserve"> ( __Saldo_Final _Anterior + T_SeguroAnual!__Saldo_Ciclico ) * ( __Stopper_Saldo_Inicial )</f>
        <v>9.0949470177292824E-12</v>
      </c>
      <c r="G263" s="83">
        <f ca="1">MIN( CHOOSE(i.Opcion.Abono, __Capital_Opcion_1, __Capital_Opcion_2, __Capital_Opcion_3) _Actual, __Saldo_Inicial _Actual)</f>
        <v>0</v>
      </c>
      <c r="H263" s="83">
        <f t="shared" ca="1" si="21"/>
        <v>3.2590226813529929E-15</v>
      </c>
      <c r="I263" s="84">
        <f ca="1">T_AutoYSeguroMulti!__Dias_Interes_Periodo</f>
        <v>30</v>
      </c>
      <c r="J263" s="84">
        <f t="shared" ca="1" si="22"/>
        <v>9.7770680440589784E-14</v>
      </c>
      <c r="K263" s="84">
        <f t="shared" ca="1" si="23"/>
        <v>1.1732481652870774E-14</v>
      </c>
      <c r="L263" s="83">
        <f t="shared" ca="1" si="24"/>
        <v>1.0950316209346055E-13</v>
      </c>
      <c r="M263" s="643">
        <f>INDEX(TablaCliente!_CapturaAbonoAnticipadoTablaCliente,__Amortizacion)</f>
        <v>0</v>
      </c>
      <c r="N263" s="84">
        <f t="shared" ca="1" si="25"/>
        <v>9.0949470177292824E-12</v>
      </c>
      <c r="P263" s="615" t="b">
        <f ca="1">__Saldo_Final _Anterior &gt; 0</f>
        <v>1</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c r="D264" s="616">
        <v>246</v>
      </c>
      <c r="F264" s="18">
        <f ca="1" xml:space="preserve"> ( __Saldo_Final _Anterior + T_SeguroAnual!__Saldo_Ciclico ) * ( __Stopper_Saldo_Inicial )</f>
        <v>9.0949470177292824E-12</v>
      </c>
      <c r="G264" s="83">
        <f ca="1">MIN( CHOOSE(i.Opcion.Abono, __Capital_Opcion_1, __Capital_Opcion_2, __Capital_Opcion_3) _Actual, __Saldo_Inicial _Actual)</f>
        <v>0</v>
      </c>
      <c r="H264" s="83">
        <f t="shared" ca="1" si="21"/>
        <v>3.2590226813529929E-15</v>
      </c>
      <c r="I264" s="84">
        <f ca="1">T_AutoYSeguroMulti!__Dias_Interes_Periodo</f>
        <v>30</v>
      </c>
      <c r="J264" s="84">
        <f t="shared" ca="1" si="22"/>
        <v>9.7770680440589784E-14</v>
      </c>
      <c r="K264" s="84">
        <f t="shared" ca="1" si="23"/>
        <v>1.1732481652870774E-14</v>
      </c>
      <c r="L264" s="83">
        <f t="shared" ca="1" si="24"/>
        <v>1.0950316209346055E-13</v>
      </c>
      <c r="M264" s="643">
        <f>INDEX(TablaCliente!_CapturaAbonoAnticipadoTablaCliente,__Amortizacion)</f>
        <v>0</v>
      </c>
      <c r="N264" s="84">
        <f t="shared" ca="1" si="25"/>
        <v>9.0949470177292824E-12</v>
      </c>
      <c r="P264" s="615" t="b">
        <f ca="1">__Saldo_Final _Anterior &gt; 0</f>
        <v>1</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c r="D265" s="616">
        <v>247</v>
      </c>
      <c r="F265" s="18">
        <f ca="1" xml:space="preserve"> ( __Saldo_Final _Anterior + T_SeguroAnual!__Saldo_Ciclico ) * ( __Stopper_Saldo_Inicial )</f>
        <v>9.0949470177292824E-12</v>
      </c>
      <c r="G265" s="83">
        <f ca="1">MIN( CHOOSE(i.Opcion.Abono, __Capital_Opcion_1, __Capital_Opcion_2, __Capital_Opcion_3) _Actual, __Saldo_Inicial _Actual)</f>
        <v>0</v>
      </c>
      <c r="H265" s="83">
        <f t="shared" ca="1" si="21"/>
        <v>3.2590226813529929E-15</v>
      </c>
      <c r="I265" s="84">
        <f ca="1">T_AutoYSeguroMulti!__Dias_Interes_Periodo</f>
        <v>30</v>
      </c>
      <c r="J265" s="84">
        <f t="shared" ca="1" si="22"/>
        <v>9.7770680440589784E-14</v>
      </c>
      <c r="K265" s="84">
        <f t="shared" ca="1" si="23"/>
        <v>1.1732481652870774E-14</v>
      </c>
      <c r="L265" s="83">
        <f t="shared" ca="1" si="24"/>
        <v>1.0950316209346055E-13</v>
      </c>
      <c r="M265" s="643">
        <f>INDEX(TablaCliente!_CapturaAbonoAnticipadoTablaCliente,__Amortizacion)</f>
        <v>0</v>
      </c>
      <c r="N265" s="84">
        <f t="shared" ca="1" si="25"/>
        <v>9.0949470177292824E-12</v>
      </c>
      <c r="P265" s="615" t="b">
        <f ca="1">__Saldo_Final _Anterior &gt; 0</f>
        <v>1</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c r="D266" s="616">
        <v>248</v>
      </c>
      <c r="F266" s="18">
        <f ca="1" xml:space="preserve"> ( __Saldo_Final _Anterior + T_SeguroAnual!__Saldo_Ciclico ) * ( __Stopper_Saldo_Inicial )</f>
        <v>9.0949470177292824E-12</v>
      </c>
      <c r="G266" s="83">
        <f ca="1">MIN( CHOOSE(i.Opcion.Abono, __Capital_Opcion_1, __Capital_Opcion_2, __Capital_Opcion_3) _Actual, __Saldo_Inicial _Actual)</f>
        <v>0</v>
      </c>
      <c r="H266" s="83">
        <f t="shared" ca="1" si="21"/>
        <v>3.2590226813529929E-15</v>
      </c>
      <c r="I266" s="84">
        <f ca="1">T_AutoYSeguroMulti!__Dias_Interes_Periodo</f>
        <v>30</v>
      </c>
      <c r="J266" s="84">
        <f t="shared" ca="1" si="22"/>
        <v>9.7770680440589784E-14</v>
      </c>
      <c r="K266" s="84">
        <f t="shared" ca="1" si="23"/>
        <v>1.1732481652870774E-14</v>
      </c>
      <c r="L266" s="83">
        <f t="shared" ca="1" si="24"/>
        <v>1.0950316209346055E-13</v>
      </c>
      <c r="M266" s="643">
        <f>INDEX(TablaCliente!_CapturaAbonoAnticipadoTablaCliente,__Amortizacion)</f>
        <v>0</v>
      </c>
      <c r="N266" s="84">
        <f t="shared" ca="1" si="25"/>
        <v>9.0949470177292824E-12</v>
      </c>
      <c r="P266" s="615" t="b">
        <f ca="1">__Saldo_Final _Anterior &gt; 0</f>
        <v>1</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c r="D267" s="616">
        <v>249</v>
      </c>
      <c r="F267" s="18">
        <f ca="1" xml:space="preserve"> ( __Saldo_Final _Anterior + T_SeguroAnual!__Saldo_Ciclico ) * ( __Stopper_Saldo_Inicial )</f>
        <v>9.0949470177292824E-12</v>
      </c>
      <c r="G267" s="83">
        <f ca="1">MIN( CHOOSE(i.Opcion.Abono, __Capital_Opcion_1, __Capital_Opcion_2, __Capital_Opcion_3) _Actual, __Saldo_Inicial _Actual)</f>
        <v>0</v>
      </c>
      <c r="H267" s="83">
        <f t="shared" ca="1" si="21"/>
        <v>3.2590226813529929E-15</v>
      </c>
      <c r="I267" s="84">
        <f ca="1">T_AutoYSeguroMulti!__Dias_Interes_Periodo</f>
        <v>30</v>
      </c>
      <c r="J267" s="84">
        <f t="shared" ca="1" si="22"/>
        <v>9.7770680440589784E-14</v>
      </c>
      <c r="K267" s="84">
        <f t="shared" ca="1" si="23"/>
        <v>1.1732481652870774E-14</v>
      </c>
      <c r="L267" s="83">
        <f t="shared" ca="1" si="24"/>
        <v>1.0950316209346055E-13</v>
      </c>
      <c r="M267" s="643">
        <f>INDEX(TablaCliente!_CapturaAbonoAnticipadoTablaCliente,__Amortizacion)</f>
        <v>0</v>
      </c>
      <c r="N267" s="84">
        <f t="shared" ca="1" si="25"/>
        <v>9.0949470177292824E-12</v>
      </c>
      <c r="P267" s="615" t="b">
        <f ca="1">__Saldo_Final _Anterior &gt; 0</f>
        <v>1</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c r="D268" s="616">
        <v>250</v>
      </c>
      <c r="F268" s="18">
        <f ca="1" xml:space="preserve"> ( __Saldo_Final _Anterior + T_SeguroAnual!__Saldo_Ciclico ) * ( __Stopper_Saldo_Inicial )</f>
        <v>9.0949470177292824E-12</v>
      </c>
      <c r="G268" s="83">
        <f ca="1">MIN( CHOOSE(i.Opcion.Abono, __Capital_Opcion_1, __Capital_Opcion_2, __Capital_Opcion_3) _Actual, __Saldo_Inicial _Actual)</f>
        <v>0</v>
      </c>
      <c r="H268" s="83">
        <f t="shared" ca="1" si="21"/>
        <v>3.2590226813529929E-15</v>
      </c>
      <c r="I268" s="84">
        <f ca="1">T_AutoYSeguroMulti!__Dias_Interes_Periodo</f>
        <v>30</v>
      </c>
      <c r="J268" s="84">
        <f t="shared" ca="1" si="22"/>
        <v>9.7770680440589784E-14</v>
      </c>
      <c r="K268" s="84">
        <f t="shared" ca="1" si="23"/>
        <v>1.1732481652870774E-14</v>
      </c>
      <c r="L268" s="83">
        <f t="shared" ca="1" si="24"/>
        <v>1.0950316209346055E-13</v>
      </c>
      <c r="M268" s="643">
        <f>INDEX(TablaCliente!_CapturaAbonoAnticipadoTablaCliente,__Amortizacion)</f>
        <v>0</v>
      </c>
      <c r="N268" s="84">
        <f t="shared" ca="1" si="25"/>
        <v>9.0949470177292824E-12</v>
      </c>
      <c r="P268" s="615" t="b">
        <f ca="1">__Saldo_Final _Anterior &gt; 0</f>
        <v>1</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c r="D269" s="616">
        <v>251</v>
      </c>
      <c r="F269" s="18">
        <f ca="1" xml:space="preserve"> ( __Saldo_Final _Anterior + T_SeguroAnual!__Saldo_Ciclico ) * ( __Stopper_Saldo_Inicial )</f>
        <v>9.0949470177292824E-12</v>
      </c>
      <c r="G269" s="83">
        <f ca="1">MIN( CHOOSE(i.Opcion.Abono, __Capital_Opcion_1, __Capital_Opcion_2, __Capital_Opcion_3) _Actual, __Saldo_Inicial _Actual)</f>
        <v>0</v>
      </c>
      <c r="H269" s="83">
        <f t="shared" ca="1" si="21"/>
        <v>3.2590226813529929E-15</v>
      </c>
      <c r="I269" s="84">
        <f ca="1">T_AutoYSeguroMulti!__Dias_Interes_Periodo</f>
        <v>30</v>
      </c>
      <c r="J269" s="84">
        <f t="shared" ca="1" si="22"/>
        <v>9.7770680440589784E-14</v>
      </c>
      <c r="K269" s="84">
        <f t="shared" ca="1" si="23"/>
        <v>1.1732481652870774E-14</v>
      </c>
      <c r="L269" s="83">
        <f t="shared" ca="1" si="24"/>
        <v>1.0950316209346055E-13</v>
      </c>
      <c r="M269" s="643">
        <f>INDEX(TablaCliente!_CapturaAbonoAnticipadoTablaCliente,__Amortizacion)</f>
        <v>0</v>
      </c>
      <c r="N269" s="84">
        <f t="shared" ca="1" si="25"/>
        <v>9.0949470177292824E-12</v>
      </c>
      <c r="P269" s="615" t="b">
        <f ca="1">__Saldo_Final _Anterior &gt; 0</f>
        <v>1</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c r="D270" s="616">
        <v>252</v>
      </c>
      <c r="F270" s="18">
        <f ca="1" xml:space="preserve"> ( __Saldo_Final _Anterior + T_SeguroAnual!__Saldo_Ciclico ) * ( __Stopper_Saldo_Inicial )</f>
        <v>9.0949470177292824E-12</v>
      </c>
      <c r="G270" s="83">
        <f ca="1">MIN( CHOOSE(i.Opcion.Abono, __Capital_Opcion_1, __Capital_Opcion_2, __Capital_Opcion_3) _Actual, __Saldo_Inicial _Actual)</f>
        <v>0</v>
      </c>
      <c r="H270" s="83">
        <f t="shared" ca="1" si="21"/>
        <v>3.2590226813529929E-15</v>
      </c>
      <c r="I270" s="84">
        <f ca="1">T_AutoYSeguroMulti!__Dias_Interes_Periodo</f>
        <v>30</v>
      </c>
      <c r="J270" s="84">
        <f t="shared" ca="1" si="22"/>
        <v>9.7770680440589784E-14</v>
      </c>
      <c r="K270" s="84">
        <f t="shared" ca="1" si="23"/>
        <v>1.1732481652870774E-14</v>
      </c>
      <c r="L270" s="83">
        <f t="shared" ca="1" si="24"/>
        <v>1.0950316209346055E-13</v>
      </c>
      <c r="M270" s="643">
        <f>INDEX(TablaCliente!_CapturaAbonoAnticipadoTablaCliente,__Amortizacion)</f>
        <v>0</v>
      </c>
      <c r="N270" s="84">
        <f t="shared" ca="1" si="25"/>
        <v>9.0949470177292824E-12</v>
      </c>
      <c r="P270" s="615" t="b">
        <f ca="1">__Saldo_Final _Anterior &gt; 0</f>
        <v>1</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c r="D271" s="616">
        <v>253</v>
      </c>
      <c r="F271" s="18">
        <f ca="1" xml:space="preserve"> ( __Saldo_Final _Anterior + T_SeguroAnual!__Saldo_Ciclico ) * ( __Stopper_Saldo_Inicial )</f>
        <v>9.0949470177292824E-12</v>
      </c>
      <c r="G271" s="83">
        <f ca="1">MIN( CHOOSE(i.Opcion.Abono, __Capital_Opcion_1, __Capital_Opcion_2, __Capital_Opcion_3) _Actual, __Saldo_Inicial _Actual)</f>
        <v>0</v>
      </c>
      <c r="H271" s="83">
        <f t="shared" ca="1" si="21"/>
        <v>3.2590226813529929E-15</v>
      </c>
      <c r="I271" s="84">
        <f ca="1">T_AutoYSeguroMulti!__Dias_Interes_Periodo</f>
        <v>30</v>
      </c>
      <c r="J271" s="84">
        <f t="shared" ca="1" si="22"/>
        <v>9.7770680440589784E-14</v>
      </c>
      <c r="K271" s="84">
        <f t="shared" ca="1" si="23"/>
        <v>1.1732481652870774E-14</v>
      </c>
      <c r="L271" s="83">
        <f t="shared" ca="1" si="24"/>
        <v>1.0950316209346055E-13</v>
      </c>
      <c r="M271" s="643">
        <f>INDEX(TablaCliente!_CapturaAbonoAnticipadoTablaCliente,__Amortizacion)</f>
        <v>0</v>
      </c>
      <c r="N271" s="84">
        <f t="shared" ca="1" si="25"/>
        <v>9.0949470177292824E-12</v>
      </c>
      <c r="P271" s="615" t="b">
        <f ca="1">__Saldo_Final _Anterior &gt; 0</f>
        <v>1</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c r="D272" s="616">
        <v>254</v>
      </c>
      <c r="F272" s="18">
        <f ca="1" xml:space="preserve"> ( __Saldo_Final _Anterior + T_SeguroAnual!__Saldo_Ciclico ) * ( __Stopper_Saldo_Inicial )</f>
        <v>9.0949470177292824E-12</v>
      </c>
      <c r="G272" s="83">
        <f ca="1">MIN( CHOOSE(i.Opcion.Abono, __Capital_Opcion_1, __Capital_Opcion_2, __Capital_Opcion_3) _Actual, __Saldo_Inicial _Actual)</f>
        <v>0</v>
      </c>
      <c r="H272" s="83">
        <f t="shared" ca="1" si="21"/>
        <v>3.2590226813529929E-15</v>
      </c>
      <c r="I272" s="84">
        <f ca="1">T_AutoYSeguroMulti!__Dias_Interes_Periodo</f>
        <v>30</v>
      </c>
      <c r="J272" s="84">
        <f t="shared" ca="1" si="22"/>
        <v>9.7770680440589784E-14</v>
      </c>
      <c r="K272" s="84">
        <f t="shared" ca="1" si="23"/>
        <v>1.1732481652870774E-14</v>
      </c>
      <c r="L272" s="83">
        <f t="shared" ca="1" si="24"/>
        <v>1.0950316209346055E-13</v>
      </c>
      <c r="M272" s="643">
        <f>INDEX(TablaCliente!_CapturaAbonoAnticipadoTablaCliente,__Amortizacion)</f>
        <v>0</v>
      </c>
      <c r="N272" s="84">
        <f t="shared" ca="1" si="25"/>
        <v>9.0949470177292824E-12</v>
      </c>
      <c r="P272" s="615" t="b">
        <f ca="1">__Saldo_Final _Anterior &gt; 0</f>
        <v>1</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c r="D273" s="616">
        <v>255</v>
      </c>
      <c r="F273" s="18">
        <f ca="1" xml:space="preserve"> ( __Saldo_Final _Anterior + T_SeguroAnual!__Saldo_Ciclico ) * ( __Stopper_Saldo_Inicial )</f>
        <v>9.0949470177292824E-12</v>
      </c>
      <c r="G273" s="83">
        <f ca="1">MIN( CHOOSE(i.Opcion.Abono, __Capital_Opcion_1, __Capital_Opcion_2, __Capital_Opcion_3) _Actual, __Saldo_Inicial _Actual)</f>
        <v>0</v>
      </c>
      <c r="H273" s="83">
        <f t="shared" ca="1" si="21"/>
        <v>3.2590226813529929E-15</v>
      </c>
      <c r="I273" s="84">
        <f ca="1">T_AutoYSeguroMulti!__Dias_Interes_Periodo</f>
        <v>30</v>
      </c>
      <c r="J273" s="84">
        <f t="shared" ca="1" si="22"/>
        <v>9.7770680440589784E-14</v>
      </c>
      <c r="K273" s="84">
        <f t="shared" ca="1" si="23"/>
        <v>1.1732481652870774E-14</v>
      </c>
      <c r="L273" s="83">
        <f t="shared" ca="1" si="24"/>
        <v>1.0950316209346055E-13</v>
      </c>
      <c r="M273" s="643">
        <f>INDEX(TablaCliente!_CapturaAbonoAnticipadoTablaCliente,__Amortizacion)</f>
        <v>0</v>
      </c>
      <c r="N273" s="84">
        <f t="shared" ca="1" si="25"/>
        <v>9.0949470177292824E-12</v>
      </c>
      <c r="P273" s="615" t="b">
        <f ca="1">__Saldo_Final _Anterior &gt; 0</f>
        <v>1</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c r="D274" s="616">
        <v>256</v>
      </c>
      <c r="F274" s="18">
        <f ca="1" xml:space="preserve"> ( __Saldo_Final _Anterior + T_SeguroAnual!__Saldo_Ciclico ) * ( __Stopper_Saldo_Inicial )</f>
        <v>9.0949470177292824E-12</v>
      </c>
      <c r="G274" s="83">
        <f ca="1">MIN( CHOOSE(i.Opcion.Abono, __Capital_Opcion_1, __Capital_Opcion_2, __Capital_Opcion_3) _Actual, __Saldo_Inicial _Actual)</f>
        <v>0</v>
      </c>
      <c r="H274" s="83">
        <f t="shared" ca="1" si="21"/>
        <v>3.2590226813529929E-15</v>
      </c>
      <c r="I274" s="84">
        <f ca="1">T_AutoYSeguroMulti!__Dias_Interes_Periodo</f>
        <v>30</v>
      </c>
      <c r="J274" s="84">
        <f t="shared" ca="1" si="22"/>
        <v>9.7770680440589784E-14</v>
      </c>
      <c r="K274" s="84">
        <f t="shared" ca="1" si="23"/>
        <v>1.1732481652870774E-14</v>
      </c>
      <c r="L274" s="83">
        <f t="shared" ca="1" si="24"/>
        <v>1.0950316209346055E-13</v>
      </c>
      <c r="M274" s="643">
        <f>INDEX(TablaCliente!_CapturaAbonoAnticipadoTablaCliente,__Amortizacion)</f>
        <v>0</v>
      </c>
      <c r="N274" s="84">
        <f t="shared" ca="1" si="25"/>
        <v>9.0949470177292824E-12</v>
      </c>
      <c r="P274" s="615" t="b">
        <f ca="1">__Saldo_Final _Anterior &gt; 0</f>
        <v>1</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c r="D275" s="616">
        <v>257</v>
      </c>
      <c r="F275" s="18">
        <f ca="1" xml:space="preserve"> ( __Saldo_Final _Anterior + T_SeguroAnual!__Saldo_Ciclico ) * ( __Stopper_Saldo_Inicial )</f>
        <v>9.0949470177292824E-12</v>
      </c>
      <c r="G275" s="83">
        <f ca="1">MIN( CHOOSE(i.Opcion.Abono, __Capital_Opcion_1, __Capital_Opcion_2, __Capital_Opcion_3) _Actual, __Saldo_Inicial _Actual)</f>
        <v>0</v>
      </c>
      <c r="H275" s="83">
        <f t="shared" ca="1" si="21"/>
        <v>3.2590226813529929E-15</v>
      </c>
      <c r="I275" s="84">
        <f ca="1">T_AutoYSeguroMulti!__Dias_Interes_Periodo</f>
        <v>30</v>
      </c>
      <c r="J275" s="84">
        <f t="shared" ca="1" si="22"/>
        <v>9.7770680440589784E-14</v>
      </c>
      <c r="K275" s="84">
        <f t="shared" ca="1" si="23"/>
        <v>1.1732481652870774E-14</v>
      </c>
      <c r="L275" s="83">
        <f t="shared" ca="1" si="24"/>
        <v>1.0950316209346055E-13</v>
      </c>
      <c r="M275" s="643">
        <f>INDEX(TablaCliente!_CapturaAbonoAnticipadoTablaCliente,__Amortizacion)</f>
        <v>0</v>
      </c>
      <c r="N275" s="84">
        <f t="shared" ca="1" si="25"/>
        <v>9.0949470177292824E-12</v>
      </c>
      <c r="P275" s="615" t="b">
        <f ca="1">__Saldo_Final _Anterior &gt; 0</f>
        <v>1</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c r="D276" s="616">
        <v>258</v>
      </c>
      <c r="F276" s="18">
        <f ca="1" xml:space="preserve"> ( __Saldo_Final _Anterior + T_SeguroAnual!__Saldo_Ciclico ) * ( __Stopper_Saldo_Inicial )</f>
        <v>9.0949470177292824E-12</v>
      </c>
      <c r="G276" s="83">
        <f ca="1">MIN( CHOOSE(i.Opcion.Abono, __Capital_Opcion_1, __Capital_Opcion_2, __Capital_Opcion_3) _Actual, __Saldo_Inicial _Actual)</f>
        <v>0</v>
      </c>
      <c r="H276" s="83">
        <f t="shared" ca="1" si="21"/>
        <v>3.2590226813529929E-15</v>
      </c>
      <c r="I276" s="84">
        <f ca="1">T_AutoYSeguroMulti!__Dias_Interes_Periodo</f>
        <v>30</v>
      </c>
      <c r="J276" s="84">
        <f t="shared" ca="1" si="22"/>
        <v>9.7770680440589784E-14</v>
      </c>
      <c r="K276" s="84">
        <f t="shared" ca="1" si="23"/>
        <v>1.1732481652870774E-14</v>
      </c>
      <c r="L276" s="83">
        <f t="shared" ca="1" si="24"/>
        <v>1.0950316209346055E-13</v>
      </c>
      <c r="M276" s="643">
        <f>INDEX(TablaCliente!_CapturaAbonoAnticipadoTablaCliente,__Amortizacion)</f>
        <v>0</v>
      </c>
      <c r="N276" s="84">
        <f t="shared" ca="1" si="25"/>
        <v>9.0949470177292824E-12</v>
      </c>
      <c r="P276" s="615" t="b">
        <f ca="1">__Saldo_Final _Anterior &gt; 0</f>
        <v>1</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c r="D277" s="616">
        <v>259</v>
      </c>
      <c r="F277" s="18">
        <f ca="1" xml:space="preserve"> ( __Saldo_Final _Anterior + T_SeguroAnual!__Saldo_Ciclico ) * ( __Stopper_Saldo_Inicial )</f>
        <v>9.0949470177292824E-12</v>
      </c>
      <c r="G277" s="83">
        <f ca="1">MIN( CHOOSE(i.Opcion.Abono, __Capital_Opcion_1, __Capital_Opcion_2, __Capital_Opcion_3) _Actual, __Saldo_Inicial _Actual)</f>
        <v>0</v>
      </c>
      <c r="H277" s="83">
        <f t="shared" ca="1" si="21"/>
        <v>3.2590226813529929E-15</v>
      </c>
      <c r="I277" s="84">
        <f ca="1">T_AutoYSeguroMulti!__Dias_Interes_Periodo</f>
        <v>30</v>
      </c>
      <c r="J277" s="84">
        <f t="shared" ca="1" si="22"/>
        <v>9.7770680440589784E-14</v>
      </c>
      <c r="K277" s="84">
        <f t="shared" ca="1" si="23"/>
        <v>1.1732481652870774E-14</v>
      </c>
      <c r="L277" s="83">
        <f t="shared" ca="1" si="24"/>
        <v>1.0950316209346055E-13</v>
      </c>
      <c r="M277" s="643">
        <f>INDEX(TablaCliente!_CapturaAbonoAnticipadoTablaCliente,__Amortizacion)</f>
        <v>0</v>
      </c>
      <c r="N277" s="84">
        <f t="shared" ca="1" si="25"/>
        <v>9.0949470177292824E-12</v>
      </c>
      <c r="P277" s="615" t="b">
        <f ca="1">__Saldo_Final _Anterior &gt; 0</f>
        <v>1</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c r="D278" s="616">
        <v>260</v>
      </c>
      <c r="F278" s="18">
        <f ca="1" xml:space="preserve"> ( __Saldo_Final _Anterior + T_SeguroAnual!__Saldo_Ciclico ) * ( __Stopper_Saldo_Inicial )</f>
        <v>9.0949470177292824E-12</v>
      </c>
      <c r="G278" s="83">
        <f ca="1">MIN( CHOOSE(i.Opcion.Abono, __Capital_Opcion_1, __Capital_Opcion_2, __Capital_Opcion_3) _Actual, __Saldo_Inicial _Actual)</f>
        <v>0</v>
      </c>
      <c r="H278" s="83">
        <f t="shared" ca="1" si="21"/>
        <v>3.2590226813529929E-15</v>
      </c>
      <c r="I278" s="84">
        <f ca="1">T_AutoYSeguroMulti!__Dias_Interes_Periodo</f>
        <v>30</v>
      </c>
      <c r="J278" s="84">
        <f t="shared" ca="1" si="22"/>
        <v>9.7770680440589784E-14</v>
      </c>
      <c r="K278" s="84">
        <f t="shared" ca="1" si="23"/>
        <v>1.1732481652870774E-14</v>
      </c>
      <c r="L278" s="83">
        <f t="shared" ca="1" si="24"/>
        <v>1.0950316209346055E-13</v>
      </c>
      <c r="M278" s="643">
        <f>INDEX(TablaCliente!_CapturaAbonoAnticipadoTablaCliente,__Amortizacion)</f>
        <v>0</v>
      </c>
      <c r="N278" s="84">
        <f t="shared" ca="1" si="25"/>
        <v>9.0949470177292824E-12</v>
      </c>
      <c r="P278" s="615" t="b">
        <f ca="1">__Saldo_Final _Anterior &gt; 0</f>
        <v>1</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5">
        <v>0</v>
      </c>
      <c r="W278" s="615"/>
      <c r="X278" s="84">
        <v>0</v>
      </c>
      <c r="Y278" s="84">
        <v>0</v>
      </c>
      <c r="Z278" s="84"/>
      <c r="AA278" s="84">
        <f ca="1" xml:space="preserve"> T_SeguroAnual!__Abono_Sobrante</f>
        <v>0</v>
      </c>
      <c r="AB278" s="84">
        <f t="shared" si="27"/>
        <v>0</v>
      </c>
      <c r="AD278" s="84">
        <f ca="1"/>
        <v>0</v>
      </c>
      <c r="AE278" s="84">
        <f ca="1"/>
        <v>0</v>
      </c>
    </row>
    <row r="279" spans="4:31">
      <c r="M279" s="643"/>
    </row>
    <row r="280" spans="4:31">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7" t="s">
        <v>35</v>
      </c>
      <c r="T13" s="1007"/>
      <c r="U13" s="1007"/>
      <c r="V13" s="1007"/>
      <c r="X13" s="1001" t="s">
        <v>47</v>
      </c>
      <c r="Y13" s="1002"/>
      <c r="Z13" s="1002"/>
      <c r="AA13" s="1002"/>
      <c r="AB13" s="1003"/>
      <c r="AD13" s="1001" t="s">
        <v>1653</v>
      </c>
      <c r="AE13" s="1003"/>
      <c r="AG13" s="1007" t="s">
        <v>40</v>
      </c>
      <c r="AH13" s="1007"/>
      <c r="AI13" s="1007"/>
      <c r="AJ13" s="1007"/>
      <c r="AK13" s="1007"/>
      <c r="AL13" s="1007"/>
      <c r="AM13" s="1007"/>
      <c r="AN13" s="615"/>
      <c r="AO13" s="1001" t="s">
        <v>1658</v>
      </c>
      <c r="AP13" s="1002"/>
      <c r="AQ13" s="1002"/>
      <c r="AR13" s="1002"/>
      <c r="AS13" s="1002"/>
      <c r="AT13" s="1003"/>
      <c r="AV13" s="1001" t="s">
        <v>1645</v>
      </c>
      <c r="AW13" s="1002"/>
      <c r="AX13" s="1002"/>
      <c r="AY13" s="1003"/>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Tablas'!B9</f>
        <v>30</v>
      </c>
      <c r="D17" s="617" t="s">
        <v>1642</v>
      </c>
      <c r="G17" s="616"/>
      <c r="H17" s="616"/>
      <c r="I17" s="261">
        <f ca="1">SUM(__Capital)</f>
        <v>141000</v>
      </c>
      <c r="J17" s="261"/>
      <c r="K17" s="261"/>
      <c r="L17" s="261"/>
      <c r="M17" s="261">
        <f ca="1">SUM(__Interes)</f>
        <v>9866.3761809515454</v>
      </c>
      <c r="N17" s="261">
        <f ca="1">SUM(__Iva)</f>
        <v>1183.9651417141854</v>
      </c>
      <c r="P17" s="261">
        <f ca="1">SUM(__Abono_Anticipado)</f>
        <v>0</v>
      </c>
      <c r="Q17" s="616"/>
      <c r="R17" s="615"/>
      <c r="S17" s="97"/>
      <c r="T17" s="261">
        <f ca="1">SUM(__Abono_Sobrante) - (SUM(__Abono_Sobrante_Ciclo_Anterior)*_Renueva.Abono.Sobrante?)</f>
        <v>0</v>
      </c>
      <c r="U17" s="261"/>
      <c r="V17" s="97"/>
      <c r="Y17" s="615"/>
      <c r="AL17" s="261">
        <f ca="1">SUM(__Capital_Original)</f>
        <v>141000</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Tablas'!B11</f>
        <v>12</v>
      </c>
      <c r="D19" s="616">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0">
        <f ca="1">MAX( __Capital_Elegida _Actual, __Stopper_Capital _Actual)</f>
        <v>10992.084443555425</v>
      </c>
      <c r="J19" s="644">
        <f t="shared" ref="J19:J82" ca="1" si="1">__Saldo_Inicial * _Tasa.Diaria</f>
        <v>50.524999999999999</v>
      </c>
      <c r="K19" s="644">
        <f t="shared" ref="K19:K82" ca="1" si="2" xml:space="preserve"> __Interes_Diario * i.Dias.Por.Periodo</f>
        <v>1515.75</v>
      </c>
      <c r="L19" s="640">
        <f ca="1">Fechas!_Dias_Interes_Pago</f>
        <v>26</v>
      </c>
      <c r="M19" s="18">
        <f t="shared" ref="M19:M82" ca="1" si="3">__Interes_Diario * __Dias_Interes_Periodo</f>
        <v>1313.6499999999999</v>
      </c>
      <c r="N19" s="18">
        <f t="shared" ref="N19:N82" ca="1" si="4">__Interes *i.Iva.Intereses</f>
        <v>157.63799999999998</v>
      </c>
      <c r="O19" s="18">
        <f t="shared" ref="O19:O82" ca="1" si="5">__Capital + __Interes + __Iva</f>
        <v>12463.372443555425</v>
      </c>
      <c r="P19" s="643">
        <f ca="1">T_Merger!__Salida_Abono_1</f>
        <v>0</v>
      </c>
      <c r="Q19" s="18">
        <f t="shared" ref="Q19:Q82" ca="1" si="6">MAX( __Saldo_Inicial - __Capital-__Abono_Anticipado,0)</f>
        <v>130007.91555644458</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1313.6499999999999</v>
      </c>
      <c r="AK19" s="18">
        <f t="shared" ref="AK19:AK82" ca="1" si="17">__Saldo_Inicial_Original * ( __Amortizacion = i.Numero.Pagos )</f>
        <v>0</v>
      </c>
      <c r="AL19" s="641">
        <f ca="1">MAX( ((( __Pago_Fijo - (__Interes_Regular_Original * (1 + i.Iva.Intereses)) ))), __Stopper_Capital_Original _Actual )</f>
        <v>10992.084443555425</v>
      </c>
      <c r="AM19" s="84">
        <f ca="1">MAX(__Saldo_Inicial_Original _Actual - __Capital_Original _Actual, 0)</f>
        <v>130007.91555644458</v>
      </c>
      <c r="AN19" s="615"/>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1">
        <f t="shared" ref="AS19:AS82" ca="1" si="21">__Pago_Proyectado - ( __Interes_Periodo_Regular * ( 1 + i.Iva.Intereses ) )</f>
        <v>10992.084443555425</v>
      </c>
      <c r="AT19" s="641">
        <f t="shared" ref="AT19:AT82" ca="1" si="22">__Pago_Fijo - ( __Interes_Periodo_Regular * ( 1 + i.Iva.Intereses ) )</f>
        <v>10992.084443555425</v>
      </c>
      <c r="AU19" s="94"/>
      <c r="AV19" s="18">
        <f t="shared" ref="AV19:AV82" ca="1" si="23">__Interes_Diario_Original</f>
        <v>50.524999999999999</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Tablas'!B12</f>
        <v>0.12</v>
      </c>
      <c r="D20" s="616">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0">
        <f ca="1">MAX( __Capital_Elegida _Actual, __Stopper_Capital _Actual)</f>
        <v>11124.42914025583</v>
      </c>
      <c r="J20" s="644">
        <f t="shared" ca="1" si="1"/>
        <v>46.586169741059308</v>
      </c>
      <c r="K20" s="644">
        <f t="shared" ca="1" si="2"/>
        <v>1397.5850922317793</v>
      </c>
      <c r="L20" s="640">
        <f ca="1">Fechas!_Dias_Interes_Pago</f>
        <v>30</v>
      </c>
      <c r="M20" s="18">
        <f t="shared" ca="1" si="3"/>
        <v>1397.5850922317793</v>
      </c>
      <c r="N20" s="18">
        <f t="shared" ca="1" si="4"/>
        <v>167.7102110678135</v>
      </c>
      <c r="O20" s="18">
        <f t="shared" ca="1" si="5"/>
        <v>12689.724443555422</v>
      </c>
      <c r="P20" s="643">
        <f ca="1">T_Merger!__Salida_Abono_1</f>
        <v>0</v>
      </c>
      <c r="Q20" s="18">
        <f t="shared" ca="1" si="6"/>
        <v>118883.48641618875</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1">
        <f ca="1">MAX( ((( __Pago_Fijo - (__Interes_Regular_Original * (1 + i.Iva.Intereses)) ))), __Stopper_Capital_Original _Actual )</f>
        <v>11124.42914025583</v>
      </c>
      <c r="AM20" s="84">
        <f ca="1">MAX(__Saldo_Inicial_Original _Actual - __Capital_Original _Actual, 0)</f>
        <v>118883.48641618875</v>
      </c>
      <c r="AN20" s="615"/>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1">
        <f t="shared" ca="1" si="21"/>
        <v>11124.42914025583</v>
      </c>
      <c r="AT20" s="641">
        <f t="shared" ca="1" si="22"/>
        <v>11124.42914025583</v>
      </c>
      <c r="AV20" s="18">
        <f t="shared" ca="1" si="23"/>
        <v>46.586169741059308</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Tablas'!B13</f>
        <v>0.129</v>
      </c>
      <c r="D21" s="616">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0">
        <f ca="1">MAX( __Capital_Elegida _Actual, __Stopper_Capital _Actual)</f>
        <v>11258.367267104511</v>
      </c>
      <c r="J21" s="644">
        <f t="shared" ca="1" si="1"/>
        <v>42.599915965800967</v>
      </c>
      <c r="K21" s="644">
        <f t="shared" ca="1" si="2"/>
        <v>1277.997478974029</v>
      </c>
      <c r="L21" s="640">
        <f ca="1">Fechas!_Dias_Interes_Pago</f>
        <v>30</v>
      </c>
      <c r="M21" s="18">
        <f t="shared" ca="1" si="3"/>
        <v>1277.997478974029</v>
      </c>
      <c r="N21" s="18">
        <f t="shared" ca="1" si="4"/>
        <v>153.35969747688347</v>
      </c>
      <c r="O21" s="18">
        <f t="shared" ca="1" si="5"/>
        <v>12689.724443555424</v>
      </c>
      <c r="P21" s="643">
        <f ca="1">T_Merger!__Salida_Abono_1</f>
        <v>0</v>
      </c>
      <c r="Q21" s="18">
        <f t="shared" ca="1" si="6"/>
        <v>107625.11914908425</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1">
        <f ca="1">MAX( ((( __Pago_Fijo - (__Interes_Regular_Original * (1 + i.Iva.Intereses)) ))), __Stopper_Capital_Original _Actual )</f>
        <v>11258.367267104511</v>
      </c>
      <c r="AM21" s="84">
        <f ca="1">MAX(__Saldo_Inicial_Original _Actual - __Capital_Original _Actual, 0)</f>
        <v>107625.11914908425</v>
      </c>
      <c r="AN21" s="615"/>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1">
        <f t="shared" ca="1" si="21"/>
        <v>11258.367267104511</v>
      </c>
      <c r="AT21" s="641">
        <f t="shared" ca="1" si="22"/>
        <v>11258.367267104511</v>
      </c>
      <c r="AV21" s="18">
        <f t="shared" ca="1" si="23"/>
        <v>42.599915965800967</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Tablas'!B14</f>
        <v>360</v>
      </c>
      <c r="D22" s="616">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0">
        <f ca="1">MAX( __Capital_Elegida _Actual, __Stopper_Capital _Actual)</f>
        <v>11393.91800900045</v>
      </c>
      <c r="J22" s="644">
        <f t="shared" ca="1" si="1"/>
        <v>38.565667695088521</v>
      </c>
      <c r="K22" s="644">
        <f t="shared" ca="1" si="2"/>
        <v>1156.9700308526556</v>
      </c>
      <c r="L22" s="640">
        <f ca="1">Fechas!_Dias_Interes_Pago</f>
        <v>30</v>
      </c>
      <c r="M22" s="18">
        <f t="shared" ca="1" si="3"/>
        <v>1156.9700308526556</v>
      </c>
      <c r="N22" s="18">
        <f t="shared" ca="1" si="4"/>
        <v>138.83640370231865</v>
      </c>
      <c r="O22" s="18">
        <f t="shared" ca="1" si="5"/>
        <v>12689.724443555424</v>
      </c>
      <c r="P22" s="643">
        <f ca="1">T_Merger!__Salida_Abono_1</f>
        <v>0</v>
      </c>
      <c r="Q22" s="18">
        <f t="shared" ca="1" si="6"/>
        <v>96231.201140083795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1">
        <f ca="1">MAX( ((( __Pago_Fijo - (__Interes_Regular_Original * (1 + i.Iva.Intereses)) ))), __Stopper_Capital_Original _Actual )</f>
        <v>11393.91800900045</v>
      </c>
      <c r="AM22" s="84">
        <f ca="1">MAX(__Saldo_Inicial_Original _Actual - __Capital_Original _Actual, 0)</f>
        <v>96231.201140083795</v>
      </c>
      <c r="AN22" s="615"/>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1">
        <f t="shared" ca="1" si="21"/>
        <v>11393.91800900045</v>
      </c>
      <c r="AT22" s="641">
        <f t="shared" ca="1" si="22"/>
        <v>11393.91800900045</v>
      </c>
      <c r="AV22" s="18">
        <f t="shared" ca="1" si="23"/>
        <v>38.565667695088521</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Tablas'!B15</f>
        <v>Fechas!_Dias_Interes_Pago</v>
      </c>
      <c r="D23" s="616">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0">
        <f ca="1">MAX( __Capital_Elegida _Actual, __Stopper_Capital _Actual)</f>
        <v>11531.100781828814</v>
      </c>
      <c r="J23" s="644">
        <f t="shared" ca="1" si="1"/>
        <v>34.482847075196695</v>
      </c>
      <c r="K23" s="644">
        <f t="shared" ca="1" si="2"/>
        <v>1034.4854122559009</v>
      </c>
      <c r="L23" s="640">
        <f ca="1">Fechas!_Dias_Interes_Pago</f>
        <v>30</v>
      </c>
      <c r="M23" s="18">
        <f t="shared" ca="1" si="3"/>
        <v>1034.4854122559009</v>
      </c>
      <c r="N23" s="18">
        <f t="shared" ca="1" si="4"/>
        <v>124.1382494707081</v>
      </c>
      <c r="O23" s="18">
        <f t="shared" ca="1" si="5"/>
        <v>12689.724443555424</v>
      </c>
      <c r="P23" s="643">
        <f ca="1">T_Merger!__Salida_Abono_1</f>
        <v>0</v>
      </c>
      <c r="Q23" s="18">
        <f t="shared" ca="1" si="6"/>
        <v>84700.100358254975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1">
        <f ca="1">MAX( ((( __Pago_Fijo - (__Interes_Regular_Original * (1 + i.Iva.Intereses)) ))), __Stopper_Capital_Original _Actual )</f>
        <v>11531.100781828814</v>
      </c>
      <c r="AM23" s="84">
        <f ca="1">MAX(__Saldo_Inicial_Original _Actual - __Capital_Original _Actual, 0)</f>
        <v>84700.100358254975</v>
      </c>
      <c r="AN23" s="615"/>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1">
        <f t="shared" ca="1" si="21"/>
        <v>11531.100781828814</v>
      </c>
      <c r="AT23" s="641">
        <f t="shared" ca="1" si="22"/>
        <v>11531.100781828814</v>
      </c>
      <c r="AV23" s="18">
        <f t="shared" ca="1" si="23"/>
        <v>34.482847075196695</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Tablas'!B16</f>
        <v>0</v>
      </c>
      <c r="D24" s="616">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0">
        <f ca="1">MAX( __Capital_Elegida _Actual, __Stopper_Capital _Actual)</f>
        <v>11669.935235242034</v>
      </c>
      <c r="J24" s="644">
        <f t="shared" ca="1" si="1"/>
        <v>30.350869295041367</v>
      </c>
      <c r="K24" s="644">
        <f t="shared" ca="1" si="2"/>
        <v>910.52607885124098</v>
      </c>
      <c r="L24" s="640">
        <f ca="1">Fechas!_Dias_Interes_Pago</f>
        <v>30</v>
      </c>
      <c r="M24" s="18">
        <f t="shared" ca="1" si="3"/>
        <v>910.52607885124098</v>
      </c>
      <c r="N24" s="18">
        <f t="shared" ca="1" si="4"/>
        <v>109.26312946214891</v>
      </c>
      <c r="O24" s="18">
        <f t="shared" ca="1" si="5"/>
        <v>12689.724443555424</v>
      </c>
      <c r="P24" s="643">
        <f ca="1">T_Merger!__Salida_Abono_1</f>
        <v>0</v>
      </c>
      <c r="Q24" s="18">
        <f t="shared" ca="1" si="6"/>
        <v>73030.165123012936</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1">
        <f ca="1">MAX( ((( __Pago_Fijo - (__Interes_Regular_Original * (1 + i.Iva.Intereses)) ))), __Stopper_Capital_Original _Actual )</f>
        <v>11669.935235242034</v>
      </c>
      <c r="AM24" s="84">
        <f ca="1">MAX(__Saldo_Inicial_Original _Actual - __Capital_Original _Actual, 0)</f>
        <v>73030.165123012936</v>
      </c>
      <c r="AN24" s="615"/>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1">
        <f t="shared" ca="1" si="21"/>
        <v>11669.935235242034</v>
      </c>
      <c r="AT24" s="641">
        <f t="shared" ca="1" si="22"/>
        <v>11669.935235242034</v>
      </c>
      <c r="AV24" s="18">
        <f t="shared" ca="1" si="23"/>
        <v>30.350869295041367</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Tablas'!B17</f>
        <v>151.10550000000001</v>
      </c>
      <c r="D25" s="616">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0">
        <f ca="1">MAX( __Capital_Elegida _Actual, __Stopper_Capital _Actual)</f>
        <v>11810.441255474349</v>
      </c>
      <c r="J25" s="644">
        <f t="shared" ca="1" si="1"/>
        <v>26.169142502412967</v>
      </c>
      <c r="K25" s="644">
        <f t="shared" ca="1" si="2"/>
        <v>785.07427507238901</v>
      </c>
      <c r="L25" s="640">
        <f ca="1">Fechas!_Dias_Interes_Pago</f>
        <v>30</v>
      </c>
      <c r="M25" s="18">
        <f t="shared" ca="1" si="3"/>
        <v>785.07427507238901</v>
      </c>
      <c r="N25" s="18">
        <f t="shared" ca="1" si="4"/>
        <v>94.208913008686679</v>
      </c>
      <c r="O25" s="18">
        <f t="shared" ca="1" si="5"/>
        <v>12689.724443555424</v>
      </c>
      <c r="P25" s="643">
        <f ca="1">T_Merger!__Salida_Abono_1</f>
        <v>0</v>
      </c>
      <c r="Q25" s="18">
        <f t="shared" ca="1" si="6"/>
        <v>61219.723867538589</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1">
        <f ca="1">MAX( ((( __Pago_Fijo - (__Interes_Regular_Original * (1 + i.Iva.Intereses)) ))), __Stopper_Capital_Original _Actual )</f>
        <v>11810.441255474349</v>
      </c>
      <c r="AM25" s="84">
        <f ca="1">MAX(__Saldo_Inicial_Original _Actual - __Capital_Original _Actual, 0)</f>
        <v>61219.723867538589</v>
      </c>
      <c r="AN25" s="615"/>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1">
        <f t="shared" ca="1" si="21"/>
        <v>11810.441255474349</v>
      </c>
      <c r="AT25" s="641">
        <f t="shared" ca="1" si="22"/>
        <v>11810.441255474349</v>
      </c>
      <c r="AV25" s="18">
        <f t="shared" ca="1" si="23"/>
        <v>26.169142502412967</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Tablas'!B18</f>
        <v>1</v>
      </c>
      <c r="D26" s="616">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0">
        <f ca="1">MAX( __Capital_Elegida _Actual, __Stopper_Capital _Actual)</f>
        <v>11952.638968190258</v>
      </c>
      <c r="J26" s="644">
        <f t="shared" ca="1" si="1"/>
        <v>21.937067719201327</v>
      </c>
      <c r="K26" s="644">
        <f t="shared" ca="1" si="2"/>
        <v>658.11203157603984</v>
      </c>
      <c r="L26" s="640">
        <f ca="1">Fechas!_Dias_Interes_Pago</f>
        <v>30</v>
      </c>
      <c r="M26" s="18">
        <f t="shared" ca="1" si="3"/>
        <v>658.11203157603984</v>
      </c>
      <c r="N26" s="18">
        <f t="shared" ca="1" si="4"/>
        <v>78.973443789124772</v>
      </c>
      <c r="O26" s="18">
        <f t="shared" ca="1" si="5"/>
        <v>12689.724443555424</v>
      </c>
      <c r="P26" s="643">
        <f ca="1">T_Merger!__Salida_Abono_1</f>
        <v>0</v>
      </c>
      <c r="Q26" s="18">
        <f t="shared" ca="1" si="6"/>
        <v>49267.084899348331</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1">
        <f ca="1">MAX( ((( __Pago_Fijo - (__Interes_Regular_Original * (1 + i.Iva.Intereses)) ))), __Stopper_Capital_Original _Actual )</f>
        <v>11952.638968190258</v>
      </c>
      <c r="AM26" s="84">
        <f ca="1">MAX(__Saldo_Inicial_Original _Actual - __Capital_Original _Actual, 0)</f>
        <v>49267.084899348331</v>
      </c>
      <c r="AN26" s="615"/>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1">
        <f t="shared" ca="1" si="21"/>
        <v>11952.638968190258</v>
      </c>
      <c r="AT26" s="641">
        <f t="shared" ca="1" si="22"/>
        <v>11952.638968190258</v>
      </c>
      <c r="AV26" s="18">
        <f t="shared" ca="1" si="23"/>
        <v>21.937067719201327</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Tablas'!B19</f>
        <v>T_Merger!__Salida_Abono_1</v>
      </c>
      <c r="D27" s="616">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0">
        <f ca="1">MAX( __Capital_Elegida _Actual, __Stopper_Capital _Actual)</f>
        <v>12096.548741367271</v>
      </c>
      <c r="J27" s="644">
        <f t="shared" ca="1" si="1"/>
        <v>17.654038755599817</v>
      </c>
      <c r="K27" s="644">
        <f t="shared" ca="1" si="2"/>
        <v>529.62116266799455</v>
      </c>
      <c r="L27" s="640">
        <f ca="1">Fechas!_Dias_Interes_Pago</f>
        <v>30</v>
      </c>
      <c r="M27" s="18">
        <f t="shared" ca="1" si="3"/>
        <v>529.62116266799455</v>
      </c>
      <c r="N27" s="18">
        <f t="shared" ca="1" si="4"/>
        <v>63.554539520159345</v>
      </c>
      <c r="O27" s="18">
        <f t="shared" ca="1" si="5"/>
        <v>12689.724443555424</v>
      </c>
      <c r="P27" s="643">
        <f ca="1">T_Merger!__Salida_Abono_1</f>
        <v>0</v>
      </c>
      <c r="Q27" s="18">
        <f t="shared" ca="1" si="6"/>
        <v>37170.536157981056</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1">
        <f ca="1">MAX( ((( __Pago_Fijo - (__Interes_Regular_Original * (1 + i.Iva.Intereses)) ))), __Stopper_Capital_Original _Actual )</f>
        <v>12096.548741367271</v>
      </c>
      <c r="AM27" s="84">
        <f ca="1">MAX(__Saldo_Inicial_Original _Actual - __Capital_Original _Actual, 0)</f>
        <v>37170.536157981056</v>
      </c>
      <c r="AN27" s="615"/>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1">
        <f t="shared" ca="1" si="21"/>
        <v>12096.548741367271</v>
      </c>
      <c r="AT27" s="641">
        <f t="shared" ca="1" si="22"/>
        <v>12096.548741367271</v>
      </c>
      <c r="AV27" s="18">
        <f t="shared" ca="1" si="23"/>
        <v>17.654038755599817</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Tablas'!B20</f>
        <v>-</v>
      </c>
      <c r="D28" s="616">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0">
        <f ca="1">MAX( __Capital_Elegida _Actual, __Stopper_Capital _Actual)</f>
        <v>12242.191188213332</v>
      </c>
      <c r="J28" s="644">
        <f t="shared" ca="1" si="1"/>
        <v>13.319442123276545</v>
      </c>
      <c r="K28" s="644">
        <f t="shared" ca="1" si="2"/>
        <v>399.58326369829638</v>
      </c>
      <c r="L28" s="640">
        <f ca="1">Fechas!_Dias_Interes_Pago</f>
        <v>30</v>
      </c>
      <c r="M28" s="18">
        <f t="shared" ca="1" si="3"/>
        <v>399.58326369829638</v>
      </c>
      <c r="N28" s="18">
        <f t="shared" ca="1" si="4"/>
        <v>47.949991643795563</v>
      </c>
      <c r="O28" s="18">
        <f t="shared" ca="1" si="5"/>
        <v>12689.724443555424</v>
      </c>
      <c r="P28" s="643">
        <f ca="1">T_Merger!__Salida_Abono_1</f>
        <v>0</v>
      </c>
      <c r="Q28" s="18">
        <f t="shared" ca="1" si="6"/>
        <v>24928.344969767724</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1">
        <f ca="1">MAX( ((( __Pago_Fijo - (__Interes_Regular_Original * (1 + i.Iva.Intereses)) ))), __Stopper_Capital_Original _Actual )</f>
        <v>12242.191188213332</v>
      </c>
      <c r="AM28" s="84">
        <f ca="1">MAX(__Saldo_Inicial_Original _Actual - __Capital_Original _Actual, 0)</f>
        <v>24928.344969767724</v>
      </c>
      <c r="AN28" s="615"/>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1">
        <f t="shared" ca="1" si="21"/>
        <v>12242.191188213332</v>
      </c>
      <c r="AT28" s="641">
        <f t="shared" ca="1" si="22"/>
        <v>12242.191188213332</v>
      </c>
      <c r="AV28" s="18">
        <f t="shared" ca="1" si="23"/>
        <v>13.319442123276545</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0">
        <f ca="1">MAX( __Capital_Elegida _Actual, __Stopper_Capital _Actual)</f>
        <v>12389.587170119421</v>
      </c>
      <c r="J29" s="644">
        <f t="shared" ca="1" si="1"/>
        <v>8.9326569475001012</v>
      </c>
      <c r="K29" s="644">
        <f t="shared" ca="1" si="2"/>
        <v>267.97970842500303</v>
      </c>
      <c r="L29" s="640">
        <f ca="1">Fechas!_Dias_Interes_Pago</f>
        <v>30</v>
      </c>
      <c r="M29" s="18">
        <f t="shared" ca="1" si="3"/>
        <v>267.97970842500303</v>
      </c>
      <c r="N29" s="18">
        <f t="shared" ca="1" si="4"/>
        <v>32.157565011000365</v>
      </c>
      <c r="O29" s="18">
        <f t="shared" ca="1" si="5"/>
        <v>12689.724443555424</v>
      </c>
      <c r="P29" s="643">
        <f ca="1">T_Merger!__Salida_Abono_1</f>
        <v>0</v>
      </c>
      <c r="Q29" s="18">
        <f t="shared" ca="1" si="6"/>
        <v>12538.757799648303</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1">
        <f ca="1">MAX( ((( __Pago_Fijo - (__Interes_Regular_Original * (1 + i.Iva.Intereses)) ))), __Stopper_Capital_Original _Actual )</f>
        <v>12389.587170119421</v>
      </c>
      <c r="AM29" s="84">
        <f ca="1">MAX(__Saldo_Inicial_Original _Actual - __Capital_Original _Actual, 0)</f>
        <v>12538.757799648303</v>
      </c>
      <c r="AN29" s="615"/>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1">
        <f t="shared" ca="1" si="21"/>
        <v>12389.587170119421</v>
      </c>
      <c r="AT29" s="641">
        <f t="shared" ca="1" si="22"/>
        <v>12389.587170119421</v>
      </c>
      <c r="AV29" s="18">
        <f t="shared" ca="1" si="23"/>
        <v>8.9326569475001012</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0">
        <f ca="1">MAX( __Capital_Elegida _Actual, __Stopper_Capital _Actual)</f>
        <v>12538.757799648303</v>
      </c>
      <c r="J30" s="644">
        <f t="shared" ca="1" si="1"/>
        <v>4.4930548782073085</v>
      </c>
      <c r="K30" s="644">
        <f t="shared" ca="1" si="2"/>
        <v>134.79164634621927</v>
      </c>
      <c r="L30" s="640">
        <f ca="1">Fechas!_Dias_Interes_Pago</f>
        <v>30</v>
      </c>
      <c r="M30" s="18">
        <f t="shared" ca="1" si="3"/>
        <v>134.79164634621927</v>
      </c>
      <c r="N30" s="18">
        <f t="shared" ca="1" si="4"/>
        <v>16.174997561546313</v>
      </c>
      <c r="O30" s="18">
        <f t="shared" ca="1" si="5"/>
        <v>12689.724443556068</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1">
        <f ca="1">MAX( ((( __Pago_Fijo - (__Interes_Regular_Original * (1 + i.Iva.Intereses)) ))), __Stopper_Capital_Original _Actual )</f>
        <v>12538.757799648303</v>
      </c>
      <c r="AM30" s="84">
        <f ca="1">MAX(__Saldo_Inicial_Original _Actual - __Capital_Original _Actual, 0)</f>
        <v>0</v>
      </c>
      <c r="AN30" s="615"/>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1">
        <f t="shared" ca="1" si="21"/>
        <v>12538.757799647658</v>
      </c>
      <c r="AT30" s="641">
        <f t="shared" ca="1" si="22"/>
        <v>12538.757799647658</v>
      </c>
      <c r="AV30" s="18">
        <f t="shared" ca="1" si="23"/>
        <v>4.4930548782073085</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10992.084443555425</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1697.64</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12689.724443555424</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7" t="s">
        <v>35</v>
      </c>
      <c r="T13" s="1007"/>
      <c r="U13" s="1007"/>
      <c r="V13" s="1007"/>
      <c r="X13" s="1001" t="s">
        <v>47</v>
      </c>
      <c r="Y13" s="1002"/>
      <c r="Z13" s="1002"/>
      <c r="AA13" s="1002"/>
      <c r="AB13" s="1003"/>
      <c r="AD13" s="1001" t="s">
        <v>1653</v>
      </c>
      <c r="AE13" s="1003"/>
      <c r="AG13" s="1007" t="s">
        <v>40</v>
      </c>
      <c r="AH13" s="1007"/>
      <c r="AI13" s="1007"/>
      <c r="AJ13" s="1007"/>
      <c r="AK13" s="1007"/>
      <c r="AL13" s="1007"/>
      <c r="AM13" s="1007"/>
      <c r="AN13" s="615"/>
      <c r="AO13" s="1001" t="s">
        <v>1658</v>
      </c>
      <c r="AP13" s="1002"/>
      <c r="AQ13" s="1002"/>
      <c r="AR13" s="1002"/>
      <c r="AS13" s="1002"/>
      <c r="AT13" s="1003"/>
      <c r="AV13" s="1001" t="s">
        <v>1645</v>
      </c>
      <c r="AW13" s="1002"/>
      <c r="AX13" s="1002"/>
      <c r="AY13" s="1003"/>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Tablas'!H9</f>
        <v>30</v>
      </c>
      <c r="D17" s="617" t="s">
        <v>1642</v>
      </c>
      <c r="G17" s="616"/>
      <c r="H17" s="616"/>
      <c r="I17" s="261">
        <f ca="1">SUM(__Capital)</f>
        <v>7332.942259999998</v>
      </c>
      <c r="J17" s="261"/>
      <c r="K17" s="261"/>
      <c r="L17" s="261"/>
      <c r="M17" s="261">
        <f ca="1">SUM(__Interes)</f>
        <v>513.1174953926029</v>
      </c>
      <c r="N17" s="261">
        <f ca="1">SUM(__Iva)</f>
        <v>61.574099447112346</v>
      </c>
      <c r="P17" s="261">
        <f ca="1">SUM(__Abono_Anticipado)</f>
        <v>0</v>
      </c>
      <c r="Q17" s="616"/>
      <c r="R17" s="615"/>
      <c r="S17" s="97"/>
      <c r="T17" s="261">
        <f ca="1">SUM(__Abono_Sobrante) - (SUM(__Abono_Sobrante_Ciclo_Anterior)*_Renueva.Abono.Sobrante?)</f>
        <v>0</v>
      </c>
      <c r="U17" s="261"/>
      <c r="V17" s="97"/>
      <c r="Y17" s="615"/>
      <c r="AL17" s="261">
        <f ca="1">SUM(__Capital_Original)</f>
        <v>7332.942259999998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571.66184781302229</v>
      </c>
      <c r="H19" s="84">
        <f t="shared" ref="H19:H82" ca="1" si="0">__Saldo_Inicial * ( __Amortizacion = i.Numero.Pagos )</f>
        <v>0</v>
      </c>
      <c r="I19" s="640">
        <f ca="1">MAX( __Capital_Elegida _Actual, __Stopper_Capital _Actual)</f>
        <v>571.66184781302229</v>
      </c>
      <c r="J19" s="644">
        <f t="shared" ref="J19:J82" ca="1" si="1">__Saldo_Inicial * _Tasa.Diaria</f>
        <v>2.6276376431666666</v>
      </c>
      <c r="K19" s="644">
        <f t="shared" ref="K19:K82" ca="1" si="2" xml:space="preserve"> __Interes_Diario * i.Dias.Por.Periodo</f>
        <v>78.829129295000001</v>
      </c>
      <c r="L19" s="640">
        <f ca="1">Fechas!_Dias_Interes_Pago</f>
        <v>26</v>
      </c>
      <c r="M19" s="18">
        <f t="shared" ref="M19:M82" ca="1" si="3">__Interes_Diario * __Dias_Interes_Periodo</f>
        <v>68.318578722333328</v>
      </c>
      <c r="N19" s="18">
        <f t="shared" ref="N19:N82" ca="1" si="4">__Interes *i.Iva.Intereses</f>
        <v>8.1982294466799992</v>
      </c>
      <c r="O19" s="18">
        <f t="shared" ref="O19:O82" ca="1" si="5">__Capital + __Interes + __Iva</f>
        <v>648.17865598203559</v>
      </c>
      <c r="P19" s="643">
        <f ca="1">T_Merger!__Salida_Abono_2</f>
        <v>0</v>
      </c>
      <c r="Q19" s="18">
        <f t="shared" ref="Q19:Q82" ca="1" si="6">MAX( __Saldo_Inicial - __Capital-__Abono_Anticipado,0)</f>
        <v>6761.2804121869776</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659.95047262342234</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68.318578722333328</v>
      </c>
      <c r="AK19" s="18">
        <f t="shared" ref="AK19:AK82" ca="1" si="17">__Saldo_Inicial_Original * ( __Amortizacion = i.Numero.Pagos )</f>
        <v>0</v>
      </c>
      <c r="AL19" s="641">
        <f ca="1">MAX( ((( __Pago_Fijo - (__Interes_Regular_Original * (1 + i.Iva.Intereses)) ))), __Stopper_Capital_Original _Actual )</f>
        <v>571.66184781302229</v>
      </c>
      <c r="AM19" s="84">
        <f ca="1">MAX(__Saldo_Inicial_Original _Actual - __Capital_Original _Actual, 0)</f>
        <v>6761.2804121869776</v>
      </c>
      <c r="AN19" s="615"/>
      <c r="AO19" s="18">
        <f t="shared" ref="AO19:AO82" ca="1" si="18" xml:space="preserve"> __Capital_Original</f>
        <v>571.66184781302229</v>
      </c>
      <c r="AP19" s="18">
        <f t="shared" ref="AP19:AP82" ca="1" si="19">-PPMT(_Tasa.Por.Periodo*(1+i.Iva.Intereses),1,__Ciclicas_Remanentes,__Saldo_Inicial)</f>
        <v>571.66184781302229</v>
      </c>
      <c r="AQ19" s="18">
        <f t="shared" ref="AQ19:AQ82" ca="1" si="20">-IPMT(_Tasa.Diaria.Por.Periodo*(1+i.Iva.Intereses),1,__Ciclicas_Remanentes,__Saldo_Inicial)</f>
        <v>88.288624810399995</v>
      </c>
      <c r="AR19" s="84">
        <f ca="1">SUM(__Componentes_Pago_Proyectado _Actual)</f>
        <v>659.95047262342223</v>
      </c>
      <c r="AS19" s="641">
        <f t="shared" ref="AS19:AS82" ca="1" si="21">__Pago_Proyectado - ( __Interes_Periodo_Regular * ( 1 + i.Iva.Intereses ) )</f>
        <v>571.66184781302218</v>
      </c>
      <c r="AT19" s="641">
        <f t="shared" ref="AT19:AT82" ca="1" si="22">__Pago_Fijo - ( __Interes_Periodo_Regular * ( 1 + i.Iva.Intereses ) )</f>
        <v>571.66184781302229</v>
      </c>
      <c r="AU19" s="94"/>
      <c r="AV19" s="18">
        <f t="shared" ref="AV19:AV82" ca="1" si="23">__Interes_Diario_Original</f>
        <v>2.6276376431666666</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Tablas'!H12</f>
        <v>0.12</v>
      </c>
      <c r="D20" s="616">
        <v>2</v>
      </c>
      <c r="F20" s="84">
        <f ca="1">MAX( __Saldo_Final _Anterior + __Saldo_Ciclico,0)</f>
        <v>6761.2804121869776</v>
      </c>
      <c r="G20" s="84">
        <f ca="1">MIN( CHOOSE(i.Opcion.Abono, __Capital_Opcion_1, __Capital_Opcion_2, __Capital_Opcion_3) _Actual, __Saldo_Inicial _Actual)</f>
        <v>578.54465646069116</v>
      </c>
      <c r="H20" s="84">
        <f t="shared" ca="1" si="0"/>
        <v>0</v>
      </c>
      <c r="I20" s="640">
        <f ca="1">MAX( __Capital_Elegida _Actual, __Stopper_Capital _Actual)</f>
        <v>578.54465646069116</v>
      </c>
      <c r="J20" s="644">
        <f t="shared" ca="1" si="1"/>
        <v>2.4227921477003336</v>
      </c>
      <c r="K20" s="644">
        <f t="shared" ca="1" si="2"/>
        <v>72.683764431010005</v>
      </c>
      <c r="L20" s="640">
        <f ca="1">Fechas!_Dias_Interes_Pago</f>
        <v>30</v>
      </c>
      <c r="M20" s="18">
        <f t="shared" ca="1" si="3"/>
        <v>72.683764431010005</v>
      </c>
      <c r="N20" s="18">
        <f t="shared" ca="1" si="4"/>
        <v>8.7220517317211996</v>
      </c>
      <c r="O20" s="18">
        <f t="shared" ca="1" si="5"/>
        <v>659.95047262342234</v>
      </c>
      <c r="P20" s="643">
        <f ca="1">T_Merger!__Salida_Abono_2</f>
        <v>0</v>
      </c>
      <c r="Q20" s="18">
        <f t="shared" ca="1" si="6"/>
        <v>6182.7357557262867</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659.95047262342234</v>
      </c>
      <c r="AG20" s="84">
        <f ca="1">MAX( __Saldo_Final_Original _Anterior + __Saldo_Ciclico, 0)</f>
        <v>6761.2804121869776</v>
      </c>
      <c r="AH20" s="18">
        <f t="shared" ca="1" si="14"/>
        <v>2.4227921477003336</v>
      </c>
      <c r="AI20" s="18">
        <f t="shared" ca="1" si="15"/>
        <v>72.683764431010005</v>
      </c>
      <c r="AJ20" s="18">
        <f t="shared" ca="1" si="16"/>
        <v>72.683764431010005</v>
      </c>
      <c r="AK20" s="18">
        <f t="shared" ca="1" si="17"/>
        <v>0</v>
      </c>
      <c r="AL20" s="641">
        <f ca="1">MAX( ((( __Pago_Fijo - (__Interes_Regular_Original * (1 + i.Iva.Intereses)) ))), __Stopper_Capital_Original _Actual )</f>
        <v>578.54465646069116</v>
      </c>
      <c r="AM20" s="84">
        <f ca="1">MAX(__Saldo_Inicial_Original _Actual - __Capital_Original _Actual, 0)</f>
        <v>6182.7357557262867</v>
      </c>
      <c r="AN20" s="615"/>
      <c r="AO20" s="18">
        <f t="shared" ca="1" si="18"/>
        <v>578.54465646069116</v>
      </c>
      <c r="AP20" s="18">
        <f t="shared" ca="1" si="19"/>
        <v>578.54465646069173</v>
      </c>
      <c r="AQ20" s="18">
        <f t="shared" ca="1" si="20"/>
        <v>81.405816162731213</v>
      </c>
      <c r="AR20" s="84">
        <f ca="1">IF( AND(__Abono_Anticipado _Anterior = 0, __Ciclicas &lt;&gt; 1 ), __Pago_Proyectado _Anterior, SUM(__Componentes_Pago_Proyectado _Actual))</f>
        <v>659.95047262342223</v>
      </c>
      <c r="AS20" s="641">
        <f t="shared" ca="1" si="21"/>
        <v>578.54465646069104</v>
      </c>
      <c r="AT20" s="641">
        <f t="shared" ca="1" si="22"/>
        <v>578.54465646069116</v>
      </c>
      <c r="AV20" s="18">
        <f t="shared" ca="1" si="23"/>
        <v>2.4227921477003336</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Tablas'!H13</f>
        <v>0.129</v>
      </c>
      <c r="D21" s="616">
        <v>3</v>
      </c>
      <c r="F21" s="84">
        <f ca="1">MAX( __Saldo_Final _Anterior + __Saldo_Ciclico,0)</f>
        <v>6182.7357557262867</v>
      </c>
      <c r="G21" s="84">
        <f ca="1">MIN( CHOOSE(i.Opcion.Abono, __Capital_Opcion_1, __Capital_Opcion_2, __Capital_Opcion_3) _Actual, __Saldo_Inicial _Actual)</f>
        <v>585.51033412447782</v>
      </c>
      <c r="H21" s="84">
        <f t="shared" ca="1" si="0"/>
        <v>0</v>
      </c>
      <c r="I21" s="640">
        <f ca="1">MAX( __Capital_Elegida _Actual, __Stopper_Capital _Actual)</f>
        <v>585.51033412447782</v>
      </c>
      <c r="J21" s="644">
        <f t="shared" ca="1" si="1"/>
        <v>2.215480312468586</v>
      </c>
      <c r="K21" s="644">
        <f t="shared" ca="1" si="2"/>
        <v>66.464409374057581</v>
      </c>
      <c r="L21" s="640">
        <f ca="1">Fechas!_Dias_Interes_Pago</f>
        <v>30</v>
      </c>
      <c r="M21" s="18">
        <f t="shared" ca="1" si="3"/>
        <v>66.464409374057581</v>
      </c>
      <c r="N21" s="18">
        <f t="shared" ca="1" si="4"/>
        <v>7.9757291248869091</v>
      </c>
      <c r="O21" s="18">
        <f t="shared" ca="1" si="5"/>
        <v>659.95047262342234</v>
      </c>
      <c r="P21" s="643">
        <f ca="1">T_Merger!__Salida_Abono_2</f>
        <v>0</v>
      </c>
      <c r="Q21" s="18">
        <f t="shared" ca="1" si="6"/>
        <v>5597.2254216018091</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659.95047262342234</v>
      </c>
      <c r="AG21" s="84">
        <f ca="1">MAX( __Saldo_Final_Original _Anterior + __Saldo_Ciclico, 0)</f>
        <v>6182.7357557262867</v>
      </c>
      <c r="AH21" s="18">
        <f t="shared" ca="1" si="14"/>
        <v>2.215480312468586</v>
      </c>
      <c r="AI21" s="18">
        <f t="shared" ca="1" si="15"/>
        <v>66.464409374057581</v>
      </c>
      <c r="AJ21" s="18">
        <f t="shared" ca="1" si="16"/>
        <v>66.464409374057581</v>
      </c>
      <c r="AK21" s="18">
        <f t="shared" ca="1" si="17"/>
        <v>0</v>
      </c>
      <c r="AL21" s="641">
        <f ca="1">MAX( ((( __Pago_Fijo - (__Interes_Regular_Original * (1 + i.Iva.Intereses)) ))), __Stopper_Capital_Original _Actual )</f>
        <v>585.51033412447782</v>
      </c>
      <c r="AM21" s="84">
        <f ca="1">MAX(__Saldo_Inicial_Original _Actual - __Capital_Original _Actual, 0)</f>
        <v>5597.2254216018091</v>
      </c>
      <c r="AN21" s="615"/>
      <c r="AO21" s="18">
        <f t="shared" ca="1" si="18"/>
        <v>585.51033412447782</v>
      </c>
      <c r="AP21" s="18">
        <f t="shared" ca="1" si="19"/>
        <v>585.51033412447907</v>
      </c>
      <c r="AQ21" s="18">
        <f t="shared" ca="1" si="20"/>
        <v>74.440138498944492</v>
      </c>
      <c r="AR21" s="84">
        <f ca="1">IF( AND(__Abono_Anticipado _Anterior = 0, __Ciclicas &lt;&gt; 1 ), __Pago_Proyectado _Anterior, SUM(__Componentes_Pago_Proyectado _Actual))</f>
        <v>659.95047262342223</v>
      </c>
      <c r="AS21" s="641">
        <f t="shared" ca="1" si="21"/>
        <v>585.51033412447771</v>
      </c>
      <c r="AT21" s="641">
        <f t="shared" ca="1" si="22"/>
        <v>585.51033412447782</v>
      </c>
      <c r="AV21" s="18">
        <f t="shared" ca="1" si="23"/>
        <v>2.215480312468586</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Tablas'!H14</f>
        <v>360</v>
      </c>
      <c r="D22" s="616">
        <v>4</v>
      </c>
      <c r="F22" s="84">
        <f ca="1">MAX( __Saldo_Final _Anterior + __Saldo_Ciclico,0)</f>
        <v>5597.2254216018091</v>
      </c>
      <c r="G22" s="84">
        <f ca="1">MIN( CHOOSE(i.Opcion.Abono, __Capital_Opcion_1, __Capital_Opcion_2, __Capital_Opcion_3) _Actual, __Saldo_Inicial _Actual)</f>
        <v>592.55987854733655</v>
      </c>
      <c r="H22" s="84">
        <f t="shared" ca="1" si="0"/>
        <v>0</v>
      </c>
      <c r="I22" s="640">
        <f ca="1">MAX( __Capital_Elegida _Actual, __Stopper_Capital _Actual)</f>
        <v>592.55987854733655</v>
      </c>
      <c r="J22" s="644">
        <f t="shared" ca="1" si="1"/>
        <v>2.0056724427406483</v>
      </c>
      <c r="K22" s="644">
        <f t="shared" ca="1" si="2"/>
        <v>60.170173282219451</v>
      </c>
      <c r="L22" s="640">
        <f ca="1">Fechas!_Dias_Interes_Pago</f>
        <v>30</v>
      </c>
      <c r="M22" s="18">
        <f t="shared" ca="1" si="3"/>
        <v>60.170173282219451</v>
      </c>
      <c r="N22" s="18">
        <f t="shared" ca="1" si="4"/>
        <v>7.2204207938663343</v>
      </c>
      <c r="O22" s="18">
        <f t="shared" ca="1" si="5"/>
        <v>659.95047262342234</v>
      </c>
      <c r="P22" s="643">
        <f ca="1">T_Merger!__Salida_Abono_2</f>
        <v>0</v>
      </c>
      <c r="Q22" s="18">
        <f t="shared" ca="1" si="6"/>
        <v>5004.6655430544724</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659.95047262342234</v>
      </c>
      <c r="AG22" s="84">
        <f ca="1">MAX( __Saldo_Final_Original _Anterior + __Saldo_Ciclico, 0)</f>
        <v>5597.2254216018091</v>
      </c>
      <c r="AH22" s="18">
        <f t="shared" ca="1" si="14"/>
        <v>2.0056724427406483</v>
      </c>
      <c r="AI22" s="18">
        <f t="shared" ca="1" si="15"/>
        <v>60.170173282219451</v>
      </c>
      <c r="AJ22" s="18">
        <f t="shared" ca="1" si="16"/>
        <v>60.170173282219451</v>
      </c>
      <c r="AK22" s="18">
        <f t="shared" ca="1" si="17"/>
        <v>0</v>
      </c>
      <c r="AL22" s="641">
        <f ca="1">MAX( ((( __Pago_Fijo - (__Interes_Regular_Original * (1 + i.Iva.Intereses)) ))), __Stopper_Capital_Original _Actual )</f>
        <v>592.55987854733655</v>
      </c>
      <c r="AM22" s="84">
        <f ca="1">MAX(__Saldo_Inicial_Original _Actual - __Capital_Original _Actual, 0)</f>
        <v>5004.6655430544724</v>
      </c>
      <c r="AN22" s="615"/>
      <c r="AO22" s="18">
        <f t="shared" ca="1" si="18"/>
        <v>592.55987854733655</v>
      </c>
      <c r="AP22" s="18">
        <f t="shared" ca="1" si="19"/>
        <v>592.55987854733723</v>
      </c>
      <c r="AQ22" s="18">
        <f t="shared" ca="1" si="20"/>
        <v>67.39059407608579</v>
      </c>
      <c r="AR22" s="84">
        <f ca="1">IF( AND(__Abono_Anticipado _Anterior = 0, __Ciclicas &lt;&gt; 1 ), __Pago_Proyectado _Anterior, SUM(__Componentes_Pago_Proyectado _Actual))</f>
        <v>659.95047262342223</v>
      </c>
      <c r="AS22" s="641">
        <f t="shared" ca="1" si="21"/>
        <v>592.55987854733644</v>
      </c>
      <c r="AT22" s="641">
        <f t="shared" ca="1" si="22"/>
        <v>592.55987854733655</v>
      </c>
      <c r="AV22" s="18">
        <f t="shared" ca="1" si="23"/>
        <v>2.0056724427406483</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Tablas'!H15</f>
        <v>Fechas!_Dias_Interes_Pago</v>
      </c>
      <c r="D23" s="616">
        <v>5</v>
      </c>
      <c r="F23" s="84">
        <f ca="1">MAX( __Saldo_Final _Anterior + __Saldo_Ciclico,0)</f>
        <v>5004.6655430544724</v>
      </c>
      <c r="G23" s="84">
        <f ca="1">MIN( CHOOSE(i.Opcion.Abono, __Capital_Opcion_1, __Capital_Opcion_2, __Capital_Opcion_3) _Actual, __Saldo_Inicial _Actual)</f>
        <v>599.69429948504649</v>
      </c>
      <c r="H23" s="84">
        <f t="shared" ca="1" si="0"/>
        <v>0</v>
      </c>
      <c r="I23" s="640">
        <f ca="1">MAX( __Capital_Elegida _Actual, __Stopper_Capital _Actual)</f>
        <v>599.69429948504649</v>
      </c>
      <c r="J23" s="644">
        <f t="shared" ca="1" si="1"/>
        <v>1.7933384862611859</v>
      </c>
      <c r="K23" s="644">
        <f t="shared" ca="1" si="2"/>
        <v>53.800154587835578</v>
      </c>
      <c r="L23" s="640">
        <f ca="1">Fechas!_Dias_Interes_Pago</f>
        <v>30</v>
      </c>
      <c r="M23" s="18">
        <f t="shared" ca="1" si="3"/>
        <v>53.800154587835578</v>
      </c>
      <c r="N23" s="18">
        <f t="shared" ca="1" si="4"/>
        <v>6.4560185505402687</v>
      </c>
      <c r="O23" s="18">
        <f t="shared" ca="1" si="5"/>
        <v>659.95047262342234</v>
      </c>
      <c r="P23" s="643">
        <f ca="1">T_Merger!__Salida_Abono_2</f>
        <v>0</v>
      </c>
      <c r="Q23" s="18">
        <f t="shared" ca="1" si="6"/>
        <v>4404.9712435694255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659.95047262342234</v>
      </c>
      <c r="AG23" s="84">
        <f ca="1">MAX( __Saldo_Final_Original _Anterior + __Saldo_Ciclico, 0)</f>
        <v>5004.6655430544724</v>
      </c>
      <c r="AH23" s="18">
        <f t="shared" ca="1" si="14"/>
        <v>1.7933384862611859</v>
      </c>
      <c r="AI23" s="18">
        <f t="shared" ca="1" si="15"/>
        <v>53.800154587835578</v>
      </c>
      <c r="AJ23" s="18">
        <f t="shared" ca="1" si="16"/>
        <v>53.800154587835578</v>
      </c>
      <c r="AK23" s="18">
        <f t="shared" ca="1" si="17"/>
        <v>0</v>
      </c>
      <c r="AL23" s="641">
        <f ca="1">MAX( ((( __Pago_Fijo - (__Interes_Regular_Original * (1 + i.Iva.Intereses)) ))), __Stopper_Capital_Original _Actual )</f>
        <v>599.69429948504649</v>
      </c>
      <c r="AM23" s="84">
        <f ca="1">MAX(__Saldo_Inicial_Original _Actual - __Capital_Original _Actual, 0)</f>
        <v>4404.9712435694255</v>
      </c>
      <c r="AN23" s="615"/>
      <c r="AO23" s="18">
        <f t="shared" ca="1" si="18"/>
        <v>599.69429948504649</v>
      </c>
      <c r="AP23" s="18">
        <f t="shared" ca="1" si="19"/>
        <v>599.69429948504819</v>
      </c>
      <c r="AQ23" s="18">
        <f t="shared" ca="1" si="20"/>
        <v>60.25617313837585</v>
      </c>
      <c r="AR23" s="84">
        <f ca="1">IF( AND(__Abono_Anticipado _Anterior = 0, __Ciclicas &lt;&gt; 1 ), __Pago_Proyectado _Anterior, SUM(__Componentes_Pago_Proyectado _Actual))</f>
        <v>659.95047262342223</v>
      </c>
      <c r="AS23" s="641">
        <f t="shared" ca="1" si="21"/>
        <v>599.69429948504637</v>
      </c>
      <c r="AT23" s="641">
        <f t="shared" ca="1" si="22"/>
        <v>599.69429948504649</v>
      </c>
      <c r="AV23" s="18">
        <f t="shared" ca="1" si="23"/>
        <v>1.7933384862611859</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Tablas'!H16</f>
        <v>1</v>
      </c>
      <c r="D24" s="616">
        <v>6</v>
      </c>
      <c r="F24" s="84">
        <f ca="1">MAX( __Saldo_Final _Anterior + __Saldo_Ciclico,0)</f>
        <v>4404.9712435694255</v>
      </c>
      <c r="G24" s="84">
        <f ca="1">MIN( CHOOSE(i.Opcion.Abono, __Capital_Opcion_1, __Capital_Opcion_2, __Capital_Opcion_3) _Actual, __Saldo_Inicial _Actual)</f>
        <v>606.91461885084641</v>
      </c>
      <c r="H24" s="84">
        <f t="shared" ca="1" si="0"/>
        <v>0</v>
      </c>
      <c r="I24" s="640">
        <f ca="1">MAX( __Capital_Elegida _Actual, __Stopper_Capital _Actual)</f>
        <v>606.91461885084641</v>
      </c>
      <c r="J24" s="644">
        <f t="shared" ca="1" si="1"/>
        <v>1.5784480289457108</v>
      </c>
      <c r="K24" s="644">
        <f t="shared" ca="1" si="2"/>
        <v>47.353440868371322</v>
      </c>
      <c r="L24" s="640">
        <f ca="1">Fechas!_Dias_Interes_Pago</f>
        <v>30</v>
      </c>
      <c r="M24" s="18">
        <f t="shared" ca="1" si="3"/>
        <v>47.353440868371322</v>
      </c>
      <c r="N24" s="18">
        <f t="shared" ca="1" si="4"/>
        <v>5.6824129042045586</v>
      </c>
      <c r="O24" s="18">
        <f t="shared" ca="1" si="5"/>
        <v>659.95047262342223</v>
      </c>
      <c r="P24" s="643">
        <f ca="1">T_Merger!__Salida_Abono_2</f>
        <v>0</v>
      </c>
      <c r="Q24" s="18">
        <f t="shared" ca="1" si="6"/>
        <v>3798.0566247185789</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659.95047262342234</v>
      </c>
      <c r="AG24" s="84">
        <f ca="1">MAX( __Saldo_Final_Original _Anterior + __Saldo_Ciclico, 0)</f>
        <v>4404.9712435694255</v>
      </c>
      <c r="AH24" s="18">
        <f t="shared" ca="1" si="14"/>
        <v>1.5784480289457108</v>
      </c>
      <c r="AI24" s="18">
        <f t="shared" ca="1" si="15"/>
        <v>47.353440868371322</v>
      </c>
      <c r="AJ24" s="18">
        <f t="shared" ca="1" si="16"/>
        <v>47.353440868371322</v>
      </c>
      <c r="AK24" s="18">
        <f t="shared" ca="1" si="17"/>
        <v>0</v>
      </c>
      <c r="AL24" s="641">
        <f ca="1">MAX( ((( __Pago_Fijo - (__Interes_Regular_Original * (1 + i.Iva.Intereses)) ))), __Stopper_Capital_Original _Actual )</f>
        <v>606.91461885084641</v>
      </c>
      <c r="AM24" s="84">
        <f ca="1">MAX(__Saldo_Inicial_Original _Actual - __Capital_Original _Actual, 0)</f>
        <v>3798.0566247185789</v>
      </c>
      <c r="AN24" s="615"/>
      <c r="AO24" s="18">
        <f t="shared" ca="1" si="18"/>
        <v>606.91461885084641</v>
      </c>
      <c r="AP24" s="18">
        <f t="shared" ca="1" si="19"/>
        <v>606.91461885084925</v>
      </c>
      <c r="AQ24" s="18">
        <f t="shared" ca="1" si="20"/>
        <v>53.035853772575884</v>
      </c>
      <c r="AR24" s="84">
        <f ca="1">IF( AND(__Abono_Anticipado _Anterior = 0, __Ciclicas &lt;&gt; 1 ), __Pago_Proyectado _Anterior, SUM(__Componentes_Pago_Proyectado _Actual))</f>
        <v>659.95047262342223</v>
      </c>
      <c r="AS24" s="641">
        <f t="shared" ca="1" si="21"/>
        <v>606.9146188508463</v>
      </c>
      <c r="AT24" s="641">
        <f t="shared" ca="1" si="22"/>
        <v>606.91461885084641</v>
      </c>
      <c r="AV24" s="18">
        <f t="shared" ca="1" si="23"/>
        <v>1.5784480289457108</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Tablas'!H17</f>
        <v>151.10550000000001</v>
      </c>
      <c r="D25" s="616">
        <v>7</v>
      </c>
      <c r="F25" s="84">
        <f ca="1">MAX( __Saldo_Final _Anterior + __Saldo_Ciclico,0)</f>
        <v>3798.0566247185789</v>
      </c>
      <c r="G25" s="84">
        <f ca="1">MIN( CHOOSE(i.Opcion.Abono, __Capital_Opcion_1, __Capital_Opcion_2, __Capital_Opcion_3) _Actual, __Saldo_Inicial _Actual)</f>
        <v>614.22187086181066</v>
      </c>
      <c r="H25" s="84">
        <f t="shared" ca="1" si="0"/>
        <v>0</v>
      </c>
      <c r="I25" s="640">
        <f ca="1">MAX( __Capital_Elegida _Actual, __Stopper_Capital _Actual)</f>
        <v>614.22187086181066</v>
      </c>
      <c r="J25" s="644">
        <f t="shared" ca="1" si="1"/>
        <v>1.3609702905241574</v>
      </c>
      <c r="K25" s="644">
        <f t="shared" ca="1" si="2"/>
        <v>40.829108715724722</v>
      </c>
      <c r="L25" s="640">
        <f ca="1">Fechas!_Dias_Interes_Pago</f>
        <v>30</v>
      </c>
      <c r="M25" s="18">
        <f t="shared" ca="1" si="3"/>
        <v>40.829108715724722</v>
      </c>
      <c r="N25" s="18">
        <f t="shared" ca="1" si="4"/>
        <v>4.8994930458869668</v>
      </c>
      <c r="O25" s="18">
        <f t="shared" ca="1" si="5"/>
        <v>659.95047262342234</v>
      </c>
      <c r="P25" s="643">
        <f ca="1">T_Merger!__Salida_Abono_2</f>
        <v>0</v>
      </c>
      <c r="Q25" s="18">
        <f t="shared" ca="1" si="6"/>
        <v>3183.8347538567682</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659.95047262342234</v>
      </c>
      <c r="AG25" s="84">
        <f ca="1">MAX( __Saldo_Final_Original _Anterior + __Saldo_Ciclico, 0)</f>
        <v>3798.0566247185789</v>
      </c>
      <c r="AH25" s="18">
        <f t="shared" ca="1" si="14"/>
        <v>1.3609702905241574</v>
      </c>
      <c r="AI25" s="18">
        <f t="shared" ca="1" si="15"/>
        <v>40.829108715724722</v>
      </c>
      <c r="AJ25" s="18">
        <f t="shared" ca="1" si="16"/>
        <v>40.829108715724722</v>
      </c>
      <c r="AK25" s="18">
        <f t="shared" ca="1" si="17"/>
        <v>0</v>
      </c>
      <c r="AL25" s="641">
        <f ca="1">MAX( ((( __Pago_Fijo - (__Interes_Regular_Original * (1 + i.Iva.Intereses)) ))), __Stopper_Capital_Original _Actual )</f>
        <v>614.22187086181066</v>
      </c>
      <c r="AM25" s="84">
        <f ca="1">MAX(__Saldo_Inicial_Original _Actual - __Capital_Original _Actual, 0)</f>
        <v>3183.8347538567682</v>
      </c>
      <c r="AN25" s="615"/>
      <c r="AO25" s="18">
        <f t="shared" ca="1" si="18"/>
        <v>614.22187086181066</v>
      </c>
      <c r="AP25" s="18">
        <f t="shared" ca="1" si="19"/>
        <v>614.2218708618127</v>
      </c>
      <c r="AQ25" s="18">
        <f t="shared" ca="1" si="20"/>
        <v>45.728601761611692</v>
      </c>
      <c r="AR25" s="84">
        <f ca="1">IF( AND(__Abono_Anticipado _Anterior = 0, __Ciclicas &lt;&gt; 1 ), __Pago_Proyectado _Anterior, SUM(__Componentes_Pago_Proyectado _Actual))</f>
        <v>659.95047262342223</v>
      </c>
      <c r="AS25" s="641">
        <f t="shared" ca="1" si="21"/>
        <v>614.22187086181054</v>
      </c>
      <c r="AT25" s="641">
        <f t="shared" ca="1" si="22"/>
        <v>614.22187086181066</v>
      </c>
      <c r="AV25" s="18">
        <f t="shared" ca="1" si="23"/>
        <v>1.3609702905241574</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Tablas'!H18</f>
        <v>1</v>
      </c>
      <c r="D26" s="616">
        <v>8</v>
      </c>
      <c r="F26" s="84">
        <f ca="1">MAX( __Saldo_Final _Anterior + __Saldo_Ciclico,0)</f>
        <v>3183.8347538567682</v>
      </c>
      <c r="G26" s="84">
        <f ca="1">MIN( CHOOSE(i.Opcion.Abono, __Capital_Opcion_1, __Capital_Opcion_2, __Capital_Opcion_3) _Actual, __Saldo_Inicial _Actual)</f>
        <v>621.61710218698681</v>
      </c>
      <c r="H26" s="84">
        <f t="shared" ca="1" si="0"/>
        <v>0</v>
      </c>
      <c r="I26" s="640">
        <f ca="1">MAX( __Capital_Elegida _Actual, __Stopper_Capital _Actual)</f>
        <v>621.61710218698681</v>
      </c>
      <c r="J26" s="644">
        <f t="shared" ca="1" si="1"/>
        <v>1.1408741201320085</v>
      </c>
      <c r="K26" s="644">
        <f t="shared" ca="1" si="2"/>
        <v>34.226223603960257</v>
      </c>
      <c r="L26" s="640">
        <f ca="1">Fechas!_Dias_Interes_Pago</f>
        <v>30</v>
      </c>
      <c r="M26" s="18">
        <f t="shared" ca="1" si="3"/>
        <v>34.226223603960257</v>
      </c>
      <c r="N26" s="18">
        <f t="shared" ca="1" si="4"/>
        <v>4.1071468324752303</v>
      </c>
      <c r="O26" s="18">
        <f t="shared" ca="1" si="5"/>
        <v>659.95047262342234</v>
      </c>
      <c r="P26" s="643">
        <f ca="1">T_Merger!__Salida_Abono_2</f>
        <v>0</v>
      </c>
      <c r="Q26" s="18">
        <f t="shared" ca="1" si="6"/>
        <v>2562.2176516697814</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659.95047262342234</v>
      </c>
      <c r="AG26" s="84">
        <f ca="1">MAX( __Saldo_Final_Original _Anterior + __Saldo_Ciclico, 0)</f>
        <v>3183.8347538567682</v>
      </c>
      <c r="AH26" s="18">
        <f t="shared" ca="1" si="14"/>
        <v>1.1408741201320085</v>
      </c>
      <c r="AI26" s="18">
        <f t="shared" ca="1" si="15"/>
        <v>34.226223603960257</v>
      </c>
      <c r="AJ26" s="18">
        <f t="shared" ca="1" si="16"/>
        <v>34.226223603960257</v>
      </c>
      <c r="AK26" s="18">
        <f t="shared" ca="1" si="17"/>
        <v>0</v>
      </c>
      <c r="AL26" s="641">
        <f ca="1">MAX( ((( __Pago_Fijo - (__Interes_Regular_Original * (1 + i.Iva.Intereses)) ))), __Stopper_Capital_Original _Actual )</f>
        <v>621.61710218698681</v>
      </c>
      <c r="AM26" s="84">
        <f ca="1">MAX(__Saldo_Inicial_Original _Actual - __Capital_Original _Actual, 0)</f>
        <v>2562.2176516697814</v>
      </c>
      <c r="AN26" s="615"/>
      <c r="AO26" s="18">
        <f t="shared" ca="1" si="18"/>
        <v>621.61710218698681</v>
      </c>
      <c r="AP26" s="18">
        <f t="shared" ca="1" si="19"/>
        <v>621.61710218699125</v>
      </c>
      <c r="AQ26" s="18">
        <f t="shared" ca="1" si="20"/>
        <v>38.333370436435487</v>
      </c>
      <c r="AR26" s="84">
        <f ca="1">IF( AND(__Abono_Anticipado _Anterior = 0, __Ciclicas &lt;&gt; 1 ), __Pago_Proyectado _Anterior, SUM(__Componentes_Pago_Proyectado _Actual))</f>
        <v>659.95047262342223</v>
      </c>
      <c r="AS26" s="641">
        <f t="shared" ca="1" si="21"/>
        <v>621.6171021869867</v>
      </c>
      <c r="AT26" s="641">
        <f t="shared" ca="1" si="22"/>
        <v>621.61710218698681</v>
      </c>
      <c r="AV26" s="18">
        <f t="shared" ca="1" si="23"/>
        <v>1.1408741201320085</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Tablas'!H19</f>
        <v>T_Merger!__Salida_Abono_2</v>
      </c>
      <c r="D27" s="616">
        <v>9</v>
      </c>
      <c r="F27" s="84">
        <f ca="1">MAX( __Saldo_Final _Anterior + __Saldo_Ciclico,0)</f>
        <v>2562.2176516697814</v>
      </c>
      <c r="G27" s="84">
        <f ca="1">MIN( CHOOSE(i.Opcion.Abono, __Capital_Opcion_1, __Capital_Opcion_2, __Capital_Opcion_3) _Actual, __Saldo_Inicial _Actual)</f>
        <v>629.10137209731818</v>
      </c>
      <c r="H27" s="84">
        <f t="shared" ca="1" si="0"/>
        <v>0</v>
      </c>
      <c r="I27" s="640">
        <f ca="1">MAX( __Capital_Elegida _Actual, __Stopper_Capital _Actual)</f>
        <v>629.10137209731818</v>
      </c>
      <c r="J27" s="644">
        <f t="shared" ca="1" si="1"/>
        <v>0.91812799184833838</v>
      </c>
      <c r="K27" s="644">
        <f t="shared" ca="1" si="2"/>
        <v>27.543839755450151</v>
      </c>
      <c r="L27" s="640">
        <f ca="1">Fechas!_Dias_Interes_Pago</f>
        <v>30</v>
      </c>
      <c r="M27" s="18">
        <f t="shared" ca="1" si="3"/>
        <v>27.543839755450151</v>
      </c>
      <c r="N27" s="18">
        <f t="shared" ca="1" si="4"/>
        <v>3.305260770654018</v>
      </c>
      <c r="O27" s="18">
        <f t="shared" ca="1" si="5"/>
        <v>659.95047262342234</v>
      </c>
      <c r="P27" s="643">
        <f ca="1">T_Merger!__Salida_Abono_2</f>
        <v>0</v>
      </c>
      <c r="Q27" s="18">
        <f t="shared" ca="1" si="6"/>
        <v>1933.1162795724631</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659.95047262342234</v>
      </c>
      <c r="AG27" s="84">
        <f ca="1">MAX( __Saldo_Final_Original _Anterior + __Saldo_Ciclico, 0)</f>
        <v>2562.2176516697814</v>
      </c>
      <c r="AH27" s="18">
        <f t="shared" ca="1" si="14"/>
        <v>0.91812799184833838</v>
      </c>
      <c r="AI27" s="18">
        <f t="shared" ca="1" si="15"/>
        <v>27.543839755450151</v>
      </c>
      <c r="AJ27" s="18">
        <f t="shared" ca="1" si="16"/>
        <v>27.543839755450151</v>
      </c>
      <c r="AK27" s="18">
        <f t="shared" ca="1" si="17"/>
        <v>0</v>
      </c>
      <c r="AL27" s="641">
        <f ca="1">MAX( ((( __Pago_Fijo - (__Interes_Regular_Original * (1 + i.Iva.Intereses)) ))), __Stopper_Capital_Original _Actual )</f>
        <v>629.10137209731818</v>
      </c>
      <c r="AM27" s="84">
        <f ca="1">MAX(__Saldo_Inicial_Original _Actual - __Capital_Original _Actual, 0)</f>
        <v>1933.1162795724631</v>
      </c>
      <c r="AN27" s="615"/>
      <c r="AO27" s="18">
        <f t="shared" ca="1" si="18"/>
        <v>629.10137209731818</v>
      </c>
      <c r="AP27" s="18">
        <f t="shared" ca="1" si="19"/>
        <v>629.10137209732329</v>
      </c>
      <c r="AQ27" s="18">
        <f t="shared" ca="1" si="20"/>
        <v>30.84910052610417</v>
      </c>
      <c r="AR27" s="84">
        <f ca="1">IF( AND(__Abono_Anticipado _Anterior = 0, __Ciclicas &lt;&gt; 1 ), __Pago_Proyectado _Anterior, SUM(__Componentes_Pago_Proyectado _Actual))</f>
        <v>659.95047262342223</v>
      </c>
      <c r="AS27" s="641">
        <f t="shared" ca="1" si="21"/>
        <v>629.10137209731806</v>
      </c>
      <c r="AT27" s="641">
        <f t="shared" ca="1" si="22"/>
        <v>629.10137209731818</v>
      </c>
      <c r="AV27" s="18">
        <f t="shared" ca="1" si="23"/>
        <v>0.91812799184833838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Tablas'!H20</f>
        <v>-</v>
      </c>
      <c r="D28" s="616">
        <v>10</v>
      </c>
      <c r="F28" s="84">
        <f ca="1">MAX( __Saldo_Final _Anterior + __Saldo_Ciclico,0)</f>
        <v>1933.1162795724631</v>
      </c>
      <c r="G28" s="84">
        <f ca="1">MIN( CHOOSE(i.Opcion.Abono, __Capital_Opcion_1, __Capital_Opcion_2, __Capital_Opcion_3) _Actual, __Saldo_Inicial _Actual)</f>
        <v>636.67575261736988</v>
      </c>
      <c r="H28" s="84">
        <f t="shared" ca="1" si="0"/>
        <v>0</v>
      </c>
      <c r="I28" s="640">
        <f ca="1">MAX( __Capital_Elegida _Actual, __Stopper_Capital _Actual)</f>
        <v>636.67575261736988</v>
      </c>
      <c r="J28" s="644">
        <f t="shared" ca="1" si="1"/>
        <v>0.69270000018013256</v>
      </c>
      <c r="K28" s="644">
        <f t="shared" ca="1" si="2"/>
        <v>20.781000005403978</v>
      </c>
      <c r="L28" s="640">
        <f ca="1">Fechas!_Dias_Interes_Pago</f>
        <v>30</v>
      </c>
      <c r="M28" s="18">
        <f t="shared" ca="1" si="3"/>
        <v>20.781000005403978</v>
      </c>
      <c r="N28" s="18">
        <f t="shared" ca="1" si="4"/>
        <v>2.4937200006484774</v>
      </c>
      <c r="O28" s="18">
        <f t="shared" ca="1" si="5"/>
        <v>659.95047262342234</v>
      </c>
      <c r="P28" s="643">
        <f ca="1">T_Merger!__Salida_Abono_2</f>
        <v>0</v>
      </c>
      <c r="Q28" s="18">
        <f t="shared" ca="1" si="6"/>
        <v>1296.4405269550932</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659.95047262342234</v>
      </c>
      <c r="AG28" s="84">
        <f ca="1">MAX( __Saldo_Final_Original _Anterior + __Saldo_Ciclico, 0)</f>
        <v>1933.1162795724631</v>
      </c>
      <c r="AH28" s="18">
        <f t="shared" ca="1" si="14"/>
        <v>0.69270000018013256</v>
      </c>
      <c r="AI28" s="18">
        <f t="shared" ca="1" si="15"/>
        <v>20.781000005403978</v>
      </c>
      <c r="AJ28" s="18">
        <f t="shared" ca="1" si="16"/>
        <v>20.781000005403978</v>
      </c>
      <c r="AK28" s="18">
        <f t="shared" ca="1" si="17"/>
        <v>0</v>
      </c>
      <c r="AL28" s="641">
        <f ca="1">MAX( ((( __Pago_Fijo - (__Interes_Regular_Original * (1 + i.Iva.Intereses)) ))), __Stopper_Capital_Original _Actual )</f>
        <v>636.67575261736988</v>
      </c>
      <c r="AM28" s="84">
        <f ca="1">MAX(__Saldo_Inicial_Original _Actual - __Capital_Original _Actual, 0)</f>
        <v>1296.4405269550932</v>
      </c>
      <c r="AN28" s="615"/>
      <c r="AO28" s="18">
        <f t="shared" ca="1" si="18"/>
        <v>636.67575261736988</v>
      </c>
      <c r="AP28" s="18">
        <f t="shared" ca="1" si="19"/>
        <v>636.67575261737954</v>
      </c>
      <c r="AQ28" s="18">
        <f t="shared" ca="1" si="20"/>
        <v>23.274720006052455</v>
      </c>
      <c r="AR28" s="84">
        <f ca="1">IF( AND(__Abono_Anticipado _Anterior = 0, __Ciclicas &lt;&gt; 1 ), __Pago_Proyectado _Anterior, SUM(__Componentes_Pago_Proyectado _Actual))</f>
        <v>659.95047262342223</v>
      </c>
      <c r="AS28" s="641">
        <f t="shared" ca="1" si="21"/>
        <v>636.67575261736977</v>
      </c>
      <c r="AT28" s="641">
        <f t="shared" ca="1" si="22"/>
        <v>636.67575261736988</v>
      </c>
      <c r="AV28" s="18">
        <f t="shared" ca="1" si="23"/>
        <v>0.69270000018013256</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1296.4405269550932</v>
      </c>
      <c r="G29" s="84">
        <f ca="1">MIN( CHOOSE(i.Opcion.Abono, __Capital_Opcion_1, __Capital_Opcion_2, __Capital_Opcion_3) _Actual, __Saldo_Inicial _Actual)</f>
        <v>644.34132867888297</v>
      </c>
      <c r="H29" s="84">
        <f t="shared" ca="1" si="0"/>
        <v>0</v>
      </c>
      <c r="I29" s="640">
        <f ca="1">MAX( __Capital_Elegida _Actual, __Stopper_Capital _Actual)</f>
        <v>644.34132867888297</v>
      </c>
      <c r="J29" s="644">
        <f t="shared" ca="1" si="1"/>
        <v>0.46455785549224171</v>
      </c>
      <c r="K29" s="644">
        <f t="shared" ca="1" si="2"/>
        <v>13.936735664767252</v>
      </c>
      <c r="L29" s="640">
        <f ca="1">Fechas!_Dias_Interes_Pago</f>
        <v>30</v>
      </c>
      <c r="M29" s="18">
        <f t="shared" ca="1" si="3"/>
        <v>13.936735664767252</v>
      </c>
      <c r="N29" s="18">
        <f t="shared" ca="1" si="4"/>
        <v>1.6724082797720701</v>
      </c>
      <c r="O29" s="18">
        <f t="shared" ca="1" si="5"/>
        <v>659.95047262342234</v>
      </c>
      <c r="P29" s="643">
        <f ca="1">T_Merger!__Salida_Abono_2</f>
        <v>0</v>
      </c>
      <c r="Q29" s="18">
        <f t="shared" ca="1" si="6"/>
        <v>652.09919827621025</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659.95047262342234</v>
      </c>
      <c r="AG29" s="84">
        <f ca="1">MAX( __Saldo_Final_Original _Anterior + __Saldo_Ciclico, 0)</f>
        <v>1296.4405269550932</v>
      </c>
      <c r="AH29" s="18">
        <f t="shared" ca="1" si="14"/>
        <v>0.46455785549224171</v>
      </c>
      <c r="AI29" s="18">
        <f t="shared" ca="1" si="15"/>
        <v>13.936735664767252</v>
      </c>
      <c r="AJ29" s="18">
        <f t="shared" ca="1" si="16"/>
        <v>13.936735664767252</v>
      </c>
      <c r="AK29" s="18">
        <f t="shared" ca="1" si="17"/>
        <v>0</v>
      </c>
      <c r="AL29" s="641">
        <f ca="1">MAX( ((( __Pago_Fijo - (__Interes_Regular_Original * (1 + i.Iva.Intereses)) ))), __Stopper_Capital_Original _Actual )</f>
        <v>644.34132867888297</v>
      </c>
      <c r="AM29" s="84">
        <f ca="1">MAX(__Saldo_Inicial_Original _Actual - __Capital_Original _Actual, 0)</f>
        <v>652.09919827621025</v>
      </c>
      <c r="AN29" s="615"/>
      <c r="AO29" s="18">
        <f t="shared" ca="1" si="18"/>
        <v>644.34132867888297</v>
      </c>
      <c r="AP29" s="18">
        <f t="shared" ca="1" si="19"/>
        <v>644.34132867889718</v>
      </c>
      <c r="AQ29" s="18">
        <f t="shared" ca="1" si="20"/>
        <v>15.609143944539323</v>
      </c>
      <c r="AR29" s="84">
        <f ca="1">IF( AND(__Abono_Anticipado _Anterior = 0, __Ciclicas &lt;&gt; 1 ), __Pago_Proyectado _Anterior, SUM(__Componentes_Pago_Proyectado _Actual))</f>
        <v>659.95047262342223</v>
      </c>
      <c r="AS29" s="641">
        <f t="shared" ca="1" si="21"/>
        <v>644.34132867888286</v>
      </c>
      <c r="AT29" s="641">
        <f t="shared" ca="1" si="22"/>
        <v>644.34132867888297</v>
      </c>
      <c r="AV29" s="18">
        <f t="shared" ca="1" si="23"/>
        <v>0.46455785549224171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652.09919827621025</v>
      </c>
      <c r="G30" s="84">
        <f ca="1">MIN( CHOOSE(i.Opcion.Abono, __Capital_Opcion_1, __Capital_Opcion_2, __Capital_Opcion_3) _Actual, __Saldo_Inicial _Actual)</f>
        <v>652.09919827621025</v>
      </c>
      <c r="H30" s="84">
        <f t="shared" ca="1" si="0"/>
        <v>652.09919827621025</v>
      </c>
      <c r="I30" s="640">
        <f ca="1">MAX( __Capital_Elegida _Actual, __Stopper_Capital _Actual)</f>
        <v>652.09919827621025</v>
      </c>
      <c r="J30" s="644">
        <f t="shared" ca="1" si="1"/>
        <v>0.23366887938230868</v>
      </c>
      <c r="K30" s="644">
        <f t="shared" ca="1" si="2"/>
        <v>7.0100663814692608</v>
      </c>
      <c r="L30" s="640">
        <f ca="1">Fechas!_Dias_Interes_Pago</f>
        <v>30</v>
      </c>
      <c r="M30" s="18">
        <f t="shared" ca="1" si="3"/>
        <v>7.0100663814692608</v>
      </c>
      <c r="N30" s="18">
        <f t="shared" ca="1" si="4"/>
        <v>0.84120796577631129</v>
      </c>
      <c r="O30" s="18">
        <f t="shared" ca="1" si="5"/>
        <v>659.95047262345588</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659.95047262342234</v>
      </c>
      <c r="AG30" s="84">
        <f ca="1">MAX( __Saldo_Final_Original _Anterior + __Saldo_Ciclico, 0)</f>
        <v>652.09919827621025</v>
      </c>
      <c r="AH30" s="18">
        <f t="shared" ca="1" si="14"/>
        <v>0.23366887938230868</v>
      </c>
      <c r="AI30" s="18">
        <f t="shared" ca="1" si="15"/>
        <v>7.0100663814692608</v>
      </c>
      <c r="AJ30" s="18">
        <f t="shared" ca="1" si="16"/>
        <v>7.0100663814692608</v>
      </c>
      <c r="AK30" s="18">
        <f t="shared" ca="1" si="17"/>
        <v>652.09919827621025</v>
      </c>
      <c r="AL30" s="641">
        <f ca="1">MAX( ((( __Pago_Fijo - (__Interes_Regular_Original * (1 + i.Iva.Intereses)) ))), __Stopper_Capital_Original _Actual )</f>
        <v>652.09919827621025</v>
      </c>
      <c r="AM30" s="84">
        <f ca="1">MAX(__Saldo_Inicial_Original _Actual - __Capital_Original _Actual, 0)</f>
        <v>0</v>
      </c>
      <c r="AN30" s="615"/>
      <c r="AO30" s="18">
        <f t="shared" ca="1" si="18"/>
        <v>652.09919827621025</v>
      </c>
      <c r="AP30" s="18">
        <f t="shared" ca="1" si="19"/>
        <v>652.09919827620774</v>
      </c>
      <c r="AQ30" s="18">
        <f t="shared" ca="1" si="20"/>
        <v>7.8512743472455719</v>
      </c>
      <c r="AR30" s="84">
        <f ca="1">IF( AND(__Abono_Anticipado _Anterior = 0, __Ciclicas &lt;&gt; 1 ), __Pago_Proyectado _Anterior, SUM(__Componentes_Pago_Proyectado _Actual))</f>
        <v>659.95047262342223</v>
      </c>
      <c r="AS30" s="641">
        <f t="shared" ca="1" si="21"/>
        <v>652.09919827617671</v>
      </c>
      <c r="AT30" s="641">
        <f t="shared" ca="1" si="22"/>
        <v>652.09919827617682</v>
      </c>
      <c r="AV30" s="18">
        <f t="shared" ca="1" si="23"/>
        <v>0.23366887938230868</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559.88195833865586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86.469314590400003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646.35127292905588</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11.779889474366412</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1.8193102200000002</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13.599199694366412</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1" t="s">
        <v>47</v>
      </c>
      <c r="E13" s="1002"/>
      <c r="F13" s="1003"/>
      <c r="H13" s="1001" t="s">
        <v>48</v>
      </c>
      <c r="I13" s="1003"/>
      <c r="K13" s="252" t="s">
        <v>49</v>
      </c>
      <c r="L13" s="253"/>
      <c r="M13" s="253"/>
      <c r="N13" s="253"/>
      <c r="O13" s="253"/>
      <c r="P13" s="253"/>
      <c r="Q13" s="253"/>
      <c r="R13" s="253"/>
      <c r="S13" s="253"/>
      <c r="T13" s="253"/>
      <c r="U13" s="253"/>
      <c r="V13" s="253"/>
      <c r="W13" s="253"/>
      <c r="X13" s="253"/>
      <c r="Y13" s="253"/>
      <c r="Z13" s="254"/>
      <c r="AB13" s="1007" t="s">
        <v>1665</v>
      </c>
      <c r="AC13" s="1007"/>
      <c r="AD13" s="1007"/>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Tablas'!B27</f>
        <v>141000</v>
      </c>
      <c r="E16" s="615"/>
      <c r="X16" s="616"/>
      <c r="AP16" s="616"/>
      <c r="AQ16" s="616"/>
      <c r="AR16" s="616"/>
      <c r="AS16" s="616"/>
      <c r="AT16" s="616"/>
      <c r="AW16" s="616"/>
      <c r="AX16" s="616"/>
      <c r="AY16" s="616"/>
    </row>
    <row r="17" spans="1:51">
      <c r="A17" s="215" t="s">
        <v>20</v>
      </c>
      <c r="B17" s="623">
        <f>'Configuración de Tablas'!B28</f>
        <v>30</v>
      </c>
      <c r="D17" s="617"/>
      <c r="E17" s="615"/>
      <c r="P17" s="261">
        <f ca="1">SUM(__Interes)</f>
        <v>9866.3761809515454</v>
      </c>
      <c r="R17" s="261">
        <f ca="1">SUM(__Iva)</f>
        <v>1183.9651417141854</v>
      </c>
      <c r="T17" s="261"/>
      <c r="U17" s="261"/>
      <c r="V17" s="261">
        <f ca="1">SUM(__Capital)</f>
        <v>141000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Tablas'!B29</f>
        <v>12</v>
      </c>
      <c r="E18" s="615"/>
      <c r="X18" s="616"/>
      <c r="AP18" s="616"/>
      <c r="AQ18" s="616"/>
      <c r="AR18" s="616"/>
      <c r="AS18" s="616"/>
      <c r="AT18" s="616"/>
      <c r="AW18" s="616"/>
      <c r="AX18" s="616"/>
      <c r="AY18" s="616"/>
    </row>
    <row r="19" spans="1:51">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26</v>
      </c>
      <c r="P19" s="18">
        <f t="shared" ref="P19:P82" ca="1" si="6" xml:space="preserve"> __Interes_Diario * __Dias_Interes_Periodo</f>
        <v>1313.6499999999999</v>
      </c>
      <c r="R19" s="18">
        <f t="shared" ref="R19:R82" ca="1" si="7" xml:space="preserve"> __Interes * i.Iva.Intereses</f>
        <v>157.63799999999998</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12463.372443555425</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17"/>
      <c r="AF19" s="617"/>
      <c r="AG19" s="617" t="s">
        <v>57</v>
      </c>
      <c r="AI19" s="89" t="s">
        <v>58</v>
      </c>
      <c r="AP19" s="616"/>
      <c r="AQ19" s="616"/>
      <c r="AR19" s="616"/>
      <c r="AS19" s="616"/>
      <c r="AT19" s="616"/>
      <c r="AW19" s="616"/>
      <c r="AX19" s="616"/>
      <c r="AY19" s="616"/>
    </row>
    <row r="20" spans="1:51">
      <c r="A20" s="215" t="s">
        <v>1660</v>
      </c>
      <c r="B20" s="630">
        <f ca="1">'Configuración de Tablas'!B31</f>
        <v>0.12</v>
      </c>
      <c r="D20" s="616">
        <v>2</v>
      </c>
      <c r="E20" s="616">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17"/>
      <c r="AF20" s="617"/>
      <c r="AI20" s="89" t="s">
        <v>59</v>
      </c>
      <c r="AP20" s="616"/>
      <c r="AQ20" s="616"/>
      <c r="AR20" s="616"/>
      <c r="AS20" s="616"/>
      <c r="AT20" s="616"/>
      <c r="AW20" s="616"/>
      <c r="AX20" s="616"/>
      <c r="AY20" s="616"/>
    </row>
    <row r="21" spans="1:51">
      <c r="A21" s="215" t="s">
        <v>1646</v>
      </c>
      <c r="B21" s="630">
        <f ca="1">'Configuración de Tablas'!B32</f>
        <v>0.129</v>
      </c>
      <c r="D21" s="616">
        <v>3</v>
      </c>
      <c r="E21" s="616">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17"/>
      <c r="AF21" s="617"/>
      <c r="AG21" s="617"/>
      <c r="AI21" s="89" t="s">
        <v>61</v>
      </c>
      <c r="AP21" s="616"/>
      <c r="AQ21" s="616"/>
      <c r="AR21" s="616"/>
      <c r="AS21" s="616"/>
      <c r="AT21" s="616"/>
      <c r="AW21" s="616"/>
      <c r="AX21" s="616"/>
      <c r="AY21" s="616"/>
    </row>
    <row r="22" spans="1:51">
      <c r="A22" s="215" t="s">
        <v>14</v>
      </c>
      <c r="B22" s="624">
        <f>'Configuración de Tablas'!B33</f>
        <v>360</v>
      </c>
      <c r="D22" s="616">
        <v>4</v>
      </c>
      <c r="E22" s="616">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17"/>
      <c r="AF22" s="617"/>
      <c r="AG22" s="617"/>
      <c r="AI22" s="89" t="s">
        <v>63</v>
      </c>
      <c r="AP22" s="616"/>
      <c r="AQ22" s="616"/>
      <c r="AR22" s="616"/>
      <c r="AS22" s="616"/>
      <c r="AT22" s="616"/>
      <c r="AW22" s="616"/>
      <c r="AX22" s="616"/>
      <c r="AY22" s="616"/>
    </row>
    <row r="23" spans="1:51">
      <c r="A23" s="89" t="s">
        <v>42</v>
      </c>
      <c r="B23" s="631" t="str">
        <f>'Configuración de Tablas'!B34</f>
        <v>Fechas!_Dias_Interes_Pago</v>
      </c>
      <c r="D23" s="616">
        <v>5</v>
      </c>
      <c r="E23" s="616">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17"/>
      <c r="AF23" s="617"/>
      <c r="AG23" s="617" t="s">
        <v>46</v>
      </c>
      <c r="AI23" s="89" t="s">
        <v>65</v>
      </c>
      <c r="AP23" s="616"/>
      <c r="AQ23" s="616"/>
      <c r="AR23" s="616"/>
      <c r="AS23" s="616"/>
      <c r="AT23" s="616"/>
      <c r="AW23" s="616"/>
      <c r="AX23" s="616"/>
      <c r="AY23" s="616"/>
    </row>
    <row r="24" spans="1:51">
      <c r="A24" s="89" t="s">
        <v>43</v>
      </c>
      <c r="B24" s="632" t="b">
        <f>'Configuración de Tablas'!B35</f>
        <v>0</v>
      </c>
      <c r="D24" s="616">
        <v>6</v>
      </c>
      <c r="E24" s="616">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17"/>
      <c r="AF24" s="617"/>
      <c r="AI24" s="89" t="s">
        <v>78</v>
      </c>
      <c r="AP24" s="616"/>
      <c r="AQ24" s="616"/>
      <c r="AR24" s="616"/>
      <c r="AS24" s="616"/>
      <c r="AT24" s="616"/>
      <c r="AW24" s="616"/>
      <c r="AX24" s="616"/>
      <c r="AY24" s="616"/>
    </row>
    <row r="25" spans="1:51">
      <c r="A25" s="89" t="s">
        <v>44</v>
      </c>
      <c r="B25" s="624">
        <f>'Configuración de Tablas'!B36</f>
        <v>0</v>
      </c>
      <c r="D25" s="616">
        <v>7</v>
      </c>
      <c r="E25" s="616">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17"/>
      <c r="AF25" s="617"/>
      <c r="AI25" s="89" t="s">
        <v>80</v>
      </c>
      <c r="AP25" s="616"/>
      <c r="AQ25" s="616"/>
      <c r="AR25" s="616"/>
      <c r="AS25" s="616"/>
      <c r="AT25" s="616"/>
      <c r="AW25" s="616"/>
      <c r="AX25" s="616"/>
      <c r="AY25" s="616"/>
    </row>
    <row r="26" spans="1:51">
      <c r="A26" s="89" t="s">
        <v>45</v>
      </c>
      <c r="B26" s="624" t="str">
        <f>'Configuración de Tablas'!B37</f>
        <v>Fechas!_Dias_Interes_CAT</v>
      </c>
      <c r="D26" s="616">
        <v>8</v>
      </c>
      <c r="E26" s="616">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10992.084443555425</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1697.64</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12689.724443555424</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1" t="s">
        <v>47</v>
      </c>
      <c r="E13" s="1002"/>
      <c r="F13" s="1003"/>
      <c r="H13" s="1001" t="s">
        <v>48</v>
      </c>
      <c r="I13" s="1003"/>
      <c r="K13" s="252" t="s">
        <v>49</v>
      </c>
      <c r="L13" s="253"/>
      <c r="M13" s="253"/>
      <c r="N13" s="253"/>
      <c r="O13" s="253"/>
      <c r="P13" s="253"/>
      <c r="Q13" s="253"/>
      <c r="R13" s="253"/>
      <c r="S13" s="253"/>
      <c r="T13" s="253"/>
      <c r="U13" s="253"/>
      <c r="V13" s="253"/>
      <c r="W13" s="253"/>
      <c r="X13" s="253"/>
      <c r="Y13" s="253"/>
      <c r="Z13" s="254"/>
      <c r="AB13" s="1007" t="s">
        <v>1665</v>
      </c>
      <c r="AC13" s="1007"/>
      <c r="AD13" s="1007"/>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Tablas'!E27</f>
        <v>0</v>
      </c>
      <c r="E16" s="615"/>
      <c r="X16" s="616"/>
      <c r="AP16" s="616"/>
      <c r="AQ16" s="616"/>
      <c r="AR16" s="616"/>
      <c r="AS16" s="616"/>
      <c r="AT16" s="616"/>
      <c r="AW16" s="616"/>
      <c r="AX16" s="616"/>
      <c r="AY16" s="616"/>
    </row>
    <row r="17" spans="1:51">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Tablas'!E29</f>
        <v>12</v>
      </c>
      <c r="E18" s="615"/>
      <c r="X18" s="616"/>
      <c r="AP18" s="616"/>
      <c r="AQ18" s="616"/>
      <c r="AR18" s="616"/>
      <c r="AS18" s="616"/>
      <c r="AT18" s="616"/>
      <c r="AW18" s="616"/>
      <c r="AX18" s="616"/>
      <c r="AY18" s="616"/>
    </row>
    <row r="19" spans="1:51">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26</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c r="A21" s="215" t="s">
        <v>1646</v>
      </c>
      <c r="B21" s="630">
        <f ca="1">'Configuración de Tablas'!E32</f>
        <v>0.129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1001" t="s">
        <v>47</v>
      </c>
      <c r="E13" s="1002"/>
      <c r="F13" s="1003"/>
      <c r="H13" s="1001" t="s">
        <v>48</v>
      </c>
      <c r="I13" s="1003"/>
      <c r="K13" s="252" t="s">
        <v>49</v>
      </c>
      <c r="L13" s="253"/>
      <c r="M13" s="253"/>
      <c r="N13" s="253"/>
      <c r="O13" s="253"/>
      <c r="P13" s="253"/>
      <c r="Q13" s="253"/>
      <c r="R13" s="253"/>
      <c r="S13" s="253"/>
      <c r="T13" s="253"/>
      <c r="U13" s="253"/>
      <c r="V13" s="253"/>
      <c r="W13" s="253"/>
      <c r="X13" s="253"/>
      <c r="Y13" s="253"/>
      <c r="Z13" s="254"/>
      <c r="AB13" s="1007" t="s">
        <v>1665</v>
      </c>
      <c r="AC13" s="1007"/>
      <c r="AD13" s="1007"/>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Tablas'!H27</f>
        <v>7181.8367600000001</v>
      </c>
      <c r="E16" s="615"/>
      <c r="X16" s="616"/>
      <c r="AP16" s="616"/>
      <c r="AQ16" s="616"/>
      <c r="AR16" s="616"/>
      <c r="AS16" s="616"/>
      <c r="AT16" s="616"/>
      <c r="AW16" s="616"/>
      <c r="AX16" s="616"/>
      <c r="AY16" s="616"/>
    </row>
    <row r="17" spans="1:51">
      <c r="A17" s="215" t="s">
        <v>20</v>
      </c>
      <c r="B17" s="623">
        <f>'Configuración de Tablas'!H28</f>
        <v>30</v>
      </c>
      <c r="D17" s="617"/>
      <c r="E17" s="615"/>
      <c r="P17" s="261">
        <f ca="1">SUM(__Interes)</f>
        <v>513.1174953926029</v>
      </c>
      <c r="R17" s="261">
        <f ca="1">SUM(__Iva)</f>
        <v>61.574099447112346</v>
      </c>
      <c r="T17" s="261"/>
      <c r="U17" s="261"/>
      <c r="V17" s="261">
        <f ca="1">SUM(__Capital)</f>
        <v>7332.942259999998</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Tablas'!H29</f>
        <v>12</v>
      </c>
      <c r="E18" s="615"/>
      <c r="X18" s="616"/>
      <c r="AP18" s="616"/>
      <c r="AQ18" s="616"/>
      <c r="AR18" s="616"/>
      <c r="AS18" s="616"/>
      <c r="AT18" s="616"/>
      <c r="AW18" s="616"/>
      <c r="AX18" s="616"/>
      <c r="AY18" s="616"/>
    </row>
    <row r="19" spans="1:51">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659.95047262342234</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26</v>
      </c>
      <c r="P19" s="18">
        <f t="shared" ref="P19:P82" ca="1" si="6" xml:space="preserve"> __Interes_Diario * __Dias_Interes_Periodo</f>
        <v>68.318578722333328</v>
      </c>
      <c r="R19" s="18">
        <f t="shared" ref="R19:R82" ca="1" si="7" xml:space="preserve"> __Interes * i.Iva.Intereses</f>
        <v>8.1982294466799992</v>
      </c>
      <c r="T19" s="84">
        <f t="shared" ref="T19:T82" ca="1" si="8" xml:space="preserve"> __Pago_Fijo - ( __Interes_Periodo_Regular * ( 1 + i.Iva.Intereses ) )</f>
        <v>571.66184781302229</v>
      </c>
      <c r="U19" s="84">
        <f t="shared" ref="U19:U82" ca="1" si="9">__Saldo_Inicial * ( __Amortizacion = i.Numero.Pagos )</f>
        <v>0</v>
      </c>
      <c r="V19" s="84">
        <f ca="1">MAX( __Calculo_Capital _Actual, __Stopper_Capital _Actual )</f>
        <v>571.66184781302229</v>
      </c>
      <c r="X19" s="84">
        <f t="shared" ref="X19:X82" ca="1" si="10" xml:space="preserve"> __Capital + __Interes + __Iva</f>
        <v>648.17865598203559</v>
      </c>
      <c r="Z19" s="84">
        <f ca="1">MAX(__Saldo_Inicial _Actual - __Capital _Actual, 0)</f>
        <v>6761.2804121869776</v>
      </c>
      <c r="AB19" s="216">
        <f>Fechas!_Dias_Interes_CAT</f>
        <v>30</v>
      </c>
      <c r="AC19" s="84">
        <f t="shared" ref="AC19:AC82" ca="1" si="11" xml:space="preserve"> __Interes_Diario * __Dias_Cat</f>
        <v>78.829129295000001</v>
      </c>
      <c r="AD19" s="217">
        <f t="shared" ref="AD19:AD82" ca="1" si="12" xml:space="preserve"> __Capital + __Interes_CAT</f>
        <v>650.49097710802232</v>
      </c>
      <c r="AE19" s="617"/>
      <c r="AF19" s="617"/>
      <c r="AG19" s="617" t="s">
        <v>57</v>
      </c>
      <c r="AI19" s="89" t="s">
        <v>58</v>
      </c>
      <c r="AP19" s="616"/>
      <c r="AQ19" s="616"/>
      <c r="AR19" s="616"/>
      <c r="AS19" s="616"/>
      <c r="AT19" s="616"/>
      <c r="AW19" s="616"/>
      <c r="AX19" s="616"/>
      <c r="AY19" s="616"/>
    </row>
    <row r="20" spans="1:51">
      <c r="A20" s="215" t="s">
        <v>1660</v>
      </c>
      <c r="B20" s="630">
        <f ca="1">'Configuración de Tablas'!H31</f>
        <v>0.12</v>
      </c>
      <c r="D20" s="616">
        <v>2</v>
      </c>
      <c r="E20" s="616">
        <f t="shared" ca="1" si="0"/>
        <v>2</v>
      </c>
      <c r="F20" s="30">
        <f t="shared" ca="1" si="1"/>
        <v>1</v>
      </c>
      <c r="H20" s="18">
        <f t="shared" ca="1" si="2"/>
        <v>0</v>
      </c>
      <c r="I20" s="84">
        <f t="shared" ca="1" si="3"/>
        <v>659.95047262342234</v>
      </c>
      <c r="K20" s="84">
        <f ca="1">MAX( __Saldo_Final _Anterior + __Saldo_Ciclico, 0)</f>
        <v>6761.2804121869776</v>
      </c>
      <c r="M20" s="18">
        <f t="shared" ca="1" si="4"/>
        <v>2.4227921477003336</v>
      </c>
      <c r="N20" s="18">
        <f t="shared" ca="1" si="5"/>
        <v>72.683764431010005</v>
      </c>
      <c r="O20" s="18">
        <f ca="1">Fechas!_Dias_Interes_Pago</f>
        <v>30</v>
      </c>
      <c r="P20" s="18">
        <f t="shared" ca="1" si="6"/>
        <v>72.683764431010005</v>
      </c>
      <c r="R20" s="84">
        <f t="shared" ca="1" si="7"/>
        <v>8.7220517317211996</v>
      </c>
      <c r="T20" s="84">
        <f t="shared" ca="1" si="8"/>
        <v>578.54465646069116</v>
      </c>
      <c r="U20" s="84">
        <f t="shared" ca="1" si="9"/>
        <v>0</v>
      </c>
      <c r="V20" s="84">
        <f ca="1">MAX( __Calculo_Capital _Actual, __Stopper_Capital _Actual )</f>
        <v>578.54465646069116</v>
      </c>
      <c r="X20" s="84">
        <f t="shared" ca="1" si="10"/>
        <v>659.95047262342234</v>
      </c>
      <c r="Z20" s="84">
        <f ca="1">MAX(__Saldo_Inicial _Actual - __Capital _Actual, 0)</f>
        <v>6182.7357557262867</v>
      </c>
      <c r="AB20" s="216">
        <f>Fechas!_Dias_Interes_CAT</f>
        <v>30</v>
      </c>
      <c r="AC20" s="84">
        <f t="shared" ca="1" si="11"/>
        <v>72.683764431010005</v>
      </c>
      <c r="AD20" s="217">
        <f t="shared" ca="1" si="12"/>
        <v>651.22842089170115</v>
      </c>
      <c r="AE20" s="617"/>
      <c r="AF20" s="617"/>
      <c r="AI20" s="89" t="s">
        <v>59</v>
      </c>
      <c r="AP20" s="616"/>
      <c r="AQ20" s="616"/>
      <c r="AR20" s="616"/>
      <c r="AS20" s="616"/>
      <c r="AT20" s="616"/>
      <c r="AW20" s="616"/>
      <c r="AX20" s="616"/>
      <c r="AY20" s="616"/>
    </row>
    <row r="21" spans="1:51">
      <c r="A21" s="215" t="s">
        <v>1646</v>
      </c>
      <c r="B21" s="630">
        <f ca="1">'Configuración de Tablas'!H32</f>
        <v>0.129</v>
      </c>
      <c r="D21" s="616">
        <v>3</v>
      </c>
      <c r="E21" s="616">
        <f t="shared" ca="1" si="0"/>
        <v>3</v>
      </c>
      <c r="F21" s="30">
        <f t="shared" ca="1" si="1"/>
        <v>1</v>
      </c>
      <c r="H21" s="18">
        <f t="shared" ca="1" si="2"/>
        <v>0</v>
      </c>
      <c r="I21" s="84">
        <f t="shared" ca="1" si="3"/>
        <v>659.95047262342234</v>
      </c>
      <c r="K21" s="84">
        <f ca="1">MAX( __Saldo_Final _Anterior + __Saldo_Ciclico, 0)</f>
        <v>6182.7357557262867</v>
      </c>
      <c r="M21" s="18">
        <f t="shared" ca="1" si="4"/>
        <v>2.215480312468586</v>
      </c>
      <c r="N21" s="18">
        <f t="shared" ca="1" si="5"/>
        <v>66.464409374057581</v>
      </c>
      <c r="O21" s="18">
        <f ca="1">Fechas!_Dias_Interes_Pago</f>
        <v>30</v>
      </c>
      <c r="P21" s="18">
        <f t="shared" ca="1" si="6"/>
        <v>66.464409374057581</v>
      </c>
      <c r="R21" s="84">
        <f t="shared" ca="1" si="7"/>
        <v>7.9757291248869091</v>
      </c>
      <c r="T21" s="84">
        <f t="shared" ca="1" si="8"/>
        <v>585.51033412447782</v>
      </c>
      <c r="U21" s="84">
        <f t="shared" ca="1" si="9"/>
        <v>0</v>
      </c>
      <c r="V21" s="84">
        <f ca="1">MAX( __Calculo_Capital _Actual, __Stopper_Capital _Actual )</f>
        <v>585.51033412447782</v>
      </c>
      <c r="X21" s="84">
        <f t="shared" ca="1" si="10"/>
        <v>659.95047262342234</v>
      </c>
      <c r="Z21" s="84">
        <f ca="1">MAX(__Saldo_Inicial _Actual - __Capital _Actual, 0)</f>
        <v>5597.2254216018091</v>
      </c>
      <c r="AB21" s="216">
        <f>Fechas!_Dias_Interes_CAT</f>
        <v>30</v>
      </c>
      <c r="AC21" s="84">
        <f t="shared" ca="1" si="11"/>
        <v>66.464409374057581</v>
      </c>
      <c r="AD21" s="217">
        <f t="shared" ca="1" si="12"/>
        <v>651.97474349853542</v>
      </c>
      <c r="AE21" s="617"/>
      <c r="AF21" s="617"/>
      <c r="AG21" s="617"/>
      <c r="AI21" s="89" t="s">
        <v>61</v>
      </c>
      <c r="AP21" s="616"/>
      <c r="AQ21" s="616"/>
      <c r="AR21" s="616"/>
      <c r="AS21" s="616"/>
      <c r="AT21" s="616"/>
      <c r="AW21" s="616"/>
      <c r="AX21" s="616"/>
      <c r="AY21" s="616"/>
    </row>
    <row r="22" spans="1:51">
      <c r="A22" s="215" t="s">
        <v>14</v>
      </c>
      <c r="B22" s="624">
        <f>'Configuración de Tablas'!H33</f>
        <v>360</v>
      </c>
      <c r="D22" s="616">
        <v>4</v>
      </c>
      <c r="E22" s="616">
        <f t="shared" ca="1" si="0"/>
        <v>4</v>
      </c>
      <c r="F22" s="30">
        <f t="shared" ca="1" si="1"/>
        <v>1</v>
      </c>
      <c r="H22" s="18">
        <f t="shared" ca="1" si="2"/>
        <v>0</v>
      </c>
      <c r="I22" s="84">
        <f t="shared" ca="1" si="3"/>
        <v>659.95047262342234</v>
      </c>
      <c r="K22" s="84">
        <f ca="1">MAX( __Saldo_Final _Anterior + __Saldo_Ciclico, 0)</f>
        <v>5597.2254216018091</v>
      </c>
      <c r="M22" s="18">
        <f t="shared" ca="1" si="4"/>
        <v>2.0056724427406483</v>
      </c>
      <c r="N22" s="18">
        <f t="shared" ca="1" si="5"/>
        <v>60.170173282219451</v>
      </c>
      <c r="O22" s="18">
        <f ca="1">Fechas!_Dias_Interes_Pago</f>
        <v>30</v>
      </c>
      <c r="P22" s="18">
        <f t="shared" ca="1" si="6"/>
        <v>60.170173282219451</v>
      </c>
      <c r="R22" s="84">
        <f t="shared" ca="1" si="7"/>
        <v>7.2204207938663343</v>
      </c>
      <c r="T22" s="84">
        <f t="shared" ca="1" si="8"/>
        <v>592.55987854733655</v>
      </c>
      <c r="U22" s="84">
        <f t="shared" ca="1" si="9"/>
        <v>0</v>
      </c>
      <c r="V22" s="84">
        <f ca="1">MAX( __Calculo_Capital _Actual, __Stopper_Capital _Actual )</f>
        <v>592.55987854733655</v>
      </c>
      <c r="X22" s="84">
        <f t="shared" ca="1" si="10"/>
        <v>659.95047262342234</v>
      </c>
      <c r="Z22" s="84">
        <f ca="1">MAX(__Saldo_Inicial _Actual - __Capital _Actual, 0)</f>
        <v>5004.6655430544724</v>
      </c>
      <c r="AB22" s="216">
        <f>Fechas!_Dias_Interes_CAT</f>
        <v>30</v>
      </c>
      <c r="AC22" s="84">
        <f t="shared" ca="1" si="11"/>
        <v>60.170173282219451</v>
      </c>
      <c r="AD22" s="217">
        <f t="shared" ca="1" si="12"/>
        <v>652.73005182955603</v>
      </c>
      <c r="AE22" s="617"/>
      <c r="AF22" s="617"/>
      <c r="AG22" s="617"/>
      <c r="AI22" s="89" t="s">
        <v>63</v>
      </c>
      <c r="AP22" s="616"/>
      <c r="AQ22" s="616"/>
      <c r="AR22" s="616"/>
      <c r="AS22" s="616"/>
      <c r="AT22" s="616"/>
      <c r="AW22" s="616"/>
      <c r="AX22" s="616"/>
      <c r="AY22" s="616"/>
    </row>
    <row r="23" spans="1:51">
      <c r="A23" s="89" t="s">
        <v>42</v>
      </c>
      <c r="B23" s="631" t="str">
        <f>'Configuración de Tablas'!H34</f>
        <v>Fechas!_Dias_Interes_Pago</v>
      </c>
      <c r="D23" s="616">
        <v>5</v>
      </c>
      <c r="E23" s="616">
        <f t="shared" ca="1" si="0"/>
        <v>5</v>
      </c>
      <c r="F23" s="30">
        <f t="shared" ca="1" si="1"/>
        <v>1</v>
      </c>
      <c r="H23" s="18">
        <f t="shared" ca="1" si="2"/>
        <v>0</v>
      </c>
      <c r="I23" s="84">
        <f t="shared" ca="1" si="3"/>
        <v>659.95047262342234</v>
      </c>
      <c r="K23" s="84">
        <f ca="1">MAX( __Saldo_Final _Anterior + __Saldo_Ciclico, 0)</f>
        <v>5004.6655430544724</v>
      </c>
      <c r="M23" s="18">
        <f t="shared" ca="1" si="4"/>
        <v>1.7933384862611859</v>
      </c>
      <c r="N23" s="18">
        <f t="shared" ca="1" si="5"/>
        <v>53.800154587835578</v>
      </c>
      <c r="O23" s="18">
        <f ca="1">Fechas!_Dias_Interes_Pago</f>
        <v>30</v>
      </c>
      <c r="P23" s="18">
        <f t="shared" ca="1" si="6"/>
        <v>53.800154587835578</v>
      </c>
      <c r="R23" s="84">
        <f t="shared" ca="1" si="7"/>
        <v>6.4560185505402687</v>
      </c>
      <c r="T23" s="84">
        <f t="shared" ca="1" si="8"/>
        <v>599.69429948504649</v>
      </c>
      <c r="U23" s="84">
        <f t="shared" ca="1" si="9"/>
        <v>0</v>
      </c>
      <c r="V23" s="84">
        <f ca="1">MAX( __Calculo_Capital _Actual, __Stopper_Capital _Actual )</f>
        <v>599.69429948504649</v>
      </c>
      <c r="X23" s="84">
        <f t="shared" ca="1" si="10"/>
        <v>659.95047262342234</v>
      </c>
      <c r="Z23" s="84">
        <f ca="1">MAX(__Saldo_Inicial _Actual - __Capital _Actual, 0)</f>
        <v>4404.9712435694255</v>
      </c>
      <c r="AB23" s="216">
        <f>Fechas!_Dias_Interes_CAT</f>
        <v>30</v>
      </c>
      <c r="AC23" s="84">
        <f t="shared" ca="1" si="11"/>
        <v>53.800154587835578</v>
      </c>
      <c r="AD23" s="217">
        <f t="shared" ca="1" si="12"/>
        <v>653.49445407288204</v>
      </c>
      <c r="AE23" s="617"/>
      <c r="AF23" s="617"/>
      <c r="AG23" s="617" t="s">
        <v>46</v>
      </c>
      <c r="AI23" s="89" t="s">
        <v>65</v>
      </c>
      <c r="AP23" s="616"/>
      <c r="AQ23" s="616"/>
      <c r="AR23" s="616"/>
      <c r="AS23" s="616"/>
      <c r="AT23" s="616"/>
      <c r="AW23" s="616"/>
      <c r="AX23" s="616"/>
      <c r="AY23" s="616"/>
    </row>
    <row r="24" spans="1:51">
      <c r="A24" s="89" t="s">
        <v>43</v>
      </c>
      <c r="B24" s="632" t="b">
        <f>'Configuración de Tablas'!H35</f>
        <v>1</v>
      </c>
      <c r="D24" s="616">
        <v>6</v>
      </c>
      <c r="E24" s="616">
        <f t="shared" ca="1" si="0"/>
        <v>6</v>
      </c>
      <c r="F24" s="30">
        <f t="shared" ca="1" si="1"/>
        <v>1</v>
      </c>
      <c r="H24" s="18">
        <f t="shared" ca="1" si="2"/>
        <v>0</v>
      </c>
      <c r="I24" s="84">
        <f t="shared" ca="1" si="3"/>
        <v>659.95047262342234</v>
      </c>
      <c r="K24" s="84">
        <f ca="1">MAX( __Saldo_Final _Anterior + __Saldo_Ciclico, 0)</f>
        <v>4404.9712435694255</v>
      </c>
      <c r="M24" s="18">
        <f t="shared" ca="1" si="4"/>
        <v>1.5784480289457108</v>
      </c>
      <c r="N24" s="18">
        <f t="shared" ca="1" si="5"/>
        <v>47.353440868371322</v>
      </c>
      <c r="O24" s="18">
        <f ca="1">Fechas!_Dias_Interes_Pago</f>
        <v>30</v>
      </c>
      <c r="P24" s="18">
        <f t="shared" ca="1" si="6"/>
        <v>47.353440868371322</v>
      </c>
      <c r="R24" s="84">
        <f t="shared" ca="1" si="7"/>
        <v>5.6824129042045586</v>
      </c>
      <c r="T24" s="84">
        <f t="shared" ca="1" si="8"/>
        <v>606.91461885084641</v>
      </c>
      <c r="U24" s="84">
        <f t="shared" ca="1" si="9"/>
        <v>0</v>
      </c>
      <c r="V24" s="84">
        <f ca="1">MAX( __Calculo_Capital _Actual, __Stopper_Capital _Actual )</f>
        <v>606.91461885084641</v>
      </c>
      <c r="X24" s="84">
        <f t="shared" ca="1" si="10"/>
        <v>659.95047262342223</v>
      </c>
      <c r="Z24" s="84">
        <f ca="1">MAX(__Saldo_Inicial _Actual - __Capital _Actual, 0)</f>
        <v>3798.0566247185789</v>
      </c>
      <c r="AB24" s="216">
        <f>Fechas!_Dias_Interes_CAT</f>
        <v>30</v>
      </c>
      <c r="AC24" s="84">
        <f t="shared" ca="1" si="11"/>
        <v>47.353440868371322</v>
      </c>
      <c r="AD24" s="217">
        <f t="shared" ca="1" si="12"/>
        <v>654.26805971921772</v>
      </c>
      <c r="AE24" s="617"/>
      <c r="AF24" s="617"/>
      <c r="AI24" s="89" t="s">
        <v>78</v>
      </c>
      <c r="AP24" s="616"/>
      <c r="AQ24" s="616"/>
      <c r="AR24" s="616"/>
      <c r="AS24" s="616"/>
      <c r="AT24" s="616"/>
      <c r="AW24" s="616"/>
      <c r="AX24" s="616"/>
      <c r="AY24" s="616"/>
    </row>
    <row r="25" spans="1:51">
      <c r="A25" s="89" t="s">
        <v>44</v>
      </c>
      <c r="B25" s="624">
        <f ca="1">'Configuración de Tablas'!H36</f>
        <v>151.10550000000001</v>
      </c>
      <c r="D25" s="616">
        <v>7</v>
      </c>
      <c r="E25" s="616">
        <f t="shared" ca="1" si="0"/>
        <v>7</v>
      </c>
      <c r="F25" s="30">
        <f t="shared" ca="1" si="1"/>
        <v>1</v>
      </c>
      <c r="H25" s="18">
        <f t="shared" ca="1" si="2"/>
        <v>0</v>
      </c>
      <c r="I25" s="84">
        <f t="shared" ca="1" si="3"/>
        <v>659.95047262342234</v>
      </c>
      <c r="K25" s="84">
        <f ca="1">MAX( __Saldo_Final _Anterior + __Saldo_Ciclico, 0)</f>
        <v>3798.0566247185789</v>
      </c>
      <c r="M25" s="18">
        <f t="shared" ca="1" si="4"/>
        <v>1.3609702905241574</v>
      </c>
      <c r="N25" s="18">
        <f t="shared" ca="1" si="5"/>
        <v>40.829108715724722</v>
      </c>
      <c r="O25" s="18">
        <f ca="1">Fechas!_Dias_Interes_Pago</f>
        <v>30</v>
      </c>
      <c r="P25" s="18">
        <f t="shared" ca="1" si="6"/>
        <v>40.829108715724722</v>
      </c>
      <c r="R25" s="84">
        <f t="shared" ca="1" si="7"/>
        <v>4.8994930458869668</v>
      </c>
      <c r="T25" s="84">
        <f t="shared" ca="1" si="8"/>
        <v>614.22187086181066</v>
      </c>
      <c r="U25" s="84">
        <f t="shared" ca="1" si="9"/>
        <v>0</v>
      </c>
      <c r="V25" s="84">
        <f ca="1">MAX( __Calculo_Capital _Actual, __Stopper_Capital _Actual )</f>
        <v>614.22187086181066</v>
      </c>
      <c r="X25" s="84">
        <f t="shared" ca="1" si="10"/>
        <v>659.95047262342234</v>
      </c>
      <c r="Z25" s="84">
        <f ca="1">MAX(__Saldo_Inicial _Actual - __Capital _Actual, 0)</f>
        <v>3183.8347538567682</v>
      </c>
      <c r="AB25" s="216">
        <f>Fechas!_Dias_Interes_CAT</f>
        <v>30</v>
      </c>
      <c r="AC25" s="84">
        <f t="shared" ca="1" si="11"/>
        <v>40.829108715724722</v>
      </c>
      <c r="AD25" s="217">
        <f t="shared" ca="1" si="12"/>
        <v>655.05097957753537</v>
      </c>
      <c r="AE25" s="617"/>
      <c r="AF25" s="617"/>
      <c r="AI25" s="89" t="s">
        <v>80</v>
      </c>
      <c r="AP25" s="616"/>
      <c r="AQ25" s="616"/>
      <c r="AR25" s="616"/>
      <c r="AS25" s="616"/>
      <c r="AT25" s="616"/>
      <c r="AW25" s="616"/>
      <c r="AX25" s="616"/>
      <c r="AY25" s="616"/>
    </row>
    <row r="26" spans="1:51">
      <c r="A26" s="89" t="s">
        <v>45</v>
      </c>
      <c r="B26" s="624" t="str">
        <f>'Configuración de Tablas'!H37</f>
        <v>Fechas!_Dias_Interes_CAT</v>
      </c>
      <c r="D26" s="616">
        <v>8</v>
      </c>
      <c r="E26" s="616">
        <f t="shared" ca="1" si="0"/>
        <v>8</v>
      </c>
      <c r="F26" s="30">
        <f t="shared" ca="1" si="1"/>
        <v>1</v>
      </c>
      <c r="H26" s="18">
        <f t="shared" ca="1" si="2"/>
        <v>0</v>
      </c>
      <c r="I26" s="84">
        <f t="shared" ca="1" si="3"/>
        <v>659.95047262342234</v>
      </c>
      <c r="K26" s="84">
        <f ca="1">MAX( __Saldo_Final _Anterior + __Saldo_Ciclico, 0)</f>
        <v>3183.8347538567682</v>
      </c>
      <c r="M26" s="18">
        <f t="shared" ca="1" si="4"/>
        <v>1.1408741201320085</v>
      </c>
      <c r="N26" s="18">
        <f t="shared" ca="1" si="5"/>
        <v>34.226223603960257</v>
      </c>
      <c r="O26" s="18">
        <f ca="1">Fechas!_Dias_Interes_Pago</f>
        <v>30</v>
      </c>
      <c r="P26" s="18">
        <f t="shared" ca="1" si="6"/>
        <v>34.226223603960257</v>
      </c>
      <c r="R26" s="84">
        <f t="shared" ca="1" si="7"/>
        <v>4.1071468324752303</v>
      </c>
      <c r="T26" s="84">
        <f t="shared" ca="1" si="8"/>
        <v>621.61710218698681</v>
      </c>
      <c r="U26" s="84">
        <f t="shared" ca="1" si="9"/>
        <v>0</v>
      </c>
      <c r="V26" s="84">
        <f ca="1">MAX( __Calculo_Capital _Actual, __Stopper_Capital _Actual )</f>
        <v>621.61710218698681</v>
      </c>
      <c r="X26" s="84">
        <f t="shared" ca="1" si="10"/>
        <v>659.95047262342234</v>
      </c>
      <c r="Z26" s="84">
        <f ca="1">MAX(__Saldo_Inicial _Actual - __Capital _Actual, 0)</f>
        <v>2562.2176516697814</v>
      </c>
      <c r="AB26" s="216">
        <f>Fechas!_Dias_Interes_CAT</f>
        <v>30</v>
      </c>
      <c r="AC26" s="84">
        <f t="shared" ca="1" si="11"/>
        <v>34.226223603960257</v>
      </c>
      <c r="AD26" s="217">
        <f t="shared" ca="1" si="12"/>
        <v>655.84332579094712</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659.95047262342234</v>
      </c>
      <c r="K27" s="84">
        <f ca="1">MAX( __Saldo_Final _Anterior + __Saldo_Ciclico, 0)</f>
        <v>2562.2176516697814</v>
      </c>
      <c r="M27" s="18">
        <f t="shared" ca="1" si="4"/>
        <v>0.91812799184833838</v>
      </c>
      <c r="N27" s="18">
        <f t="shared" ca="1" si="5"/>
        <v>27.543839755450151</v>
      </c>
      <c r="O27" s="18">
        <f ca="1">Fechas!_Dias_Interes_Pago</f>
        <v>30</v>
      </c>
      <c r="P27" s="18">
        <f t="shared" ca="1" si="6"/>
        <v>27.543839755450151</v>
      </c>
      <c r="R27" s="84">
        <f t="shared" ca="1" si="7"/>
        <v>3.305260770654018</v>
      </c>
      <c r="T27" s="84">
        <f t="shared" ca="1" si="8"/>
        <v>629.10137209731818</v>
      </c>
      <c r="U27" s="84">
        <f t="shared" ca="1" si="9"/>
        <v>0</v>
      </c>
      <c r="V27" s="84">
        <f ca="1">MAX( __Calculo_Capital _Actual, __Stopper_Capital _Actual )</f>
        <v>629.10137209731818</v>
      </c>
      <c r="X27" s="84">
        <f t="shared" ca="1" si="10"/>
        <v>659.95047262342234</v>
      </c>
      <c r="Z27" s="84">
        <f ca="1">MAX(__Saldo_Inicial _Actual - __Capital _Actual, 0)</f>
        <v>1933.1162795724631</v>
      </c>
      <c r="AB27" s="216">
        <f>Fechas!_Dias_Interes_CAT</f>
        <v>30</v>
      </c>
      <c r="AC27" s="84">
        <f t="shared" ca="1" si="11"/>
        <v>27.543839755450151</v>
      </c>
      <c r="AD27" s="217">
        <f t="shared" ca="1" si="12"/>
        <v>656.64521185276828</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659.95047262342234</v>
      </c>
      <c r="K28" s="84">
        <f ca="1">MAX( __Saldo_Final _Anterior + __Saldo_Ciclico, 0)</f>
        <v>1933.1162795724631</v>
      </c>
      <c r="M28" s="18">
        <f t="shared" ca="1" si="4"/>
        <v>0.69270000018013256</v>
      </c>
      <c r="N28" s="18">
        <f t="shared" ca="1" si="5"/>
        <v>20.781000005403978</v>
      </c>
      <c r="O28" s="18">
        <f ca="1">Fechas!_Dias_Interes_Pago</f>
        <v>30</v>
      </c>
      <c r="P28" s="18">
        <f t="shared" ca="1" si="6"/>
        <v>20.781000005403978</v>
      </c>
      <c r="R28" s="84">
        <f t="shared" ca="1" si="7"/>
        <v>2.4937200006484774</v>
      </c>
      <c r="T28" s="84">
        <f t="shared" ca="1" si="8"/>
        <v>636.67575261736988</v>
      </c>
      <c r="U28" s="84">
        <f t="shared" ca="1" si="9"/>
        <v>0</v>
      </c>
      <c r="V28" s="84">
        <f ca="1">MAX( __Calculo_Capital _Actual, __Stopper_Capital _Actual )</f>
        <v>636.67575261736988</v>
      </c>
      <c r="X28" s="84">
        <f t="shared" ca="1" si="10"/>
        <v>659.95047262342234</v>
      </c>
      <c r="Z28" s="84">
        <f ca="1">MAX(__Saldo_Inicial _Actual - __Capital _Actual, 0)</f>
        <v>1296.4405269550932</v>
      </c>
      <c r="AB28" s="216">
        <f>Fechas!_Dias_Interes_CAT</f>
        <v>30</v>
      </c>
      <c r="AC28" s="84">
        <f t="shared" ca="1" si="11"/>
        <v>20.781000005403978</v>
      </c>
      <c r="AD28" s="217">
        <f t="shared" ca="1" si="12"/>
        <v>657.45675262277382</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659.95047262342234</v>
      </c>
      <c r="K29" s="84">
        <f ca="1">MAX( __Saldo_Final _Anterior + __Saldo_Ciclico, 0)</f>
        <v>1296.4405269550932</v>
      </c>
      <c r="M29" s="18">
        <f t="shared" ca="1" si="4"/>
        <v>0.46455785549224171</v>
      </c>
      <c r="N29" s="18">
        <f t="shared" ca="1" si="5"/>
        <v>13.936735664767252</v>
      </c>
      <c r="O29" s="18">
        <f ca="1">Fechas!_Dias_Interes_Pago</f>
        <v>30</v>
      </c>
      <c r="P29" s="18">
        <f t="shared" ca="1" si="6"/>
        <v>13.936735664767252</v>
      </c>
      <c r="R29" s="84">
        <f t="shared" ca="1" si="7"/>
        <v>1.6724082797720701</v>
      </c>
      <c r="T29" s="84">
        <f t="shared" ca="1" si="8"/>
        <v>644.34132867888297</v>
      </c>
      <c r="U29" s="84">
        <f t="shared" ca="1" si="9"/>
        <v>0</v>
      </c>
      <c r="V29" s="84">
        <f ca="1">MAX( __Calculo_Capital _Actual, __Stopper_Capital _Actual )</f>
        <v>644.34132867888297</v>
      </c>
      <c r="X29" s="84">
        <f t="shared" ca="1" si="10"/>
        <v>659.95047262342234</v>
      </c>
      <c r="Z29" s="84">
        <f ca="1">MAX(__Saldo_Inicial _Actual - __Capital _Actual, 0)</f>
        <v>652.09919827621025</v>
      </c>
      <c r="AB29" s="216">
        <f>Fechas!_Dias_Interes_CAT</f>
        <v>30</v>
      </c>
      <c r="AC29" s="84">
        <f t="shared" ca="1" si="11"/>
        <v>13.936735664767252</v>
      </c>
      <c r="AD29" s="217">
        <f t="shared" ca="1" si="12"/>
        <v>658.27806434365027</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659.95047262342234</v>
      </c>
      <c r="K30" s="84">
        <f ca="1">MAX( __Saldo_Final _Anterior + __Saldo_Ciclico, 0)</f>
        <v>652.09919827621025</v>
      </c>
      <c r="M30" s="18">
        <f t="shared" ca="1" si="4"/>
        <v>0.23366887938230868</v>
      </c>
      <c r="N30" s="18">
        <f t="shared" ca="1" si="5"/>
        <v>7.0100663814692608</v>
      </c>
      <c r="O30" s="18">
        <f ca="1">Fechas!_Dias_Interes_Pago</f>
        <v>30</v>
      </c>
      <c r="P30" s="18">
        <f t="shared" ca="1" si="6"/>
        <v>7.0100663814692608</v>
      </c>
      <c r="R30" s="84">
        <f t="shared" ca="1" si="7"/>
        <v>0.84120796577631129</v>
      </c>
      <c r="T30" s="84">
        <f t="shared" ca="1" si="8"/>
        <v>652.09919827617682</v>
      </c>
      <c r="U30" s="84">
        <f t="shared" ca="1" si="9"/>
        <v>652.09919827621025</v>
      </c>
      <c r="V30" s="84">
        <f ca="1">MAX( __Calculo_Capital _Actual, __Stopper_Capital _Actual )</f>
        <v>652.09919827621025</v>
      </c>
      <c r="X30" s="84">
        <f t="shared" ca="1" si="10"/>
        <v>659.95047262345588</v>
      </c>
      <c r="Z30" s="84">
        <f ca="1">MAX(__Saldo_Inicial _Actual - __Capital _Actual, 0)</f>
        <v>0</v>
      </c>
      <c r="AB30" s="216">
        <f>Fechas!_Dias_Interes_CAT</f>
        <v>30</v>
      </c>
      <c r="AC30" s="84">
        <f t="shared" ca="1" si="11"/>
        <v>7.0100663814692608</v>
      </c>
      <c r="AD30" s="217">
        <f t="shared" ca="1" si="12"/>
        <v>659.10926465767955</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559.88195833865586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86.469314590400003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646.35127292905588</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11.779889474366412</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1.8193102200000002</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13.599199694366412</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75" thickTop="1">
      <c r="A2" s="628" t="s">
        <v>5012</v>
      </c>
      <c r="G2" s="415"/>
      <c r="I2" s="415"/>
      <c r="J2" s="415"/>
      <c r="K2" s="415"/>
      <c r="L2" s="415"/>
      <c r="M2" s="215"/>
      <c r="T2" s="415"/>
      <c r="U2" s="415"/>
      <c r="V2" s="415"/>
      <c r="W2" s="415"/>
      <c r="X2" s="415"/>
      <c r="AA2" s="415"/>
      <c r="AB2" s="415"/>
      <c r="AC2" s="415"/>
    </row>
    <row r="3" spans="1:29" s="436" customFormat="1" ht="15" customHeight="1">
      <c r="A3" s="89" t="s">
        <v>5013</v>
      </c>
      <c r="B3" s="615"/>
      <c r="G3" s="101"/>
      <c r="I3" s="101"/>
      <c r="J3" s="101"/>
      <c r="K3" s="101"/>
      <c r="L3" s="101"/>
      <c r="M3" s="266"/>
      <c r="T3" s="101"/>
      <c r="U3" s="101"/>
      <c r="V3" s="101"/>
      <c r="W3" s="101"/>
      <c r="X3" s="101"/>
      <c r="AA3" s="101"/>
      <c r="AB3" s="101"/>
      <c r="AC3" s="101"/>
    </row>
    <row r="4" spans="1:29" s="437" customFormat="1" ht="15" hidden="1" customHeight="1">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c r="A5" s="615"/>
      <c r="B5" s="615"/>
      <c r="G5" s="615"/>
      <c r="I5" s="615"/>
      <c r="J5" s="615"/>
      <c r="K5" s="615"/>
      <c r="L5" s="615"/>
      <c r="M5" s="89"/>
      <c r="N5" s="250"/>
      <c r="T5" s="615"/>
      <c r="U5" s="615"/>
      <c r="V5" s="615"/>
      <c r="W5" s="615"/>
      <c r="X5" s="615"/>
      <c r="AA5" s="615"/>
      <c r="AB5" s="615"/>
      <c r="AC5" s="615"/>
    </row>
    <row r="6" spans="1:29" s="616" customFormat="1" ht="15" hidden="1" customHeight="1">
      <c r="A6" s="615"/>
      <c r="B6" s="615"/>
      <c r="G6" s="615"/>
      <c r="I6" s="615"/>
      <c r="J6" s="615"/>
      <c r="K6" s="615"/>
      <c r="L6" s="615"/>
      <c r="M6" s="89"/>
      <c r="T6" s="615"/>
      <c r="U6" s="615"/>
      <c r="V6" s="615"/>
      <c r="W6" s="615"/>
      <c r="X6" s="615"/>
      <c r="AA6" s="615"/>
      <c r="AB6" s="615"/>
      <c r="AC6" s="615"/>
    </row>
    <row r="7" spans="1:29" s="616" customFormat="1" ht="15" hidden="1" customHeight="1">
      <c r="A7" s="615"/>
      <c r="B7" s="615"/>
      <c r="G7" s="615"/>
      <c r="I7" s="615"/>
      <c r="J7" s="615"/>
      <c r="K7" s="615"/>
      <c r="L7" s="615"/>
      <c r="M7" s="89"/>
      <c r="T7" s="615"/>
      <c r="U7" s="615"/>
      <c r="V7" s="615"/>
      <c r="W7" s="615"/>
      <c r="X7" s="615"/>
      <c r="AA7" s="615"/>
      <c r="AB7" s="615"/>
      <c r="AC7" s="615"/>
    </row>
    <row r="8" spans="1:29" s="616" customFormat="1" ht="15" hidden="1" customHeight="1">
      <c r="A8" s="615"/>
      <c r="B8" s="615"/>
      <c r="G8" s="615"/>
      <c r="M8" s="89"/>
      <c r="T8" s="615"/>
      <c r="U8" s="615"/>
      <c r="V8" s="615"/>
      <c r="W8" s="615"/>
      <c r="X8" s="615"/>
      <c r="AA8" s="615"/>
      <c r="AB8" s="615"/>
      <c r="AC8" s="615"/>
    </row>
    <row r="9" spans="1:29" s="616" customFormat="1" ht="15" hidden="1" customHeight="1">
      <c r="A9" s="615"/>
      <c r="B9" s="615"/>
      <c r="G9" s="615"/>
      <c r="M9" s="86"/>
      <c r="N9" s="18"/>
      <c r="T9" s="615"/>
      <c r="U9" s="615"/>
      <c r="V9" s="615"/>
      <c r="W9" s="615"/>
      <c r="X9" s="615"/>
      <c r="AA9" s="615"/>
      <c r="AB9" s="615"/>
      <c r="AC9" s="615"/>
    </row>
    <row r="10" spans="1:29" s="616" customFormat="1" ht="15" hidden="1" customHeight="1">
      <c r="A10" s="615"/>
      <c r="B10" s="615"/>
      <c r="G10" s="615"/>
      <c r="M10" s="86"/>
      <c r="N10" s="18"/>
      <c r="T10" s="615"/>
      <c r="U10" s="615"/>
      <c r="V10" s="615"/>
      <c r="W10" s="615"/>
      <c r="X10" s="615"/>
      <c r="AA10" s="615"/>
      <c r="AB10" s="615"/>
      <c r="AC10" s="615"/>
    </row>
    <row r="11" spans="1:29" s="616" customFormat="1" ht="15" hidden="1" customHeight="1">
      <c r="A11" s="615"/>
      <c r="B11" s="615"/>
      <c r="D11" s="95"/>
      <c r="E11" s="95"/>
      <c r="F11" s="437"/>
      <c r="G11" s="615"/>
      <c r="H11" s="251"/>
      <c r="M11" s="89"/>
      <c r="T11" s="615"/>
      <c r="U11" s="615"/>
      <c r="V11" s="615"/>
      <c r="W11" s="615"/>
      <c r="X11" s="615"/>
      <c r="AA11" s="615"/>
      <c r="AB11" s="615"/>
      <c r="AC11" s="615"/>
    </row>
    <row r="12" spans="1:29" s="616" customFormat="1" hidden="1">
      <c r="A12" s="615"/>
      <c r="B12" s="615"/>
      <c r="D12" s="95"/>
      <c r="E12" s="95"/>
      <c r="F12" s="437"/>
      <c r="G12" s="615"/>
      <c r="H12" s="251"/>
      <c r="M12" s="89"/>
      <c r="T12" s="615"/>
      <c r="U12" s="615"/>
      <c r="V12" s="615"/>
      <c r="W12" s="615"/>
      <c r="X12" s="615"/>
      <c r="AA12" s="615"/>
      <c r="AB12" s="615"/>
      <c r="AC12" s="615"/>
    </row>
    <row r="13" spans="1:29" s="616" customFormat="1" hidden="1">
      <c r="A13" s="615"/>
      <c r="B13" s="615"/>
      <c r="D13" s="615"/>
      <c r="E13" s="615"/>
      <c r="F13" s="615"/>
      <c r="G13" s="615"/>
      <c r="H13" s="615"/>
      <c r="M13" s="89"/>
    </row>
    <row r="14" spans="1:29" s="437" customFormat="1">
      <c r="A14" s="615"/>
      <c r="B14" s="615"/>
      <c r="D14" s="415"/>
      <c r="E14" s="415"/>
      <c r="G14" s="615"/>
      <c r="M14" s="215"/>
    </row>
    <row r="15" spans="1:29" s="80" customFormat="1">
      <c r="A15" s="627" t="s">
        <v>4960</v>
      </c>
      <c r="B15" s="626"/>
      <c r="C15" s="85"/>
      <c r="D15" s="256" t="s">
        <v>2388</v>
      </c>
      <c r="E15" s="256" t="s">
        <v>2389</v>
      </c>
      <c r="F15" s="256" t="s">
        <v>2390</v>
      </c>
      <c r="G15" s="615"/>
      <c r="H15" s="625" t="s">
        <v>2391</v>
      </c>
      <c r="M15" s="267"/>
    </row>
    <row r="16" spans="1:29">
      <c r="A16" s="89" t="s">
        <v>2392</v>
      </c>
      <c r="B16" s="624">
        <f ca="1">'Configuración de Tablas'!K27</f>
        <v>7181.8367600000001</v>
      </c>
      <c r="E16" s="615"/>
    </row>
    <row r="17" spans="1:13">
      <c r="A17" s="89" t="s">
        <v>2394</v>
      </c>
      <c r="B17" s="623">
        <f ca="1">'Configuración de Tablas'!K28</f>
        <v>12</v>
      </c>
      <c r="D17" s="617"/>
      <c r="E17" s="615"/>
      <c r="K17" s="262" t="s">
        <v>56</v>
      </c>
      <c r="L17" s="616"/>
    </row>
    <row r="18" spans="1:13">
      <c r="A18" s="89" t="s">
        <v>2395</v>
      </c>
      <c r="B18" s="623">
        <f ca="1">'Configuración de Tablas'!K29</f>
        <v>12</v>
      </c>
      <c r="D18" s="249">
        <v>0</v>
      </c>
      <c r="E18" s="265"/>
      <c r="F18" s="249"/>
      <c r="G18" s="265"/>
      <c r="H18" s="249"/>
      <c r="K18" s="616"/>
      <c r="L18" s="616"/>
    </row>
    <row r="19" spans="1:1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c r="A20" s="255" t="s">
        <v>425</v>
      </c>
      <c r="B20" s="247"/>
      <c r="D20" s="616">
        <v>2</v>
      </c>
      <c r="E20" s="616">
        <f t="shared" ca="1" si="0"/>
        <v>2</v>
      </c>
      <c r="F20" s="30">
        <f t="shared" ca="1" si="1"/>
        <v>1</v>
      </c>
      <c r="H20" s="18">
        <f t="shared" ca="1" si="2"/>
        <v>0</v>
      </c>
      <c r="K20" s="615" t="s">
        <v>5012</v>
      </c>
      <c r="L20" s="268">
        <v>42271</v>
      </c>
      <c r="M20" s="615" t="s">
        <v>5011</v>
      </c>
    </row>
    <row r="21" spans="1:13">
      <c r="A21" s="86" t="s">
        <v>2393</v>
      </c>
      <c r="B21" s="210">
        <f ca="1">i.Periodos.Por.Año</f>
        <v>12</v>
      </c>
      <c r="D21" s="616">
        <v>3</v>
      </c>
      <c r="E21" s="616">
        <f t="shared" ca="1" si="0"/>
        <v>3</v>
      </c>
      <c r="F21" s="30">
        <f t="shared" ca="1" si="1"/>
        <v>1</v>
      </c>
      <c r="H21" s="18">
        <f t="shared" ca="1" si="2"/>
        <v>0</v>
      </c>
      <c r="M21" s="615" t="s">
        <v>5010</v>
      </c>
    </row>
    <row r="22" spans="1:13">
      <c r="A22" s="615"/>
      <c r="B22" s="615"/>
      <c r="D22" s="616">
        <v>4</v>
      </c>
      <c r="E22" s="616">
        <f t="shared" ca="1" si="0"/>
        <v>4</v>
      </c>
      <c r="F22" s="30">
        <f t="shared" ca="1" si="1"/>
        <v>1</v>
      </c>
      <c r="H22" s="18">
        <f t="shared" ca="1" si="2"/>
        <v>0</v>
      </c>
      <c r="M22" s="615" t="s">
        <v>5009</v>
      </c>
    </row>
    <row r="23" spans="1:13">
      <c r="A23" s="615"/>
      <c r="B23" s="615"/>
      <c r="D23" s="616">
        <v>5</v>
      </c>
      <c r="E23" s="616">
        <f t="shared" ca="1" si="0"/>
        <v>5</v>
      </c>
      <c r="F23" s="30">
        <f t="shared" ca="1" si="1"/>
        <v>1</v>
      </c>
      <c r="H23" s="18">
        <f t="shared" ca="1" si="2"/>
        <v>0</v>
      </c>
      <c r="M23" s="615" t="s">
        <v>5008</v>
      </c>
    </row>
    <row r="24" spans="1:13">
      <c r="A24" s="615"/>
      <c r="B24" s="615"/>
      <c r="D24" s="616">
        <v>6</v>
      </c>
      <c r="E24" s="616">
        <f t="shared" ca="1" si="0"/>
        <v>6</v>
      </c>
      <c r="F24" s="30">
        <f t="shared" ca="1" si="1"/>
        <v>1</v>
      </c>
      <c r="H24" s="18">
        <f t="shared" ca="1" si="2"/>
        <v>0</v>
      </c>
      <c r="M24" s="615" t="s">
        <v>5007</v>
      </c>
    </row>
    <row r="25" spans="1:13">
      <c r="A25" s="615"/>
      <c r="B25" s="615"/>
      <c r="D25" s="616">
        <v>7</v>
      </c>
      <c r="E25" s="616">
        <f t="shared" ca="1" si="0"/>
        <v>7</v>
      </c>
      <c r="F25" s="30">
        <f t="shared" ca="1" si="1"/>
        <v>1</v>
      </c>
      <c r="H25" s="18">
        <f t="shared" ca="1" si="2"/>
        <v>0</v>
      </c>
    </row>
    <row r="26" spans="1:13">
      <c r="A26" s="615"/>
      <c r="B26" s="615"/>
      <c r="D26" s="616">
        <v>8</v>
      </c>
      <c r="E26" s="616">
        <f t="shared" ca="1" si="0"/>
        <v>8</v>
      </c>
      <c r="F26" s="30">
        <f t="shared" ca="1" si="1"/>
        <v>1</v>
      </c>
      <c r="H26" s="18">
        <f t="shared" ca="1" si="2"/>
        <v>0</v>
      </c>
    </row>
    <row r="27" spans="1:13">
      <c r="A27" s="615"/>
      <c r="B27" s="615"/>
      <c r="D27" s="616">
        <v>9</v>
      </c>
      <c r="E27" s="616">
        <f t="shared" ca="1" si="0"/>
        <v>9</v>
      </c>
      <c r="F27" s="30">
        <f t="shared" ca="1" si="1"/>
        <v>1</v>
      </c>
      <c r="H27" s="18">
        <f t="shared" ca="1" si="2"/>
        <v>0</v>
      </c>
    </row>
    <row r="28" spans="1:13">
      <c r="D28" s="616">
        <v>10</v>
      </c>
      <c r="E28" s="616">
        <f t="shared" ca="1" si="0"/>
        <v>10</v>
      </c>
      <c r="F28" s="30">
        <f t="shared" ca="1" si="1"/>
        <v>1</v>
      </c>
      <c r="H28" s="18">
        <f t="shared" ca="1" si="2"/>
        <v>0</v>
      </c>
    </row>
    <row r="29" spans="1:13">
      <c r="D29" s="616">
        <v>11</v>
      </c>
      <c r="E29" s="616">
        <f t="shared" ca="1" si="0"/>
        <v>11</v>
      </c>
      <c r="F29" s="30">
        <f t="shared" ca="1" si="1"/>
        <v>1</v>
      </c>
      <c r="H29" s="18">
        <f t="shared" ca="1" si="2"/>
        <v>0</v>
      </c>
    </row>
    <row r="30" spans="1:13">
      <c r="D30" s="616">
        <v>12</v>
      </c>
      <c r="E30" s="616">
        <f t="shared" ca="1" si="0"/>
        <v>12</v>
      </c>
      <c r="F30" s="30">
        <f t="shared" ca="1" si="1"/>
        <v>1</v>
      </c>
      <c r="H30" s="18">
        <f t="shared" ca="1" si="2"/>
        <v>0</v>
      </c>
    </row>
    <row r="31" spans="1:13">
      <c r="D31" s="616">
        <v>13</v>
      </c>
      <c r="E31" s="616">
        <f t="shared" ca="1" si="0"/>
        <v>1</v>
      </c>
      <c r="F31" s="30">
        <f t="shared" ca="1" si="1"/>
        <v>2</v>
      </c>
      <c r="H31" s="18">
        <f t="shared" ca="1" si="2"/>
        <v>0</v>
      </c>
    </row>
    <row r="32" spans="1:13">
      <c r="D32" s="616">
        <v>14</v>
      </c>
      <c r="E32" s="616">
        <f t="shared" ca="1" si="0"/>
        <v>2</v>
      </c>
      <c r="F32" s="30">
        <f t="shared" ca="1" si="1"/>
        <v>2</v>
      </c>
      <c r="H32" s="18">
        <f t="shared" ca="1" si="2"/>
        <v>0</v>
      </c>
    </row>
    <row r="33" spans="1:8">
      <c r="D33" s="616">
        <v>15</v>
      </c>
      <c r="E33" s="616">
        <f t="shared" ca="1" si="0"/>
        <v>3</v>
      </c>
      <c r="F33" s="30">
        <f t="shared" ca="1" si="1"/>
        <v>2</v>
      </c>
      <c r="H33" s="18">
        <f t="shared" ca="1" si="2"/>
        <v>0</v>
      </c>
    </row>
    <row r="34" spans="1:8">
      <c r="D34" s="616">
        <v>16</v>
      </c>
      <c r="E34" s="616">
        <f t="shared" ca="1" si="0"/>
        <v>4</v>
      </c>
      <c r="F34" s="30">
        <f t="shared" ca="1" si="1"/>
        <v>2</v>
      </c>
      <c r="H34" s="18">
        <f t="shared" ca="1" si="2"/>
        <v>0</v>
      </c>
    </row>
    <row r="35" spans="1:8">
      <c r="D35" s="616">
        <v>17</v>
      </c>
      <c r="E35" s="616">
        <f t="shared" ca="1" si="0"/>
        <v>5</v>
      </c>
      <c r="F35" s="30">
        <f t="shared" ca="1" si="1"/>
        <v>2</v>
      </c>
      <c r="H35" s="18">
        <f t="shared" ca="1" si="2"/>
        <v>0</v>
      </c>
    </row>
    <row r="36" spans="1:8">
      <c r="A36" s="30"/>
      <c r="B36" s="88"/>
      <c r="D36" s="616">
        <v>18</v>
      </c>
      <c r="E36" s="616">
        <f t="shared" ca="1" si="0"/>
        <v>6</v>
      </c>
      <c r="F36" s="30">
        <f t="shared" ca="1" si="1"/>
        <v>2</v>
      </c>
      <c r="H36" s="18">
        <f t="shared" ca="1" si="2"/>
        <v>0</v>
      </c>
    </row>
    <row r="37" spans="1:8">
      <c r="D37" s="616">
        <v>19</v>
      </c>
      <c r="E37" s="616">
        <f t="shared" ca="1" si="0"/>
        <v>7</v>
      </c>
      <c r="F37" s="30">
        <f t="shared" ca="1" si="1"/>
        <v>2</v>
      </c>
      <c r="H37" s="18">
        <f t="shared" ca="1" si="2"/>
        <v>0</v>
      </c>
    </row>
    <row r="38" spans="1:8">
      <c r="A38" s="30"/>
      <c r="B38" s="30"/>
      <c r="D38" s="616">
        <v>20</v>
      </c>
      <c r="E38" s="616">
        <f t="shared" ca="1" si="0"/>
        <v>8</v>
      </c>
      <c r="F38" s="30">
        <f t="shared" ca="1" si="1"/>
        <v>2</v>
      </c>
      <c r="H38" s="18">
        <f t="shared" ca="1" si="2"/>
        <v>0</v>
      </c>
    </row>
    <row r="39" spans="1:8">
      <c r="A39" s="30"/>
      <c r="B39" s="30"/>
      <c r="D39" s="616">
        <v>21</v>
      </c>
      <c r="E39" s="616">
        <f t="shared" ca="1" si="0"/>
        <v>9</v>
      </c>
      <c r="F39" s="30">
        <f t="shared" ca="1" si="1"/>
        <v>2</v>
      </c>
      <c r="H39" s="18">
        <f t="shared" ca="1" si="2"/>
        <v>0</v>
      </c>
    </row>
    <row r="40" spans="1:8">
      <c r="A40" s="30"/>
      <c r="B40" s="30"/>
      <c r="D40" s="616">
        <v>22</v>
      </c>
      <c r="E40" s="616">
        <f t="shared" ca="1" si="0"/>
        <v>10</v>
      </c>
      <c r="F40" s="30">
        <f t="shared" ca="1" si="1"/>
        <v>2</v>
      </c>
      <c r="H40" s="18">
        <f t="shared" ca="1" si="2"/>
        <v>0</v>
      </c>
    </row>
    <row r="41" spans="1:8">
      <c r="A41" s="219"/>
      <c r="B41" s="219"/>
      <c r="D41" s="616">
        <v>23</v>
      </c>
      <c r="E41" s="616">
        <f t="shared" ca="1" si="0"/>
        <v>11</v>
      </c>
      <c r="F41" s="30">
        <f t="shared" ca="1" si="1"/>
        <v>2</v>
      </c>
      <c r="H41" s="18">
        <f t="shared" ca="1" si="2"/>
        <v>0</v>
      </c>
    </row>
    <row r="42" spans="1:8">
      <c r="A42" s="30"/>
      <c r="B42" s="30"/>
      <c r="D42" s="616">
        <v>24</v>
      </c>
      <c r="E42" s="616">
        <f t="shared" ca="1" si="0"/>
        <v>12</v>
      </c>
      <c r="F42" s="30">
        <f t="shared" ca="1" si="1"/>
        <v>2</v>
      </c>
      <c r="H42" s="18">
        <f t="shared" ca="1" si="2"/>
        <v>0</v>
      </c>
    </row>
    <row r="43" spans="1:8">
      <c r="A43" s="30"/>
      <c r="B43" s="30"/>
      <c r="C43" s="98"/>
      <c r="D43" s="616">
        <v>25</v>
      </c>
      <c r="E43" s="616">
        <f t="shared" ca="1" si="0"/>
        <v>1</v>
      </c>
      <c r="F43" s="30">
        <f t="shared" ca="1" si="1"/>
        <v>3</v>
      </c>
      <c r="H43" s="18">
        <f t="shared" ca="1" si="2"/>
        <v>0</v>
      </c>
    </row>
    <row r="44" spans="1:8">
      <c r="A44" s="30"/>
      <c r="B44" s="30"/>
      <c r="D44" s="616">
        <v>26</v>
      </c>
      <c r="E44" s="616">
        <f t="shared" ca="1" si="0"/>
        <v>2</v>
      </c>
      <c r="F44" s="30">
        <f t="shared" ca="1" si="1"/>
        <v>3</v>
      </c>
      <c r="H44" s="18">
        <f t="shared" ca="1" si="2"/>
        <v>0</v>
      </c>
    </row>
    <row r="45" spans="1:8">
      <c r="A45" s="30"/>
      <c r="B45" s="30"/>
      <c r="D45" s="616">
        <v>27</v>
      </c>
      <c r="E45" s="616">
        <f t="shared" ca="1" si="0"/>
        <v>3</v>
      </c>
      <c r="F45" s="30">
        <f t="shared" ca="1" si="1"/>
        <v>3</v>
      </c>
      <c r="H45" s="18">
        <f t="shared" ca="1" si="2"/>
        <v>0</v>
      </c>
    </row>
    <row r="46" spans="1:8">
      <c r="A46" s="30"/>
      <c r="B46" s="30"/>
      <c r="D46" s="616">
        <v>28</v>
      </c>
      <c r="E46" s="616">
        <f t="shared" ca="1" si="0"/>
        <v>4</v>
      </c>
      <c r="F46" s="30">
        <f t="shared" ca="1" si="1"/>
        <v>3</v>
      </c>
      <c r="H46" s="18">
        <f t="shared" ca="1" si="2"/>
        <v>0</v>
      </c>
    </row>
    <row r="47" spans="1:8">
      <c r="A47" s="30"/>
      <c r="B47" s="30"/>
      <c r="D47" s="616">
        <v>29</v>
      </c>
      <c r="E47" s="616">
        <f t="shared" ca="1" si="0"/>
        <v>5</v>
      </c>
      <c r="F47" s="30">
        <f t="shared" ca="1" si="1"/>
        <v>3</v>
      </c>
      <c r="H47" s="18">
        <f t="shared" ca="1" si="2"/>
        <v>0</v>
      </c>
    </row>
    <row r="48" spans="1:8">
      <c r="A48" s="30"/>
      <c r="B48" s="30"/>
      <c r="D48" s="616">
        <v>30</v>
      </c>
      <c r="E48" s="616">
        <f t="shared" ca="1" si="0"/>
        <v>6</v>
      </c>
      <c r="F48" s="30">
        <f t="shared" ca="1" si="1"/>
        <v>3</v>
      </c>
      <c r="H48" s="18">
        <f t="shared" ca="1" si="2"/>
        <v>0</v>
      </c>
    </row>
    <row r="49" spans="1:8">
      <c r="A49" s="30"/>
      <c r="B49" s="30"/>
      <c r="D49" s="616">
        <v>31</v>
      </c>
      <c r="E49" s="616">
        <f t="shared" ca="1" si="0"/>
        <v>7</v>
      </c>
      <c r="F49" s="30">
        <f t="shared" ca="1" si="1"/>
        <v>3</v>
      </c>
      <c r="H49" s="18">
        <f t="shared" ca="1" si="2"/>
        <v>0</v>
      </c>
    </row>
    <row r="50" spans="1:8">
      <c r="A50" s="30"/>
      <c r="B50" s="30"/>
      <c r="D50" s="616">
        <v>32</v>
      </c>
      <c r="E50" s="616">
        <f t="shared" ca="1" si="0"/>
        <v>8</v>
      </c>
      <c r="F50" s="30">
        <f t="shared" ca="1" si="1"/>
        <v>3</v>
      </c>
      <c r="H50" s="18">
        <f t="shared" ca="1" si="2"/>
        <v>0</v>
      </c>
    </row>
    <row r="51" spans="1:8">
      <c r="A51" s="30"/>
      <c r="B51" s="30"/>
      <c r="D51" s="616">
        <v>33</v>
      </c>
      <c r="E51" s="616">
        <f t="shared" ca="1" si="0"/>
        <v>9</v>
      </c>
      <c r="F51" s="30">
        <f t="shared" ca="1" si="1"/>
        <v>3</v>
      </c>
      <c r="H51" s="18">
        <f t="shared" ca="1" si="2"/>
        <v>0</v>
      </c>
    </row>
    <row r="52" spans="1:8">
      <c r="A52" s="30"/>
      <c r="B52" s="30"/>
      <c r="D52" s="616">
        <v>34</v>
      </c>
      <c r="E52" s="616">
        <f t="shared" ca="1" si="0"/>
        <v>10</v>
      </c>
      <c r="F52" s="30">
        <f t="shared" ca="1" si="1"/>
        <v>3</v>
      </c>
      <c r="H52" s="18">
        <f t="shared" ca="1" si="2"/>
        <v>0</v>
      </c>
    </row>
    <row r="53" spans="1:8">
      <c r="A53" s="30"/>
      <c r="B53" s="30"/>
      <c r="D53" s="616">
        <v>35</v>
      </c>
      <c r="E53" s="616">
        <f t="shared" ca="1" si="0"/>
        <v>11</v>
      </c>
      <c r="F53" s="30">
        <f t="shared" ca="1" si="1"/>
        <v>3</v>
      </c>
      <c r="H53" s="18">
        <f t="shared" ca="1" si="2"/>
        <v>0</v>
      </c>
    </row>
    <row r="54" spans="1:8">
      <c r="A54" s="30"/>
      <c r="B54" s="30"/>
      <c r="D54" s="616">
        <v>36</v>
      </c>
      <c r="E54" s="616">
        <f t="shared" ca="1" si="0"/>
        <v>12</v>
      </c>
      <c r="F54" s="30">
        <f t="shared" ca="1" si="1"/>
        <v>3</v>
      </c>
      <c r="H54" s="18">
        <f t="shared" ca="1" si="2"/>
        <v>0</v>
      </c>
    </row>
    <row r="55" spans="1:8">
      <c r="A55" s="30"/>
      <c r="B55" s="30"/>
      <c r="D55" s="616">
        <v>37</v>
      </c>
      <c r="E55" s="616">
        <f t="shared" ca="1" si="0"/>
        <v>1</v>
      </c>
      <c r="F55" s="30">
        <f t="shared" ca="1" si="1"/>
        <v>4</v>
      </c>
      <c r="H55" s="18">
        <f t="shared" ca="1" si="2"/>
        <v>0</v>
      </c>
    </row>
    <row r="56" spans="1:8">
      <c r="A56" s="30"/>
      <c r="B56" s="30"/>
      <c r="D56" s="616">
        <v>38</v>
      </c>
      <c r="E56" s="616">
        <f t="shared" ca="1" si="0"/>
        <v>2</v>
      </c>
      <c r="F56" s="30">
        <f t="shared" ca="1" si="1"/>
        <v>4</v>
      </c>
      <c r="H56" s="18">
        <f t="shared" ca="1" si="2"/>
        <v>0</v>
      </c>
    </row>
    <row r="57" spans="1:8">
      <c r="A57" s="30"/>
      <c r="B57" s="30"/>
      <c r="D57" s="616">
        <v>39</v>
      </c>
      <c r="E57" s="616">
        <f t="shared" ca="1" si="0"/>
        <v>3</v>
      </c>
      <c r="F57" s="30">
        <f t="shared" ca="1" si="1"/>
        <v>4</v>
      </c>
      <c r="H57" s="18">
        <f t="shared" ca="1" si="2"/>
        <v>0</v>
      </c>
    </row>
    <row r="58" spans="1:8">
      <c r="A58" s="30"/>
      <c r="B58" s="30"/>
      <c r="D58" s="616">
        <v>40</v>
      </c>
      <c r="E58" s="616">
        <f t="shared" ca="1" si="0"/>
        <v>4</v>
      </c>
      <c r="F58" s="30">
        <f t="shared" ca="1" si="1"/>
        <v>4</v>
      </c>
      <c r="H58" s="18">
        <f t="shared" ca="1" si="2"/>
        <v>0</v>
      </c>
    </row>
    <row r="59" spans="1:8">
      <c r="A59" s="30"/>
      <c r="B59" s="30"/>
      <c r="D59" s="616">
        <v>41</v>
      </c>
      <c r="E59" s="616">
        <f t="shared" ca="1" si="0"/>
        <v>5</v>
      </c>
      <c r="F59" s="30">
        <f t="shared" ca="1" si="1"/>
        <v>4</v>
      </c>
      <c r="H59" s="18">
        <f t="shared" ca="1" si="2"/>
        <v>0</v>
      </c>
    </row>
    <row r="60" spans="1:8">
      <c r="A60" s="30"/>
      <c r="B60" s="30"/>
      <c r="D60" s="616">
        <v>42</v>
      </c>
      <c r="E60" s="616">
        <f t="shared" ca="1" si="0"/>
        <v>6</v>
      </c>
      <c r="F60" s="30">
        <f t="shared" ca="1" si="1"/>
        <v>4</v>
      </c>
      <c r="H60" s="18">
        <f t="shared" ca="1" si="2"/>
        <v>0</v>
      </c>
    </row>
    <row r="61" spans="1:8">
      <c r="A61" s="30"/>
      <c r="B61" s="30"/>
      <c r="D61" s="616">
        <v>43</v>
      </c>
      <c r="E61" s="616">
        <f t="shared" ca="1" si="0"/>
        <v>7</v>
      </c>
      <c r="F61" s="30">
        <f t="shared" ca="1" si="1"/>
        <v>4</v>
      </c>
      <c r="H61" s="18">
        <f t="shared" ca="1" si="2"/>
        <v>0</v>
      </c>
    </row>
    <row r="62" spans="1:8">
      <c r="A62" s="30"/>
      <c r="B62" s="30"/>
      <c r="D62" s="616">
        <v>44</v>
      </c>
      <c r="E62" s="616">
        <f t="shared" ca="1" si="0"/>
        <v>8</v>
      </c>
      <c r="F62" s="30">
        <f t="shared" ca="1" si="1"/>
        <v>4</v>
      </c>
      <c r="H62" s="18">
        <f t="shared" ca="1" si="2"/>
        <v>0</v>
      </c>
    </row>
    <row r="63" spans="1:8">
      <c r="A63" s="30"/>
      <c r="B63" s="30"/>
      <c r="D63" s="616">
        <v>45</v>
      </c>
      <c r="E63" s="616">
        <f t="shared" ca="1" si="0"/>
        <v>9</v>
      </c>
      <c r="F63" s="30">
        <f t="shared" ca="1" si="1"/>
        <v>4</v>
      </c>
      <c r="H63" s="18">
        <f t="shared" ca="1" si="2"/>
        <v>0</v>
      </c>
    </row>
    <row r="64" spans="1:8">
      <c r="A64" s="30"/>
      <c r="B64" s="30"/>
      <c r="D64" s="616">
        <v>46</v>
      </c>
      <c r="E64" s="616">
        <f t="shared" ca="1" si="0"/>
        <v>10</v>
      </c>
      <c r="F64" s="30">
        <f t="shared" ca="1" si="1"/>
        <v>4</v>
      </c>
      <c r="H64" s="18">
        <f t="shared" ca="1" si="2"/>
        <v>0</v>
      </c>
    </row>
    <row r="65" spans="1:8">
      <c r="A65" s="30"/>
      <c r="B65" s="30"/>
      <c r="D65" s="616">
        <v>47</v>
      </c>
      <c r="E65" s="616">
        <f t="shared" ca="1" si="0"/>
        <v>11</v>
      </c>
      <c r="F65" s="30">
        <f t="shared" ca="1" si="1"/>
        <v>4</v>
      </c>
      <c r="H65" s="18">
        <f t="shared" ca="1" si="2"/>
        <v>0</v>
      </c>
    </row>
    <row r="66" spans="1:8">
      <c r="A66" s="30"/>
      <c r="B66" s="30"/>
      <c r="D66" s="616">
        <v>48</v>
      </c>
      <c r="E66" s="616">
        <f t="shared" ca="1" si="0"/>
        <v>12</v>
      </c>
      <c r="F66" s="30">
        <f t="shared" ca="1" si="1"/>
        <v>4</v>
      </c>
      <c r="H66" s="18">
        <f t="shared" ca="1" si="2"/>
        <v>0</v>
      </c>
    </row>
    <row r="67" spans="1:8">
      <c r="A67" s="30"/>
      <c r="B67" s="30"/>
      <c r="D67" s="616">
        <v>49</v>
      </c>
      <c r="E67" s="616">
        <f t="shared" ca="1" si="0"/>
        <v>1</v>
      </c>
      <c r="F67" s="30">
        <f t="shared" ca="1" si="1"/>
        <v>5</v>
      </c>
      <c r="H67" s="18">
        <f t="shared" ca="1" si="2"/>
        <v>0</v>
      </c>
    </row>
    <row r="68" spans="1:8">
      <c r="A68" s="30"/>
      <c r="B68" s="30"/>
      <c r="D68" s="616">
        <v>50</v>
      </c>
      <c r="E68" s="616">
        <f t="shared" ca="1" si="0"/>
        <v>2</v>
      </c>
      <c r="F68" s="30">
        <f t="shared" ca="1" si="1"/>
        <v>5</v>
      </c>
      <c r="H68" s="18">
        <f t="shared" ca="1" si="2"/>
        <v>0</v>
      </c>
    </row>
    <row r="69" spans="1:8">
      <c r="A69" s="30"/>
      <c r="B69" s="30"/>
      <c r="D69" s="616">
        <v>51</v>
      </c>
      <c r="E69" s="616">
        <f t="shared" ca="1" si="0"/>
        <v>3</v>
      </c>
      <c r="F69" s="30">
        <f t="shared" ca="1" si="1"/>
        <v>5</v>
      </c>
      <c r="H69" s="18">
        <f t="shared" ca="1" si="2"/>
        <v>0</v>
      </c>
    </row>
    <row r="70" spans="1:8">
      <c r="A70" s="30"/>
      <c r="B70" s="30"/>
      <c r="D70" s="616">
        <v>52</v>
      </c>
      <c r="E70" s="616">
        <f t="shared" ca="1" si="0"/>
        <v>4</v>
      </c>
      <c r="F70" s="30">
        <f t="shared" ca="1" si="1"/>
        <v>5</v>
      </c>
      <c r="H70" s="18">
        <f t="shared" ca="1" si="2"/>
        <v>0</v>
      </c>
    </row>
    <row r="71" spans="1:8">
      <c r="A71" s="30"/>
      <c r="B71" s="30"/>
      <c r="D71" s="616">
        <v>53</v>
      </c>
      <c r="E71" s="616">
        <f t="shared" ca="1" si="0"/>
        <v>5</v>
      </c>
      <c r="F71" s="30">
        <f t="shared" ca="1" si="1"/>
        <v>5</v>
      </c>
      <c r="H71" s="18">
        <f t="shared" ca="1" si="2"/>
        <v>0</v>
      </c>
    </row>
    <row r="72" spans="1:8">
      <c r="A72" s="30"/>
      <c r="B72" s="30"/>
      <c r="D72" s="616">
        <v>54</v>
      </c>
      <c r="E72" s="616">
        <f t="shared" ca="1" si="0"/>
        <v>6</v>
      </c>
      <c r="F72" s="30">
        <f t="shared" ca="1" si="1"/>
        <v>5</v>
      </c>
      <c r="H72" s="18">
        <f t="shared" ca="1" si="2"/>
        <v>0</v>
      </c>
    </row>
    <row r="73" spans="1:8">
      <c r="A73" s="30"/>
      <c r="B73" s="30"/>
      <c r="D73" s="616">
        <v>55</v>
      </c>
      <c r="E73" s="616">
        <f t="shared" ca="1" si="0"/>
        <v>7</v>
      </c>
      <c r="F73" s="30">
        <f t="shared" ca="1" si="1"/>
        <v>5</v>
      </c>
      <c r="H73" s="18">
        <f t="shared" ca="1" si="2"/>
        <v>0</v>
      </c>
    </row>
    <row r="74" spans="1:8">
      <c r="A74" s="30"/>
      <c r="B74" s="30"/>
      <c r="D74" s="616">
        <v>56</v>
      </c>
      <c r="E74" s="616">
        <f t="shared" ca="1" si="0"/>
        <v>8</v>
      </c>
      <c r="F74" s="30">
        <f t="shared" ca="1" si="1"/>
        <v>5</v>
      </c>
      <c r="H74" s="18">
        <f t="shared" ca="1" si="2"/>
        <v>0</v>
      </c>
    </row>
    <row r="75" spans="1:8">
      <c r="A75" s="30"/>
      <c r="B75" s="30"/>
      <c r="D75" s="616">
        <v>57</v>
      </c>
      <c r="E75" s="616">
        <f t="shared" ca="1" si="0"/>
        <v>9</v>
      </c>
      <c r="F75" s="30">
        <f t="shared" ca="1" si="1"/>
        <v>5</v>
      </c>
      <c r="H75" s="18">
        <f t="shared" ca="1" si="2"/>
        <v>0</v>
      </c>
    </row>
    <row r="76" spans="1:8">
      <c r="A76" s="30"/>
      <c r="B76" s="30"/>
      <c r="D76" s="616">
        <v>58</v>
      </c>
      <c r="E76" s="616">
        <f t="shared" ca="1" si="0"/>
        <v>10</v>
      </c>
      <c r="F76" s="30">
        <f t="shared" ca="1" si="1"/>
        <v>5</v>
      </c>
      <c r="H76" s="18">
        <f t="shared" ca="1" si="2"/>
        <v>0</v>
      </c>
    </row>
    <row r="77" spans="1:8">
      <c r="A77" s="30"/>
      <c r="B77" s="30"/>
      <c r="D77" s="616">
        <v>59</v>
      </c>
      <c r="E77" s="616">
        <f t="shared" ca="1" si="0"/>
        <v>11</v>
      </c>
      <c r="F77" s="30">
        <f t="shared" ca="1" si="1"/>
        <v>5</v>
      </c>
      <c r="H77" s="18">
        <f t="shared" ca="1" si="2"/>
        <v>0</v>
      </c>
    </row>
    <row r="78" spans="1:8">
      <c r="A78" s="30"/>
      <c r="B78" s="30"/>
      <c r="D78" s="616">
        <v>60</v>
      </c>
      <c r="E78" s="616">
        <f t="shared" ca="1" si="0"/>
        <v>12</v>
      </c>
      <c r="F78" s="30">
        <f t="shared" ca="1" si="1"/>
        <v>5</v>
      </c>
      <c r="H78" s="18">
        <f t="shared" ca="1" si="2"/>
        <v>0</v>
      </c>
    </row>
    <row r="79" spans="1:8">
      <c r="A79" s="30"/>
      <c r="B79" s="30"/>
      <c r="D79" s="616">
        <v>61</v>
      </c>
      <c r="E79" s="616">
        <f t="shared" ca="1" si="0"/>
        <v>1</v>
      </c>
      <c r="F79" s="30">
        <f t="shared" ca="1" si="1"/>
        <v>6</v>
      </c>
      <c r="H79" s="18">
        <f t="shared" ca="1" si="2"/>
        <v>0</v>
      </c>
    </row>
    <row r="80" spans="1:8">
      <c r="A80" s="30"/>
      <c r="B80" s="30"/>
      <c r="D80" s="616">
        <v>62</v>
      </c>
      <c r="E80" s="616">
        <f t="shared" ca="1" si="0"/>
        <v>2</v>
      </c>
      <c r="F80" s="30">
        <f t="shared" ca="1" si="1"/>
        <v>6</v>
      </c>
      <c r="H80" s="18">
        <f t="shared" ca="1" si="2"/>
        <v>0</v>
      </c>
    </row>
    <row r="81" spans="1:8">
      <c r="A81" s="30"/>
      <c r="B81" s="30"/>
      <c r="D81" s="616">
        <v>63</v>
      </c>
      <c r="E81" s="616">
        <f t="shared" ca="1" si="0"/>
        <v>3</v>
      </c>
      <c r="F81" s="30">
        <f t="shared" ca="1" si="1"/>
        <v>6</v>
      </c>
      <c r="H81" s="18">
        <f t="shared" ca="1" si="2"/>
        <v>0</v>
      </c>
    </row>
    <row r="82" spans="1:8">
      <c r="A82" s="30"/>
      <c r="B82" s="30"/>
      <c r="D82" s="616">
        <v>64</v>
      </c>
      <c r="E82" s="616">
        <f t="shared" ca="1" si="0"/>
        <v>4</v>
      </c>
      <c r="F82" s="30">
        <f t="shared" ca="1" si="1"/>
        <v>6</v>
      </c>
      <c r="H82" s="18">
        <f t="shared" ca="1" si="2"/>
        <v>0</v>
      </c>
    </row>
    <row r="83" spans="1:8">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6">
        <v>66</v>
      </c>
      <c r="E84" s="616">
        <f t="shared" ca="1" si="3"/>
        <v>6</v>
      </c>
      <c r="F84" s="30">
        <f t="shared" ca="1" si="4"/>
        <v>6</v>
      </c>
      <c r="H84" s="18">
        <f t="shared" ca="1" si="5"/>
        <v>0</v>
      </c>
    </row>
    <row r="85" spans="1:8">
      <c r="A85" s="30"/>
      <c r="B85" s="30"/>
      <c r="D85" s="616">
        <v>67</v>
      </c>
      <c r="E85" s="616">
        <f t="shared" ca="1" si="3"/>
        <v>7</v>
      </c>
      <c r="F85" s="30">
        <f t="shared" ca="1" si="4"/>
        <v>6</v>
      </c>
      <c r="H85" s="18">
        <f t="shared" ca="1" si="5"/>
        <v>0</v>
      </c>
    </row>
    <row r="86" spans="1:8">
      <c r="A86" s="30"/>
      <c r="B86" s="30"/>
      <c r="D86" s="616">
        <v>68</v>
      </c>
      <c r="E86" s="616">
        <f t="shared" ca="1" si="3"/>
        <v>8</v>
      </c>
      <c r="F86" s="30">
        <f t="shared" ca="1" si="4"/>
        <v>6</v>
      </c>
      <c r="H86" s="18">
        <f t="shared" ca="1" si="5"/>
        <v>0</v>
      </c>
    </row>
    <row r="87" spans="1:8">
      <c r="A87" s="30"/>
      <c r="B87" s="30"/>
      <c r="D87" s="616">
        <v>69</v>
      </c>
      <c r="E87" s="616">
        <f t="shared" ca="1" si="3"/>
        <v>9</v>
      </c>
      <c r="F87" s="30">
        <f t="shared" ca="1" si="4"/>
        <v>6</v>
      </c>
      <c r="H87" s="18">
        <f t="shared" ca="1" si="5"/>
        <v>0</v>
      </c>
    </row>
    <row r="88" spans="1:8">
      <c r="A88" s="30"/>
      <c r="B88" s="30"/>
      <c r="D88" s="616">
        <v>70</v>
      </c>
      <c r="E88" s="616">
        <f t="shared" ca="1" si="3"/>
        <v>10</v>
      </c>
      <c r="F88" s="30">
        <f t="shared" ca="1" si="4"/>
        <v>6</v>
      </c>
      <c r="H88" s="18">
        <f t="shared" ca="1" si="5"/>
        <v>0</v>
      </c>
    </row>
    <row r="89" spans="1:8">
      <c r="A89" s="30"/>
      <c r="B89" s="30"/>
      <c r="D89" s="616">
        <v>71</v>
      </c>
      <c r="E89" s="616">
        <f t="shared" ca="1" si="3"/>
        <v>11</v>
      </c>
      <c r="F89" s="30">
        <f t="shared" ca="1" si="4"/>
        <v>6</v>
      </c>
      <c r="H89" s="18">
        <f t="shared" ca="1" si="5"/>
        <v>0</v>
      </c>
    </row>
    <row r="90" spans="1:8">
      <c r="A90" s="30"/>
      <c r="B90" s="30"/>
      <c r="D90" s="616">
        <v>72</v>
      </c>
      <c r="E90" s="616">
        <f t="shared" ca="1" si="3"/>
        <v>12</v>
      </c>
      <c r="F90" s="30">
        <f t="shared" ca="1" si="4"/>
        <v>6</v>
      </c>
      <c r="H90" s="18">
        <f t="shared" ca="1" si="5"/>
        <v>0</v>
      </c>
    </row>
    <row r="91" spans="1:8">
      <c r="A91" s="30"/>
      <c r="B91" s="30"/>
      <c r="D91" s="616">
        <v>73</v>
      </c>
      <c r="E91" s="616">
        <f t="shared" ca="1" si="3"/>
        <v>1</v>
      </c>
      <c r="F91" s="30">
        <f t="shared" ca="1" si="4"/>
        <v>7</v>
      </c>
      <c r="H91" s="18">
        <f t="shared" ca="1" si="5"/>
        <v>0</v>
      </c>
    </row>
    <row r="92" spans="1:8">
      <c r="A92" s="30"/>
      <c r="B92" s="30"/>
      <c r="D92" s="616">
        <v>74</v>
      </c>
      <c r="E92" s="616">
        <f t="shared" ca="1" si="3"/>
        <v>2</v>
      </c>
      <c r="F92" s="30">
        <f t="shared" ca="1" si="4"/>
        <v>7</v>
      </c>
      <c r="H92" s="18">
        <f t="shared" ca="1" si="5"/>
        <v>0</v>
      </c>
    </row>
    <row r="93" spans="1:8">
      <c r="A93" s="30"/>
      <c r="B93" s="30"/>
      <c r="D93" s="616">
        <v>75</v>
      </c>
      <c r="E93" s="616">
        <f t="shared" ca="1" si="3"/>
        <v>3</v>
      </c>
      <c r="F93" s="30">
        <f t="shared" ca="1" si="4"/>
        <v>7</v>
      </c>
      <c r="H93" s="18">
        <f t="shared" ca="1" si="5"/>
        <v>0</v>
      </c>
    </row>
    <row r="94" spans="1:8">
      <c r="A94" s="30"/>
      <c r="B94" s="30"/>
      <c r="D94" s="616">
        <v>76</v>
      </c>
      <c r="E94" s="616">
        <f t="shared" ca="1" si="3"/>
        <v>4</v>
      </c>
      <c r="F94" s="30">
        <f t="shared" ca="1" si="4"/>
        <v>7</v>
      </c>
      <c r="H94" s="18">
        <f t="shared" ca="1" si="5"/>
        <v>0</v>
      </c>
    </row>
    <row r="95" spans="1:8">
      <c r="B95" s="30"/>
      <c r="D95" s="616">
        <v>77</v>
      </c>
      <c r="E95" s="616">
        <f t="shared" ca="1" si="3"/>
        <v>5</v>
      </c>
      <c r="F95" s="30">
        <f t="shared" ca="1" si="4"/>
        <v>7</v>
      </c>
      <c r="H95" s="18">
        <f t="shared" ca="1" si="5"/>
        <v>0</v>
      </c>
    </row>
    <row r="96" spans="1:8">
      <c r="B96" s="30"/>
      <c r="D96" s="616">
        <v>78</v>
      </c>
      <c r="E96" s="616">
        <f t="shared" ca="1" si="3"/>
        <v>6</v>
      </c>
      <c r="F96" s="30">
        <f t="shared" ca="1" si="4"/>
        <v>7</v>
      </c>
      <c r="H96" s="18">
        <f t="shared" ca="1" si="5"/>
        <v>0</v>
      </c>
    </row>
    <row r="97" spans="1:8">
      <c r="B97" s="30"/>
      <c r="D97" s="616">
        <v>79</v>
      </c>
      <c r="E97" s="616">
        <f t="shared" ca="1" si="3"/>
        <v>7</v>
      </c>
      <c r="F97" s="30">
        <f t="shared" ca="1" si="4"/>
        <v>7</v>
      </c>
      <c r="H97" s="18">
        <f t="shared" ca="1" si="5"/>
        <v>0</v>
      </c>
    </row>
    <row r="98" spans="1:8">
      <c r="A98" s="30"/>
      <c r="B98" s="30"/>
      <c r="D98" s="616">
        <v>80</v>
      </c>
      <c r="E98" s="616">
        <f t="shared" ca="1" si="3"/>
        <v>8</v>
      </c>
      <c r="F98" s="30">
        <f t="shared" ca="1" si="4"/>
        <v>7</v>
      </c>
      <c r="H98" s="18">
        <f t="shared" ca="1" si="5"/>
        <v>0</v>
      </c>
    </row>
    <row r="99" spans="1:8">
      <c r="A99" s="30"/>
      <c r="B99" s="30"/>
      <c r="D99" s="616">
        <v>81</v>
      </c>
      <c r="E99" s="616">
        <f t="shared" ca="1" si="3"/>
        <v>9</v>
      </c>
      <c r="F99" s="30">
        <f t="shared" ca="1" si="4"/>
        <v>7</v>
      </c>
      <c r="H99" s="18">
        <f t="shared" ca="1" si="5"/>
        <v>0</v>
      </c>
    </row>
    <row r="100" spans="1:8">
      <c r="A100" s="30"/>
      <c r="B100" s="30"/>
      <c r="D100" s="616">
        <v>82</v>
      </c>
      <c r="E100" s="616">
        <f t="shared" ca="1" si="3"/>
        <v>10</v>
      </c>
      <c r="F100" s="30">
        <f t="shared" ca="1" si="4"/>
        <v>7</v>
      </c>
      <c r="H100" s="18">
        <f t="shared" ca="1" si="5"/>
        <v>0</v>
      </c>
    </row>
    <row r="101" spans="1:8">
      <c r="A101" s="30"/>
      <c r="B101" s="30"/>
      <c r="D101" s="616">
        <v>83</v>
      </c>
      <c r="E101" s="616">
        <f t="shared" ca="1" si="3"/>
        <v>11</v>
      </c>
      <c r="F101" s="30">
        <f t="shared" ca="1" si="4"/>
        <v>7</v>
      </c>
      <c r="H101" s="18">
        <f t="shared" ca="1" si="5"/>
        <v>0</v>
      </c>
    </row>
    <row r="102" spans="1:8">
      <c r="A102" s="30"/>
      <c r="B102" s="30"/>
      <c r="D102" s="616">
        <v>84</v>
      </c>
      <c r="E102" s="616">
        <f t="shared" ca="1" si="3"/>
        <v>12</v>
      </c>
      <c r="F102" s="30">
        <f t="shared" ca="1" si="4"/>
        <v>7</v>
      </c>
      <c r="H102" s="18">
        <f t="shared" ca="1" si="5"/>
        <v>0</v>
      </c>
    </row>
    <row r="103" spans="1:8">
      <c r="A103" s="30"/>
      <c r="B103" s="30"/>
      <c r="D103" s="616">
        <v>85</v>
      </c>
      <c r="E103" s="616">
        <f t="shared" ca="1" si="3"/>
        <v>1</v>
      </c>
      <c r="F103" s="30">
        <f t="shared" ca="1" si="4"/>
        <v>8</v>
      </c>
      <c r="H103" s="18">
        <f t="shared" ca="1" si="5"/>
        <v>0</v>
      </c>
    </row>
    <row r="104" spans="1:8">
      <c r="D104" s="616">
        <v>86</v>
      </c>
      <c r="E104" s="616">
        <f t="shared" ca="1" si="3"/>
        <v>2</v>
      </c>
      <c r="F104" s="30">
        <f t="shared" ca="1" si="4"/>
        <v>8</v>
      </c>
      <c r="H104" s="18">
        <f t="shared" ca="1" si="5"/>
        <v>0</v>
      </c>
    </row>
    <row r="105" spans="1:8">
      <c r="D105" s="616">
        <v>87</v>
      </c>
      <c r="E105" s="616">
        <f t="shared" ca="1" si="3"/>
        <v>3</v>
      </c>
      <c r="F105" s="30">
        <f t="shared" ca="1" si="4"/>
        <v>8</v>
      </c>
      <c r="H105" s="18">
        <f t="shared" ca="1" si="5"/>
        <v>0</v>
      </c>
    </row>
    <row r="106" spans="1:8">
      <c r="D106" s="616">
        <v>88</v>
      </c>
      <c r="E106" s="616">
        <f t="shared" ca="1" si="3"/>
        <v>4</v>
      </c>
      <c r="F106" s="30">
        <f t="shared" ca="1" si="4"/>
        <v>8</v>
      </c>
      <c r="H106" s="18">
        <f t="shared" ca="1" si="5"/>
        <v>0</v>
      </c>
    </row>
    <row r="107" spans="1:8">
      <c r="D107" s="616">
        <v>89</v>
      </c>
      <c r="E107" s="616">
        <f t="shared" ca="1" si="3"/>
        <v>5</v>
      </c>
      <c r="F107" s="30">
        <f t="shared" ca="1" si="4"/>
        <v>8</v>
      </c>
      <c r="H107" s="18">
        <f t="shared" ca="1" si="5"/>
        <v>0</v>
      </c>
    </row>
    <row r="108" spans="1:8">
      <c r="D108" s="616">
        <v>90</v>
      </c>
      <c r="E108" s="616">
        <f t="shared" ca="1" si="3"/>
        <v>6</v>
      </c>
      <c r="F108" s="30">
        <f t="shared" ca="1" si="4"/>
        <v>8</v>
      </c>
      <c r="H108" s="18">
        <f t="shared" ca="1" si="5"/>
        <v>0</v>
      </c>
    </row>
    <row r="109" spans="1:8">
      <c r="D109" s="616">
        <v>91</v>
      </c>
      <c r="E109" s="616">
        <f t="shared" ca="1" si="3"/>
        <v>7</v>
      </c>
      <c r="F109" s="30">
        <f t="shared" ca="1" si="4"/>
        <v>8</v>
      </c>
      <c r="H109" s="18">
        <f t="shared" ca="1" si="5"/>
        <v>0</v>
      </c>
    </row>
    <row r="110" spans="1:8">
      <c r="D110" s="616">
        <v>92</v>
      </c>
      <c r="E110" s="616">
        <f t="shared" ca="1" si="3"/>
        <v>8</v>
      </c>
      <c r="F110" s="30">
        <f t="shared" ca="1" si="4"/>
        <v>8</v>
      </c>
      <c r="H110" s="18">
        <f t="shared" ca="1" si="5"/>
        <v>0</v>
      </c>
    </row>
    <row r="111" spans="1:8">
      <c r="D111" s="616">
        <v>93</v>
      </c>
      <c r="E111" s="616">
        <f t="shared" ca="1" si="3"/>
        <v>9</v>
      </c>
      <c r="F111" s="30">
        <f t="shared" ca="1" si="4"/>
        <v>8</v>
      </c>
      <c r="H111" s="18">
        <f t="shared" ca="1" si="5"/>
        <v>0</v>
      </c>
    </row>
    <row r="112" spans="1:8">
      <c r="D112" s="616">
        <v>94</v>
      </c>
      <c r="E112" s="616">
        <f t="shared" ca="1" si="3"/>
        <v>10</v>
      </c>
      <c r="F112" s="30">
        <f t="shared" ca="1" si="4"/>
        <v>8</v>
      </c>
      <c r="H112" s="18">
        <f t="shared" ca="1" si="5"/>
        <v>0</v>
      </c>
    </row>
    <row r="113" spans="4:8" s="615" customFormat="1">
      <c r="D113" s="616">
        <v>95</v>
      </c>
      <c r="E113" s="616">
        <f t="shared" ca="1" si="3"/>
        <v>11</v>
      </c>
      <c r="F113" s="30">
        <f t="shared" ca="1" si="4"/>
        <v>8</v>
      </c>
      <c r="H113" s="18">
        <f t="shared" ca="1" si="5"/>
        <v>0</v>
      </c>
    </row>
    <row r="114" spans="4:8" s="615" customFormat="1">
      <c r="D114" s="616">
        <v>96</v>
      </c>
      <c r="E114" s="616">
        <f t="shared" ca="1" si="3"/>
        <v>12</v>
      </c>
      <c r="F114" s="30">
        <f t="shared" ca="1" si="4"/>
        <v>8</v>
      </c>
      <c r="H114" s="18">
        <f t="shared" ca="1" si="5"/>
        <v>0</v>
      </c>
    </row>
    <row r="115" spans="4:8" s="615" customFormat="1">
      <c r="D115" s="616">
        <v>97</v>
      </c>
      <c r="E115" s="616">
        <f t="shared" ca="1" si="3"/>
        <v>1</v>
      </c>
      <c r="F115" s="30">
        <f t="shared" ca="1" si="4"/>
        <v>9</v>
      </c>
      <c r="H115" s="18">
        <f t="shared" ca="1" si="5"/>
        <v>0</v>
      </c>
    </row>
    <row r="116" spans="4:8" s="615" customFormat="1">
      <c r="D116" s="616">
        <v>98</v>
      </c>
      <c r="E116" s="616">
        <f t="shared" ca="1" si="3"/>
        <v>2</v>
      </c>
      <c r="F116" s="30">
        <f t="shared" ca="1" si="4"/>
        <v>9</v>
      </c>
      <c r="H116" s="18">
        <f t="shared" ca="1" si="5"/>
        <v>0</v>
      </c>
    </row>
    <row r="117" spans="4:8" s="615" customFormat="1">
      <c r="D117" s="616">
        <v>99</v>
      </c>
      <c r="E117" s="616">
        <f t="shared" ca="1" si="3"/>
        <v>3</v>
      </c>
      <c r="F117" s="30">
        <f t="shared" ca="1" si="4"/>
        <v>9</v>
      </c>
      <c r="H117" s="18">
        <f t="shared" ca="1" si="5"/>
        <v>0</v>
      </c>
    </row>
    <row r="118" spans="4:8" s="615" customFormat="1">
      <c r="D118" s="616">
        <v>100</v>
      </c>
      <c r="E118" s="616">
        <f t="shared" ca="1" si="3"/>
        <v>4</v>
      </c>
      <c r="F118" s="30">
        <f t="shared" ca="1" si="4"/>
        <v>9</v>
      </c>
      <c r="H118" s="18">
        <f t="shared" ca="1" si="5"/>
        <v>0</v>
      </c>
    </row>
    <row r="119" spans="4:8" s="615" customFormat="1">
      <c r="D119" s="616">
        <v>101</v>
      </c>
      <c r="E119" s="616">
        <f t="shared" ca="1" si="3"/>
        <v>5</v>
      </c>
      <c r="F119" s="30">
        <f t="shared" ca="1" si="4"/>
        <v>9</v>
      </c>
      <c r="H119" s="18">
        <f t="shared" ca="1" si="5"/>
        <v>0</v>
      </c>
    </row>
    <row r="120" spans="4:8" s="615" customFormat="1">
      <c r="D120" s="616">
        <v>102</v>
      </c>
      <c r="E120" s="616">
        <f t="shared" ca="1" si="3"/>
        <v>6</v>
      </c>
      <c r="F120" s="30">
        <f t="shared" ca="1" si="4"/>
        <v>9</v>
      </c>
      <c r="H120" s="18">
        <f t="shared" ca="1" si="5"/>
        <v>0</v>
      </c>
    </row>
    <row r="121" spans="4:8" s="615" customFormat="1">
      <c r="D121" s="616">
        <v>103</v>
      </c>
      <c r="E121" s="616">
        <f t="shared" ca="1" si="3"/>
        <v>7</v>
      </c>
      <c r="F121" s="30">
        <f t="shared" ca="1" si="4"/>
        <v>9</v>
      </c>
      <c r="H121" s="18">
        <f t="shared" ca="1" si="5"/>
        <v>0</v>
      </c>
    </row>
    <row r="122" spans="4:8" s="615" customFormat="1">
      <c r="D122" s="616">
        <v>104</v>
      </c>
      <c r="E122" s="616">
        <f t="shared" ca="1" si="3"/>
        <v>8</v>
      </c>
      <c r="F122" s="30">
        <f t="shared" ca="1" si="4"/>
        <v>9</v>
      </c>
      <c r="H122" s="18">
        <f t="shared" ca="1" si="5"/>
        <v>0</v>
      </c>
    </row>
    <row r="123" spans="4:8" s="615" customFormat="1">
      <c r="D123" s="616">
        <v>105</v>
      </c>
      <c r="E123" s="616">
        <f t="shared" ca="1" si="3"/>
        <v>9</v>
      </c>
      <c r="F123" s="30">
        <f t="shared" ca="1" si="4"/>
        <v>9</v>
      </c>
      <c r="H123" s="18">
        <f t="shared" ca="1" si="5"/>
        <v>0</v>
      </c>
    </row>
    <row r="124" spans="4:8" s="615" customFormat="1">
      <c r="D124" s="616">
        <v>106</v>
      </c>
      <c r="E124" s="616">
        <f t="shared" ca="1" si="3"/>
        <v>10</v>
      </c>
      <c r="F124" s="30">
        <f t="shared" ca="1" si="4"/>
        <v>9</v>
      </c>
      <c r="H124" s="18">
        <f t="shared" ca="1" si="5"/>
        <v>0</v>
      </c>
    </row>
    <row r="125" spans="4:8" s="615" customFormat="1">
      <c r="D125" s="616">
        <v>107</v>
      </c>
      <c r="E125" s="616">
        <f t="shared" ca="1" si="3"/>
        <v>11</v>
      </c>
      <c r="F125" s="30">
        <f t="shared" ca="1" si="4"/>
        <v>9</v>
      </c>
      <c r="H125" s="18">
        <f t="shared" ca="1" si="5"/>
        <v>0</v>
      </c>
    </row>
    <row r="126" spans="4:8" s="615" customFormat="1">
      <c r="D126" s="616">
        <v>108</v>
      </c>
      <c r="E126" s="616">
        <f t="shared" ca="1" si="3"/>
        <v>12</v>
      </c>
      <c r="F126" s="30">
        <f t="shared" ca="1" si="4"/>
        <v>9</v>
      </c>
      <c r="H126" s="18">
        <f t="shared" ca="1" si="5"/>
        <v>0</v>
      </c>
    </row>
    <row r="127" spans="4:8" s="615" customFormat="1">
      <c r="D127" s="616">
        <v>109</v>
      </c>
      <c r="E127" s="616">
        <f t="shared" ca="1" si="3"/>
        <v>1</v>
      </c>
      <c r="F127" s="30">
        <f t="shared" ca="1" si="4"/>
        <v>10</v>
      </c>
      <c r="H127" s="18">
        <f t="shared" ca="1" si="5"/>
        <v>0</v>
      </c>
    </row>
    <row r="128" spans="4:8" s="615" customFormat="1">
      <c r="D128" s="616">
        <v>110</v>
      </c>
      <c r="E128" s="616">
        <f t="shared" ca="1" si="3"/>
        <v>2</v>
      </c>
      <c r="F128" s="30">
        <f t="shared" ca="1" si="4"/>
        <v>10</v>
      </c>
      <c r="H128" s="18">
        <f t="shared" ca="1" si="5"/>
        <v>0</v>
      </c>
    </row>
    <row r="129" spans="4:8" s="615" customFormat="1">
      <c r="D129" s="616">
        <v>111</v>
      </c>
      <c r="E129" s="616">
        <f t="shared" ca="1" si="3"/>
        <v>3</v>
      </c>
      <c r="F129" s="30">
        <f t="shared" ca="1" si="4"/>
        <v>10</v>
      </c>
      <c r="H129" s="18">
        <f t="shared" ca="1" si="5"/>
        <v>0</v>
      </c>
    </row>
    <row r="130" spans="4:8" s="615" customFormat="1">
      <c r="D130" s="616">
        <v>112</v>
      </c>
      <c r="E130" s="616">
        <f t="shared" ca="1" si="3"/>
        <v>4</v>
      </c>
      <c r="F130" s="30">
        <f t="shared" ca="1" si="4"/>
        <v>10</v>
      </c>
      <c r="H130" s="18">
        <f t="shared" ca="1" si="5"/>
        <v>0</v>
      </c>
    </row>
    <row r="131" spans="4:8" s="615" customFormat="1">
      <c r="D131" s="616">
        <v>113</v>
      </c>
      <c r="E131" s="616">
        <f t="shared" ca="1" si="3"/>
        <v>5</v>
      </c>
      <c r="F131" s="30">
        <f t="shared" ca="1" si="4"/>
        <v>10</v>
      </c>
      <c r="H131" s="18">
        <f t="shared" ca="1" si="5"/>
        <v>0</v>
      </c>
    </row>
    <row r="132" spans="4:8" s="615" customFormat="1">
      <c r="D132" s="616">
        <v>114</v>
      </c>
      <c r="E132" s="616">
        <f t="shared" ca="1" si="3"/>
        <v>6</v>
      </c>
      <c r="F132" s="30">
        <f t="shared" ca="1" si="4"/>
        <v>10</v>
      </c>
      <c r="H132" s="18">
        <f t="shared" ca="1" si="5"/>
        <v>0</v>
      </c>
    </row>
    <row r="133" spans="4:8" s="615" customFormat="1">
      <c r="D133" s="616">
        <v>115</v>
      </c>
      <c r="E133" s="616">
        <f t="shared" ca="1" si="3"/>
        <v>7</v>
      </c>
      <c r="F133" s="30">
        <f t="shared" ca="1" si="4"/>
        <v>10</v>
      </c>
      <c r="H133" s="18">
        <f t="shared" ca="1" si="5"/>
        <v>0</v>
      </c>
    </row>
    <row r="134" spans="4:8" s="615" customFormat="1">
      <c r="D134" s="616">
        <v>116</v>
      </c>
      <c r="E134" s="616">
        <f t="shared" ca="1" si="3"/>
        <v>8</v>
      </c>
      <c r="F134" s="30">
        <f t="shared" ca="1" si="4"/>
        <v>10</v>
      </c>
      <c r="H134" s="18">
        <f t="shared" ca="1" si="5"/>
        <v>0</v>
      </c>
    </row>
    <row r="135" spans="4:8" s="615" customFormat="1">
      <c r="D135" s="616">
        <v>117</v>
      </c>
      <c r="E135" s="616">
        <f t="shared" ca="1" si="3"/>
        <v>9</v>
      </c>
      <c r="F135" s="30">
        <f t="shared" ca="1" si="4"/>
        <v>10</v>
      </c>
      <c r="H135" s="18">
        <f t="shared" ca="1" si="5"/>
        <v>0</v>
      </c>
    </row>
    <row r="136" spans="4:8" s="615" customFormat="1">
      <c r="D136" s="616">
        <v>118</v>
      </c>
      <c r="E136" s="616">
        <f t="shared" ca="1" si="3"/>
        <v>10</v>
      </c>
      <c r="F136" s="30">
        <f t="shared" ca="1" si="4"/>
        <v>10</v>
      </c>
      <c r="H136" s="18">
        <f t="shared" ca="1" si="5"/>
        <v>0</v>
      </c>
    </row>
    <row r="137" spans="4:8" s="615" customFormat="1">
      <c r="D137" s="616">
        <v>119</v>
      </c>
      <c r="E137" s="616">
        <f t="shared" ca="1" si="3"/>
        <v>11</v>
      </c>
      <c r="F137" s="30">
        <f t="shared" ca="1" si="4"/>
        <v>10</v>
      </c>
      <c r="H137" s="18">
        <f t="shared" ca="1" si="5"/>
        <v>0</v>
      </c>
    </row>
    <row r="138" spans="4:8" s="615" customFormat="1">
      <c r="D138" s="616">
        <v>120</v>
      </c>
      <c r="E138" s="616">
        <f t="shared" ca="1" si="3"/>
        <v>12</v>
      </c>
      <c r="F138" s="30">
        <f t="shared" ca="1" si="4"/>
        <v>10</v>
      </c>
      <c r="H138" s="18">
        <f t="shared" ca="1" si="5"/>
        <v>0</v>
      </c>
    </row>
    <row r="139" spans="4:8" s="615" customFormat="1">
      <c r="D139" s="616">
        <v>121</v>
      </c>
      <c r="E139" s="616">
        <f t="shared" ca="1" si="3"/>
        <v>1</v>
      </c>
      <c r="F139" s="30">
        <f t="shared" ca="1" si="4"/>
        <v>11</v>
      </c>
      <c r="H139" s="18">
        <f t="shared" ca="1" si="5"/>
        <v>0</v>
      </c>
    </row>
    <row r="140" spans="4:8" s="615" customFormat="1">
      <c r="D140" s="616">
        <v>122</v>
      </c>
      <c r="E140" s="616">
        <f t="shared" ca="1" si="3"/>
        <v>2</v>
      </c>
      <c r="F140" s="30">
        <f t="shared" ca="1" si="4"/>
        <v>11</v>
      </c>
      <c r="H140" s="18">
        <f t="shared" ca="1" si="5"/>
        <v>0</v>
      </c>
    </row>
    <row r="141" spans="4:8" s="615" customFormat="1">
      <c r="D141" s="616">
        <v>123</v>
      </c>
      <c r="E141" s="616">
        <f t="shared" ca="1" si="3"/>
        <v>3</v>
      </c>
      <c r="F141" s="30">
        <f t="shared" ca="1" si="4"/>
        <v>11</v>
      </c>
      <c r="H141" s="18">
        <f t="shared" ca="1" si="5"/>
        <v>0</v>
      </c>
    </row>
    <row r="142" spans="4:8" s="615" customFormat="1">
      <c r="D142" s="616">
        <v>124</v>
      </c>
      <c r="E142" s="616">
        <f t="shared" ca="1" si="3"/>
        <v>4</v>
      </c>
      <c r="F142" s="30">
        <f t="shared" ca="1" si="4"/>
        <v>11</v>
      </c>
      <c r="H142" s="18">
        <f t="shared" ca="1" si="5"/>
        <v>0</v>
      </c>
    </row>
    <row r="143" spans="4:8" s="615" customFormat="1">
      <c r="D143" s="616">
        <v>125</v>
      </c>
      <c r="E143" s="616">
        <f t="shared" ca="1" si="3"/>
        <v>5</v>
      </c>
      <c r="F143" s="30">
        <f t="shared" ca="1" si="4"/>
        <v>11</v>
      </c>
      <c r="H143" s="18">
        <f t="shared" ca="1" si="5"/>
        <v>0</v>
      </c>
    </row>
    <row r="144" spans="4:8" s="615" customFormat="1">
      <c r="D144" s="616">
        <v>126</v>
      </c>
      <c r="E144" s="616">
        <f t="shared" ca="1" si="3"/>
        <v>6</v>
      </c>
      <c r="F144" s="30">
        <f t="shared" ca="1" si="4"/>
        <v>11</v>
      </c>
      <c r="H144" s="18">
        <f t="shared" ca="1" si="5"/>
        <v>0</v>
      </c>
    </row>
    <row r="145" spans="4:8" s="615" customFormat="1">
      <c r="D145" s="616">
        <v>127</v>
      </c>
      <c r="E145" s="616">
        <f t="shared" ca="1" si="3"/>
        <v>7</v>
      </c>
      <c r="F145" s="30">
        <f t="shared" ca="1" si="4"/>
        <v>11</v>
      </c>
      <c r="H145" s="18">
        <f t="shared" ca="1" si="5"/>
        <v>0</v>
      </c>
    </row>
    <row r="146" spans="4:8" s="615" customFormat="1">
      <c r="D146" s="616">
        <v>128</v>
      </c>
      <c r="E146" s="616">
        <f t="shared" ca="1" si="3"/>
        <v>8</v>
      </c>
      <c r="F146" s="30">
        <f t="shared" ca="1" si="4"/>
        <v>11</v>
      </c>
      <c r="H146" s="18">
        <f t="shared" ca="1" si="5"/>
        <v>0</v>
      </c>
    </row>
    <row r="147" spans="4:8" s="615" customFormat="1">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c r="D148" s="616">
        <v>130</v>
      </c>
      <c r="E148" s="616">
        <f t="shared" ca="1" si="6"/>
        <v>10</v>
      </c>
      <c r="F148" s="30">
        <f t="shared" ca="1" si="7"/>
        <v>11</v>
      </c>
      <c r="H148" s="18">
        <f t="shared" ca="1" si="8"/>
        <v>0</v>
      </c>
    </row>
    <row r="149" spans="4:8" s="615" customFormat="1">
      <c r="D149" s="616">
        <v>131</v>
      </c>
      <c r="E149" s="616">
        <f t="shared" ca="1" si="6"/>
        <v>11</v>
      </c>
      <c r="F149" s="30">
        <f t="shared" ca="1" si="7"/>
        <v>11</v>
      </c>
      <c r="H149" s="18">
        <f t="shared" ca="1" si="8"/>
        <v>0</v>
      </c>
    </row>
    <row r="150" spans="4:8" s="615" customFormat="1">
      <c r="D150" s="616">
        <v>132</v>
      </c>
      <c r="E150" s="616">
        <f t="shared" ca="1" si="6"/>
        <v>12</v>
      </c>
      <c r="F150" s="30">
        <f t="shared" ca="1" si="7"/>
        <v>11</v>
      </c>
      <c r="H150" s="18">
        <f t="shared" ca="1" si="8"/>
        <v>0</v>
      </c>
    </row>
    <row r="151" spans="4:8" s="615" customFormat="1">
      <c r="D151" s="616">
        <v>133</v>
      </c>
      <c r="E151" s="616">
        <f t="shared" ca="1" si="6"/>
        <v>1</v>
      </c>
      <c r="F151" s="30">
        <f t="shared" ca="1" si="7"/>
        <v>12</v>
      </c>
      <c r="H151" s="18">
        <f t="shared" ca="1" si="8"/>
        <v>0</v>
      </c>
    </row>
    <row r="152" spans="4:8" s="615" customFormat="1">
      <c r="D152" s="616">
        <v>134</v>
      </c>
      <c r="E152" s="616">
        <f t="shared" ca="1" si="6"/>
        <v>2</v>
      </c>
      <c r="F152" s="30">
        <f t="shared" ca="1" si="7"/>
        <v>12</v>
      </c>
      <c r="H152" s="18">
        <f t="shared" ca="1" si="8"/>
        <v>0</v>
      </c>
    </row>
    <row r="153" spans="4:8" s="615" customFormat="1">
      <c r="D153" s="616">
        <v>135</v>
      </c>
      <c r="E153" s="616">
        <f t="shared" ca="1" si="6"/>
        <v>3</v>
      </c>
      <c r="F153" s="30">
        <f t="shared" ca="1" si="7"/>
        <v>12</v>
      </c>
      <c r="H153" s="18">
        <f t="shared" ca="1" si="8"/>
        <v>0</v>
      </c>
    </row>
    <row r="154" spans="4:8" s="615" customFormat="1">
      <c r="D154" s="616">
        <v>136</v>
      </c>
      <c r="E154" s="616">
        <f t="shared" ca="1" si="6"/>
        <v>4</v>
      </c>
      <c r="F154" s="30">
        <f t="shared" ca="1" si="7"/>
        <v>12</v>
      </c>
      <c r="H154" s="18">
        <f t="shared" ca="1" si="8"/>
        <v>0</v>
      </c>
    </row>
    <row r="155" spans="4:8" s="615" customFormat="1">
      <c r="D155" s="616">
        <v>137</v>
      </c>
      <c r="E155" s="616">
        <f t="shared" ca="1" si="6"/>
        <v>5</v>
      </c>
      <c r="F155" s="30">
        <f t="shared" ca="1" si="7"/>
        <v>12</v>
      </c>
      <c r="H155" s="18">
        <f t="shared" ca="1" si="8"/>
        <v>0</v>
      </c>
    </row>
    <row r="156" spans="4:8" s="615" customFormat="1">
      <c r="D156" s="616">
        <v>138</v>
      </c>
      <c r="E156" s="616">
        <f t="shared" ca="1" si="6"/>
        <v>6</v>
      </c>
      <c r="F156" s="30">
        <f t="shared" ca="1" si="7"/>
        <v>12</v>
      </c>
      <c r="H156" s="18">
        <f t="shared" ca="1" si="8"/>
        <v>0</v>
      </c>
    </row>
    <row r="157" spans="4:8" s="615" customFormat="1">
      <c r="D157" s="616">
        <v>139</v>
      </c>
      <c r="E157" s="616">
        <f t="shared" ca="1" si="6"/>
        <v>7</v>
      </c>
      <c r="F157" s="30">
        <f t="shared" ca="1" si="7"/>
        <v>12</v>
      </c>
      <c r="H157" s="18">
        <f t="shared" ca="1" si="8"/>
        <v>0</v>
      </c>
    </row>
    <row r="158" spans="4:8" s="615" customFormat="1">
      <c r="D158" s="616">
        <v>140</v>
      </c>
      <c r="E158" s="616">
        <f t="shared" ca="1" si="6"/>
        <v>8</v>
      </c>
      <c r="F158" s="30">
        <f t="shared" ca="1" si="7"/>
        <v>12</v>
      </c>
      <c r="H158" s="18">
        <f t="shared" ca="1" si="8"/>
        <v>0</v>
      </c>
    </row>
    <row r="159" spans="4:8" s="615" customFormat="1">
      <c r="D159" s="616">
        <v>141</v>
      </c>
      <c r="E159" s="616">
        <f t="shared" ca="1" si="6"/>
        <v>9</v>
      </c>
      <c r="F159" s="30">
        <f t="shared" ca="1" si="7"/>
        <v>12</v>
      </c>
      <c r="H159" s="18">
        <f t="shared" ca="1" si="8"/>
        <v>0</v>
      </c>
    </row>
    <row r="160" spans="4:8" s="615" customFormat="1">
      <c r="D160" s="616">
        <v>142</v>
      </c>
      <c r="E160" s="616">
        <f t="shared" ca="1" si="6"/>
        <v>10</v>
      </c>
      <c r="F160" s="30">
        <f t="shared" ca="1" si="7"/>
        <v>12</v>
      </c>
      <c r="H160" s="18">
        <f t="shared" ca="1" si="8"/>
        <v>0</v>
      </c>
    </row>
    <row r="161" spans="4:8" s="615" customFormat="1">
      <c r="D161" s="616">
        <v>143</v>
      </c>
      <c r="E161" s="616">
        <f t="shared" ca="1" si="6"/>
        <v>11</v>
      </c>
      <c r="F161" s="30">
        <f t="shared" ca="1" si="7"/>
        <v>12</v>
      </c>
      <c r="H161" s="18">
        <f t="shared" ca="1" si="8"/>
        <v>0</v>
      </c>
    </row>
    <row r="162" spans="4:8" s="615" customFormat="1">
      <c r="D162" s="616">
        <v>144</v>
      </c>
      <c r="E162" s="616">
        <f t="shared" ca="1" si="6"/>
        <v>12</v>
      </c>
      <c r="F162" s="30">
        <f t="shared" ca="1" si="7"/>
        <v>12</v>
      </c>
      <c r="H162" s="18">
        <f t="shared" ca="1" si="8"/>
        <v>0</v>
      </c>
    </row>
    <row r="163" spans="4:8" s="615" customFormat="1">
      <c r="D163" s="616">
        <v>145</v>
      </c>
      <c r="E163" s="616">
        <f t="shared" ca="1" si="6"/>
        <v>1</v>
      </c>
      <c r="F163" s="30">
        <f t="shared" ca="1" si="7"/>
        <v>13</v>
      </c>
      <c r="H163" s="18">
        <f t="shared" ca="1" si="8"/>
        <v>0</v>
      </c>
    </row>
    <row r="164" spans="4:8" s="615" customFormat="1">
      <c r="D164" s="616">
        <v>146</v>
      </c>
      <c r="E164" s="616">
        <f t="shared" ca="1" si="6"/>
        <v>2</v>
      </c>
      <c r="F164" s="30">
        <f t="shared" ca="1" si="7"/>
        <v>13</v>
      </c>
      <c r="H164" s="18">
        <f t="shared" ca="1" si="8"/>
        <v>0</v>
      </c>
    </row>
    <row r="165" spans="4:8" s="615" customFormat="1">
      <c r="D165" s="616">
        <v>147</v>
      </c>
      <c r="E165" s="616">
        <f t="shared" ca="1" si="6"/>
        <v>3</v>
      </c>
      <c r="F165" s="30">
        <f t="shared" ca="1" si="7"/>
        <v>13</v>
      </c>
      <c r="H165" s="18">
        <f t="shared" ca="1" si="8"/>
        <v>0</v>
      </c>
    </row>
    <row r="166" spans="4:8" s="615" customFormat="1">
      <c r="D166" s="616">
        <v>148</v>
      </c>
      <c r="E166" s="616">
        <f t="shared" ca="1" si="6"/>
        <v>4</v>
      </c>
      <c r="F166" s="30">
        <f t="shared" ca="1" si="7"/>
        <v>13</v>
      </c>
      <c r="H166" s="18">
        <f t="shared" ca="1" si="8"/>
        <v>0</v>
      </c>
    </row>
    <row r="167" spans="4:8" s="615" customFormat="1">
      <c r="D167" s="616">
        <v>149</v>
      </c>
      <c r="E167" s="616">
        <f t="shared" ca="1" si="6"/>
        <v>5</v>
      </c>
      <c r="F167" s="30">
        <f t="shared" ca="1" si="7"/>
        <v>13</v>
      </c>
      <c r="H167" s="18">
        <f t="shared" ca="1" si="8"/>
        <v>0</v>
      </c>
    </row>
    <row r="168" spans="4:8" s="615" customFormat="1">
      <c r="D168" s="616">
        <v>150</v>
      </c>
      <c r="E168" s="616">
        <f t="shared" ca="1" si="6"/>
        <v>6</v>
      </c>
      <c r="F168" s="30">
        <f t="shared" ca="1" si="7"/>
        <v>13</v>
      </c>
      <c r="H168" s="18">
        <f t="shared" ca="1" si="8"/>
        <v>0</v>
      </c>
    </row>
    <row r="169" spans="4:8" s="615" customFormat="1">
      <c r="D169" s="616">
        <v>151</v>
      </c>
      <c r="E169" s="616">
        <f t="shared" ca="1" si="6"/>
        <v>7</v>
      </c>
      <c r="F169" s="30">
        <f t="shared" ca="1" si="7"/>
        <v>13</v>
      </c>
      <c r="H169" s="18">
        <f t="shared" ca="1" si="8"/>
        <v>0</v>
      </c>
    </row>
    <row r="170" spans="4:8" s="615" customFormat="1">
      <c r="D170" s="616">
        <v>152</v>
      </c>
      <c r="E170" s="616">
        <f t="shared" ca="1" si="6"/>
        <v>8</v>
      </c>
      <c r="F170" s="30">
        <f t="shared" ca="1" si="7"/>
        <v>13</v>
      </c>
      <c r="H170" s="18">
        <f t="shared" ca="1" si="8"/>
        <v>0</v>
      </c>
    </row>
    <row r="171" spans="4:8" s="615" customFormat="1">
      <c r="D171" s="616">
        <v>153</v>
      </c>
      <c r="E171" s="616">
        <f t="shared" ca="1" si="6"/>
        <v>9</v>
      </c>
      <c r="F171" s="30">
        <f t="shared" ca="1" si="7"/>
        <v>13</v>
      </c>
      <c r="H171" s="18">
        <f t="shared" ca="1" si="8"/>
        <v>0</v>
      </c>
    </row>
    <row r="172" spans="4:8" s="615" customFormat="1">
      <c r="D172" s="616">
        <v>154</v>
      </c>
      <c r="E172" s="616">
        <f t="shared" ca="1" si="6"/>
        <v>10</v>
      </c>
      <c r="F172" s="30">
        <f t="shared" ca="1" si="7"/>
        <v>13</v>
      </c>
      <c r="H172" s="18">
        <f t="shared" ca="1" si="8"/>
        <v>0</v>
      </c>
    </row>
    <row r="173" spans="4:8" s="615" customFormat="1">
      <c r="D173" s="616">
        <v>155</v>
      </c>
      <c r="E173" s="616">
        <f t="shared" ca="1" si="6"/>
        <v>11</v>
      </c>
      <c r="F173" s="30">
        <f t="shared" ca="1" si="7"/>
        <v>13</v>
      </c>
      <c r="H173" s="18">
        <f t="shared" ca="1" si="8"/>
        <v>0</v>
      </c>
    </row>
    <row r="174" spans="4:8" s="615" customFormat="1">
      <c r="D174" s="616">
        <v>156</v>
      </c>
      <c r="E174" s="616">
        <f t="shared" ca="1" si="6"/>
        <v>12</v>
      </c>
      <c r="F174" s="30">
        <f t="shared" ca="1" si="7"/>
        <v>13</v>
      </c>
      <c r="H174" s="18">
        <f t="shared" ca="1" si="8"/>
        <v>0</v>
      </c>
    </row>
    <row r="175" spans="4:8" s="615" customFormat="1">
      <c r="D175" s="616">
        <v>157</v>
      </c>
      <c r="E175" s="616">
        <f t="shared" ca="1" si="6"/>
        <v>1</v>
      </c>
      <c r="F175" s="30">
        <f t="shared" ca="1" si="7"/>
        <v>14</v>
      </c>
      <c r="H175" s="18">
        <f t="shared" ca="1" si="8"/>
        <v>0</v>
      </c>
    </row>
    <row r="176" spans="4:8" s="615" customFormat="1">
      <c r="D176" s="616">
        <v>158</v>
      </c>
      <c r="E176" s="616">
        <f t="shared" ca="1" si="6"/>
        <v>2</v>
      </c>
      <c r="F176" s="30">
        <f t="shared" ca="1" si="7"/>
        <v>14</v>
      </c>
      <c r="H176" s="18">
        <f t="shared" ca="1" si="8"/>
        <v>0</v>
      </c>
    </row>
    <row r="177" spans="4:8" s="615" customFormat="1">
      <c r="D177" s="616">
        <v>159</v>
      </c>
      <c r="E177" s="616">
        <f t="shared" ca="1" si="6"/>
        <v>3</v>
      </c>
      <c r="F177" s="30">
        <f t="shared" ca="1" si="7"/>
        <v>14</v>
      </c>
      <c r="H177" s="18">
        <f t="shared" ca="1" si="8"/>
        <v>0</v>
      </c>
    </row>
    <row r="178" spans="4:8" s="615" customFormat="1">
      <c r="D178" s="616">
        <v>160</v>
      </c>
      <c r="E178" s="616">
        <f t="shared" ca="1" si="6"/>
        <v>4</v>
      </c>
      <c r="F178" s="30">
        <f t="shared" ca="1" si="7"/>
        <v>14</v>
      </c>
      <c r="H178" s="18">
        <f t="shared" ca="1" si="8"/>
        <v>0</v>
      </c>
    </row>
    <row r="179" spans="4:8" s="615" customFormat="1">
      <c r="D179" s="616">
        <v>161</v>
      </c>
      <c r="E179" s="616">
        <f t="shared" ca="1" si="6"/>
        <v>5</v>
      </c>
      <c r="F179" s="30">
        <f t="shared" ca="1" si="7"/>
        <v>14</v>
      </c>
      <c r="H179" s="18">
        <f t="shared" ca="1" si="8"/>
        <v>0</v>
      </c>
    </row>
    <row r="180" spans="4:8" s="615" customFormat="1">
      <c r="D180" s="616">
        <v>162</v>
      </c>
      <c r="E180" s="616">
        <f t="shared" ca="1" si="6"/>
        <v>6</v>
      </c>
      <c r="F180" s="30">
        <f t="shared" ca="1" si="7"/>
        <v>14</v>
      </c>
      <c r="H180" s="18">
        <f t="shared" ca="1" si="8"/>
        <v>0</v>
      </c>
    </row>
    <row r="181" spans="4:8" s="615" customFormat="1">
      <c r="D181" s="616">
        <v>163</v>
      </c>
      <c r="E181" s="616">
        <f t="shared" ca="1" si="6"/>
        <v>7</v>
      </c>
      <c r="F181" s="30">
        <f t="shared" ca="1" si="7"/>
        <v>14</v>
      </c>
      <c r="H181" s="18">
        <f t="shared" ca="1" si="8"/>
        <v>0</v>
      </c>
    </row>
    <row r="182" spans="4:8" s="615" customFormat="1">
      <c r="D182" s="616">
        <v>164</v>
      </c>
      <c r="E182" s="616">
        <f t="shared" ca="1" si="6"/>
        <v>8</v>
      </c>
      <c r="F182" s="30">
        <f t="shared" ca="1" si="7"/>
        <v>14</v>
      </c>
      <c r="H182" s="18">
        <f t="shared" ca="1" si="8"/>
        <v>0</v>
      </c>
    </row>
    <row r="183" spans="4:8" s="615" customFormat="1">
      <c r="D183" s="616">
        <v>165</v>
      </c>
      <c r="E183" s="616">
        <f t="shared" ca="1" si="6"/>
        <v>9</v>
      </c>
      <c r="F183" s="30">
        <f t="shared" ca="1" si="7"/>
        <v>14</v>
      </c>
      <c r="H183" s="18">
        <f t="shared" ca="1" si="8"/>
        <v>0</v>
      </c>
    </row>
    <row r="184" spans="4:8" s="615" customFormat="1">
      <c r="D184" s="616">
        <v>166</v>
      </c>
      <c r="E184" s="616">
        <f t="shared" ca="1" si="6"/>
        <v>10</v>
      </c>
      <c r="F184" s="30">
        <f t="shared" ca="1" si="7"/>
        <v>14</v>
      </c>
      <c r="H184" s="18">
        <f t="shared" ca="1" si="8"/>
        <v>0</v>
      </c>
    </row>
    <row r="185" spans="4:8" s="615" customFormat="1">
      <c r="D185" s="616">
        <v>167</v>
      </c>
      <c r="E185" s="616">
        <f t="shared" ca="1" si="6"/>
        <v>11</v>
      </c>
      <c r="F185" s="30">
        <f t="shared" ca="1" si="7"/>
        <v>14</v>
      </c>
      <c r="H185" s="18">
        <f t="shared" ca="1" si="8"/>
        <v>0</v>
      </c>
    </row>
    <row r="186" spans="4:8" s="615" customFormat="1">
      <c r="D186" s="616">
        <v>168</v>
      </c>
      <c r="E186" s="616">
        <f t="shared" ca="1" si="6"/>
        <v>12</v>
      </c>
      <c r="F186" s="30">
        <f t="shared" ca="1" si="7"/>
        <v>14</v>
      </c>
      <c r="H186" s="18">
        <f t="shared" ca="1" si="8"/>
        <v>0</v>
      </c>
    </row>
    <row r="187" spans="4:8" s="615" customFormat="1">
      <c r="D187" s="616">
        <v>169</v>
      </c>
      <c r="E187" s="616">
        <f t="shared" ca="1" si="6"/>
        <v>1</v>
      </c>
      <c r="F187" s="30">
        <f t="shared" ca="1" si="7"/>
        <v>15</v>
      </c>
      <c r="H187" s="18">
        <f t="shared" ca="1" si="8"/>
        <v>0</v>
      </c>
    </row>
    <row r="188" spans="4:8" s="615" customFormat="1">
      <c r="D188" s="616">
        <v>170</v>
      </c>
      <c r="E188" s="616">
        <f t="shared" ca="1" si="6"/>
        <v>2</v>
      </c>
      <c r="F188" s="30">
        <f t="shared" ca="1" si="7"/>
        <v>15</v>
      </c>
      <c r="H188" s="18">
        <f t="shared" ca="1" si="8"/>
        <v>0</v>
      </c>
    </row>
    <row r="189" spans="4:8" s="615" customFormat="1">
      <c r="D189" s="616">
        <v>171</v>
      </c>
      <c r="E189" s="616">
        <f t="shared" ca="1" si="6"/>
        <v>3</v>
      </c>
      <c r="F189" s="30">
        <f t="shared" ca="1" si="7"/>
        <v>15</v>
      </c>
      <c r="H189" s="18">
        <f t="shared" ca="1" si="8"/>
        <v>0</v>
      </c>
    </row>
    <row r="190" spans="4:8" s="615" customFormat="1">
      <c r="D190" s="616">
        <v>172</v>
      </c>
      <c r="E190" s="616">
        <f t="shared" ca="1" si="6"/>
        <v>4</v>
      </c>
      <c r="F190" s="30">
        <f t="shared" ca="1" si="7"/>
        <v>15</v>
      </c>
      <c r="H190" s="18">
        <f t="shared" ca="1" si="8"/>
        <v>0</v>
      </c>
    </row>
    <row r="191" spans="4:8" s="615" customFormat="1">
      <c r="D191" s="616">
        <v>173</v>
      </c>
      <c r="E191" s="616">
        <f t="shared" ca="1" si="6"/>
        <v>5</v>
      </c>
      <c r="F191" s="30">
        <f t="shared" ca="1" si="7"/>
        <v>15</v>
      </c>
      <c r="H191" s="18">
        <f t="shared" ca="1" si="8"/>
        <v>0</v>
      </c>
    </row>
    <row r="192" spans="4:8" s="615" customFormat="1">
      <c r="D192" s="616">
        <v>174</v>
      </c>
      <c r="E192" s="616">
        <f t="shared" ca="1" si="6"/>
        <v>6</v>
      </c>
      <c r="F192" s="30">
        <f t="shared" ca="1" si="7"/>
        <v>15</v>
      </c>
      <c r="H192" s="18">
        <f t="shared" ca="1" si="8"/>
        <v>0</v>
      </c>
    </row>
    <row r="193" spans="4:8" s="615" customFormat="1">
      <c r="D193" s="616">
        <v>175</v>
      </c>
      <c r="E193" s="616">
        <f t="shared" ca="1" si="6"/>
        <v>7</v>
      </c>
      <c r="F193" s="30">
        <f t="shared" ca="1" si="7"/>
        <v>15</v>
      </c>
      <c r="H193" s="18">
        <f t="shared" ca="1" si="8"/>
        <v>0</v>
      </c>
    </row>
    <row r="194" spans="4:8" s="615" customFormat="1">
      <c r="D194" s="616">
        <v>176</v>
      </c>
      <c r="E194" s="616">
        <f t="shared" ca="1" si="6"/>
        <v>8</v>
      </c>
      <c r="F194" s="30">
        <f t="shared" ca="1" si="7"/>
        <v>15</v>
      </c>
      <c r="H194" s="18">
        <f t="shared" ca="1" si="8"/>
        <v>0</v>
      </c>
    </row>
    <row r="195" spans="4:8" s="615" customFormat="1">
      <c r="D195" s="616">
        <v>177</v>
      </c>
      <c r="E195" s="616">
        <f t="shared" ca="1" si="6"/>
        <v>9</v>
      </c>
      <c r="F195" s="30">
        <f t="shared" ca="1" si="7"/>
        <v>15</v>
      </c>
      <c r="H195" s="18">
        <f t="shared" ca="1" si="8"/>
        <v>0</v>
      </c>
    </row>
    <row r="196" spans="4:8" s="615" customFormat="1">
      <c r="D196" s="616">
        <v>178</v>
      </c>
      <c r="E196" s="616">
        <f t="shared" ca="1" si="6"/>
        <v>10</v>
      </c>
      <c r="F196" s="30">
        <f t="shared" ca="1" si="7"/>
        <v>15</v>
      </c>
      <c r="H196" s="18">
        <f t="shared" ca="1" si="8"/>
        <v>0</v>
      </c>
    </row>
    <row r="197" spans="4:8" s="615" customFormat="1">
      <c r="D197" s="616">
        <v>179</v>
      </c>
      <c r="E197" s="616">
        <f t="shared" ca="1" si="6"/>
        <v>11</v>
      </c>
      <c r="F197" s="30">
        <f t="shared" ca="1" si="7"/>
        <v>15</v>
      </c>
      <c r="H197" s="18">
        <f t="shared" ca="1" si="8"/>
        <v>0</v>
      </c>
    </row>
    <row r="198" spans="4:8" s="615" customFormat="1">
      <c r="D198" s="616">
        <v>180</v>
      </c>
      <c r="E198" s="616">
        <f t="shared" ca="1" si="6"/>
        <v>12</v>
      </c>
      <c r="F198" s="30">
        <f t="shared" ca="1" si="7"/>
        <v>15</v>
      </c>
      <c r="H198" s="18">
        <f t="shared" ca="1" si="8"/>
        <v>0</v>
      </c>
    </row>
    <row r="199" spans="4:8" s="615" customFormat="1">
      <c r="D199" s="616">
        <v>181</v>
      </c>
      <c r="E199" s="616">
        <f t="shared" ca="1" si="6"/>
        <v>1</v>
      </c>
      <c r="F199" s="30">
        <f t="shared" ca="1" si="7"/>
        <v>16</v>
      </c>
      <c r="H199" s="18">
        <f t="shared" ca="1" si="8"/>
        <v>0</v>
      </c>
    </row>
    <row r="200" spans="4:8" s="615" customFormat="1">
      <c r="D200" s="616">
        <v>182</v>
      </c>
      <c r="E200" s="616">
        <f t="shared" ca="1" si="6"/>
        <v>2</v>
      </c>
      <c r="F200" s="30">
        <f t="shared" ca="1" si="7"/>
        <v>16</v>
      </c>
      <c r="H200" s="18">
        <f t="shared" ca="1" si="8"/>
        <v>0</v>
      </c>
    </row>
    <row r="201" spans="4:8" s="615" customFormat="1">
      <c r="D201" s="616">
        <v>183</v>
      </c>
      <c r="E201" s="616">
        <f t="shared" ca="1" si="6"/>
        <v>3</v>
      </c>
      <c r="F201" s="30">
        <f t="shared" ca="1" si="7"/>
        <v>16</v>
      </c>
      <c r="H201" s="18">
        <f t="shared" ca="1" si="8"/>
        <v>0</v>
      </c>
    </row>
    <row r="202" spans="4:8" s="615" customFormat="1">
      <c r="D202" s="616">
        <v>184</v>
      </c>
      <c r="E202" s="616">
        <f t="shared" ca="1" si="6"/>
        <v>4</v>
      </c>
      <c r="F202" s="30">
        <f t="shared" ca="1" si="7"/>
        <v>16</v>
      </c>
      <c r="H202" s="18">
        <f t="shared" ca="1" si="8"/>
        <v>0</v>
      </c>
    </row>
    <row r="203" spans="4:8" s="615" customFormat="1">
      <c r="D203" s="616">
        <v>185</v>
      </c>
      <c r="E203" s="616">
        <f t="shared" ca="1" si="6"/>
        <v>5</v>
      </c>
      <c r="F203" s="30">
        <f t="shared" ca="1" si="7"/>
        <v>16</v>
      </c>
      <c r="H203" s="18">
        <f t="shared" ca="1" si="8"/>
        <v>0</v>
      </c>
    </row>
    <row r="204" spans="4:8" s="615" customFormat="1">
      <c r="D204" s="616">
        <v>186</v>
      </c>
      <c r="E204" s="616">
        <f t="shared" ca="1" si="6"/>
        <v>6</v>
      </c>
      <c r="F204" s="30">
        <f t="shared" ca="1" si="7"/>
        <v>16</v>
      </c>
      <c r="H204" s="18">
        <f t="shared" ca="1" si="8"/>
        <v>0</v>
      </c>
    </row>
    <row r="205" spans="4:8" s="615" customFormat="1">
      <c r="D205" s="616">
        <v>187</v>
      </c>
      <c r="E205" s="616">
        <f t="shared" ca="1" si="6"/>
        <v>7</v>
      </c>
      <c r="F205" s="30">
        <f t="shared" ca="1" si="7"/>
        <v>16</v>
      </c>
      <c r="H205" s="18">
        <f t="shared" ca="1" si="8"/>
        <v>0</v>
      </c>
    </row>
    <row r="206" spans="4:8" s="615" customFormat="1">
      <c r="D206" s="616">
        <v>188</v>
      </c>
      <c r="E206" s="616">
        <f t="shared" ca="1" si="6"/>
        <v>8</v>
      </c>
      <c r="F206" s="30">
        <f t="shared" ca="1" si="7"/>
        <v>16</v>
      </c>
      <c r="H206" s="18">
        <f t="shared" ca="1" si="8"/>
        <v>0</v>
      </c>
    </row>
    <row r="207" spans="4:8" s="615" customFormat="1">
      <c r="D207" s="616">
        <v>189</v>
      </c>
      <c r="E207" s="616">
        <f t="shared" ca="1" si="6"/>
        <v>9</v>
      </c>
      <c r="F207" s="30">
        <f t="shared" ca="1" si="7"/>
        <v>16</v>
      </c>
      <c r="H207" s="18">
        <f t="shared" ca="1" si="8"/>
        <v>0</v>
      </c>
    </row>
    <row r="208" spans="4:8" s="615" customFormat="1">
      <c r="D208" s="616">
        <v>190</v>
      </c>
      <c r="E208" s="616">
        <f t="shared" ca="1" si="6"/>
        <v>10</v>
      </c>
      <c r="F208" s="30">
        <f t="shared" ca="1" si="7"/>
        <v>16</v>
      </c>
      <c r="H208" s="18">
        <f t="shared" ca="1" si="8"/>
        <v>0</v>
      </c>
    </row>
    <row r="209" spans="4:8" s="615" customFormat="1">
      <c r="D209" s="616">
        <v>191</v>
      </c>
      <c r="E209" s="616">
        <f t="shared" ca="1" si="6"/>
        <v>11</v>
      </c>
      <c r="F209" s="30">
        <f t="shared" ca="1" si="7"/>
        <v>16</v>
      </c>
      <c r="H209" s="18">
        <f t="shared" ca="1" si="8"/>
        <v>0</v>
      </c>
    </row>
    <row r="210" spans="4:8" s="615" customFormat="1">
      <c r="D210" s="616">
        <v>192</v>
      </c>
      <c r="E210" s="616">
        <f t="shared" ca="1" si="6"/>
        <v>12</v>
      </c>
      <c r="F210" s="30">
        <f t="shared" ca="1" si="7"/>
        <v>16</v>
      </c>
      <c r="H210" s="18">
        <f t="shared" ca="1" si="8"/>
        <v>0</v>
      </c>
    </row>
    <row r="211" spans="4:8" s="615" customFormat="1">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c r="D212" s="616">
        <v>194</v>
      </c>
      <c r="E212" s="616">
        <f t="shared" ca="1" si="9"/>
        <v>2</v>
      </c>
      <c r="F212" s="30">
        <f t="shared" ca="1" si="10"/>
        <v>17</v>
      </c>
      <c r="H212" s="18">
        <f t="shared" ca="1" si="11"/>
        <v>0</v>
      </c>
    </row>
    <row r="213" spans="4:8" s="615" customFormat="1">
      <c r="D213" s="616">
        <v>195</v>
      </c>
      <c r="E213" s="616">
        <f t="shared" ca="1" si="9"/>
        <v>3</v>
      </c>
      <c r="F213" s="30">
        <f t="shared" ca="1" si="10"/>
        <v>17</v>
      </c>
      <c r="H213" s="18">
        <f t="shared" ca="1" si="11"/>
        <v>0</v>
      </c>
    </row>
    <row r="214" spans="4:8" s="615" customFormat="1">
      <c r="D214" s="616">
        <v>196</v>
      </c>
      <c r="E214" s="616">
        <f t="shared" ca="1" si="9"/>
        <v>4</v>
      </c>
      <c r="F214" s="30">
        <f t="shared" ca="1" si="10"/>
        <v>17</v>
      </c>
      <c r="H214" s="18">
        <f t="shared" ca="1" si="11"/>
        <v>0</v>
      </c>
    </row>
    <row r="215" spans="4:8" s="615" customFormat="1">
      <c r="D215" s="616">
        <v>197</v>
      </c>
      <c r="E215" s="616">
        <f t="shared" ca="1" si="9"/>
        <v>5</v>
      </c>
      <c r="F215" s="30">
        <f t="shared" ca="1" si="10"/>
        <v>17</v>
      </c>
      <c r="H215" s="18">
        <f t="shared" ca="1" si="11"/>
        <v>0</v>
      </c>
    </row>
    <row r="216" spans="4:8" s="615" customFormat="1">
      <c r="D216" s="616">
        <v>198</v>
      </c>
      <c r="E216" s="616">
        <f t="shared" ca="1" si="9"/>
        <v>6</v>
      </c>
      <c r="F216" s="30">
        <f t="shared" ca="1" si="10"/>
        <v>17</v>
      </c>
      <c r="H216" s="18">
        <f t="shared" ca="1" si="11"/>
        <v>0</v>
      </c>
    </row>
    <row r="217" spans="4:8" s="615" customFormat="1">
      <c r="D217" s="616">
        <v>199</v>
      </c>
      <c r="E217" s="616">
        <f t="shared" ca="1" si="9"/>
        <v>7</v>
      </c>
      <c r="F217" s="30">
        <f t="shared" ca="1" si="10"/>
        <v>17</v>
      </c>
      <c r="H217" s="18">
        <f t="shared" ca="1" si="11"/>
        <v>0</v>
      </c>
    </row>
    <row r="218" spans="4:8" s="615" customFormat="1">
      <c r="D218" s="616">
        <v>200</v>
      </c>
      <c r="E218" s="616">
        <f t="shared" ca="1" si="9"/>
        <v>8</v>
      </c>
      <c r="F218" s="30">
        <f t="shared" ca="1" si="10"/>
        <v>17</v>
      </c>
      <c r="H218" s="18">
        <f t="shared" ca="1" si="11"/>
        <v>0</v>
      </c>
    </row>
    <row r="219" spans="4:8" s="615" customFormat="1">
      <c r="D219" s="616">
        <v>201</v>
      </c>
      <c r="E219" s="616">
        <f t="shared" ca="1" si="9"/>
        <v>9</v>
      </c>
      <c r="F219" s="30">
        <f t="shared" ca="1" si="10"/>
        <v>17</v>
      </c>
      <c r="H219" s="18">
        <f t="shared" ca="1" si="11"/>
        <v>0</v>
      </c>
    </row>
    <row r="220" spans="4:8" s="615" customFormat="1">
      <c r="D220" s="616">
        <v>202</v>
      </c>
      <c r="E220" s="616">
        <f t="shared" ca="1" si="9"/>
        <v>10</v>
      </c>
      <c r="F220" s="30">
        <f t="shared" ca="1" si="10"/>
        <v>17</v>
      </c>
      <c r="H220" s="18">
        <f t="shared" ca="1" si="11"/>
        <v>0</v>
      </c>
    </row>
    <row r="221" spans="4:8" s="615" customFormat="1">
      <c r="D221" s="616">
        <v>203</v>
      </c>
      <c r="E221" s="616">
        <f t="shared" ca="1" si="9"/>
        <v>11</v>
      </c>
      <c r="F221" s="30">
        <f t="shared" ca="1" si="10"/>
        <v>17</v>
      </c>
      <c r="H221" s="18">
        <f t="shared" ca="1" si="11"/>
        <v>0</v>
      </c>
    </row>
    <row r="222" spans="4:8" s="615" customFormat="1">
      <c r="D222" s="616">
        <v>204</v>
      </c>
      <c r="E222" s="616">
        <f t="shared" ca="1" si="9"/>
        <v>12</v>
      </c>
      <c r="F222" s="30">
        <f t="shared" ca="1" si="10"/>
        <v>17</v>
      </c>
      <c r="H222" s="18">
        <f t="shared" ca="1" si="11"/>
        <v>0</v>
      </c>
    </row>
    <row r="223" spans="4:8" s="615" customFormat="1">
      <c r="D223" s="616">
        <v>205</v>
      </c>
      <c r="E223" s="616">
        <f t="shared" ca="1" si="9"/>
        <v>1</v>
      </c>
      <c r="F223" s="30">
        <f t="shared" ca="1" si="10"/>
        <v>18</v>
      </c>
      <c r="H223" s="18">
        <f t="shared" ca="1" si="11"/>
        <v>0</v>
      </c>
    </row>
    <row r="224" spans="4:8" s="615" customFormat="1">
      <c r="D224" s="616">
        <v>206</v>
      </c>
      <c r="E224" s="616">
        <f t="shared" ca="1" si="9"/>
        <v>2</v>
      </c>
      <c r="F224" s="30">
        <f t="shared" ca="1" si="10"/>
        <v>18</v>
      </c>
      <c r="H224" s="18">
        <f t="shared" ca="1" si="11"/>
        <v>0</v>
      </c>
    </row>
    <row r="225" spans="4:8" s="615" customFormat="1">
      <c r="D225" s="616">
        <v>207</v>
      </c>
      <c r="E225" s="616">
        <f t="shared" ca="1" si="9"/>
        <v>3</v>
      </c>
      <c r="F225" s="30">
        <f t="shared" ca="1" si="10"/>
        <v>18</v>
      </c>
      <c r="H225" s="18">
        <f t="shared" ca="1" si="11"/>
        <v>0</v>
      </c>
    </row>
    <row r="226" spans="4:8" s="615" customFormat="1">
      <c r="D226" s="616">
        <v>208</v>
      </c>
      <c r="E226" s="616">
        <f t="shared" ca="1" si="9"/>
        <v>4</v>
      </c>
      <c r="F226" s="30">
        <f t="shared" ca="1" si="10"/>
        <v>18</v>
      </c>
      <c r="H226" s="18">
        <f t="shared" ca="1" si="11"/>
        <v>0</v>
      </c>
    </row>
    <row r="227" spans="4:8" s="615" customFormat="1">
      <c r="D227" s="616">
        <v>209</v>
      </c>
      <c r="E227" s="616">
        <f t="shared" ca="1" si="9"/>
        <v>5</v>
      </c>
      <c r="F227" s="30">
        <f t="shared" ca="1" si="10"/>
        <v>18</v>
      </c>
      <c r="H227" s="18">
        <f t="shared" ca="1" si="11"/>
        <v>0</v>
      </c>
    </row>
    <row r="228" spans="4:8" s="615" customFormat="1">
      <c r="D228" s="616">
        <v>210</v>
      </c>
      <c r="E228" s="616">
        <f t="shared" ca="1" si="9"/>
        <v>6</v>
      </c>
      <c r="F228" s="30">
        <f t="shared" ca="1" si="10"/>
        <v>18</v>
      </c>
      <c r="H228" s="18">
        <f t="shared" ca="1" si="11"/>
        <v>0</v>
      </c>
    </row>
    <row r="229" spans="4:8" s="615" customFormat="1">
      <c r="D229" s="616">
        <v>211</v>
      </c>
      <c r="E229" s="616">
        <f t="shared" ca="1" si="9"/>
        <v>7</v>
      </c>
      <c r="F229" s="30">
        <f t="shared" ca="1" si="10"/>
        <v>18</v>
      </c>
      <c r="H229" s="18">
        <f t="shared" ca="1" si="11"/>
        <v>0</v>
      </c>
    </row>
    <row r="230" spans="4:8" s="615" customFormat="1">
      <c r="D230" s="616">
        <v>212</v>
      </c>
      <c r="E230" s="616">
        <f t="shared" ca="1" si="9"/>
        <v>8</v>
      </c>
      <c r="F230" s="30">
        <f t="shared" ca="1" si="10"/>
        <v>18</v>
      </c>
      <c r="H230" s="18">
        <f t="shared" ca="1" si="11"/>
        <v>0</v>
      </c>
    </row>
    <row r="231" spans="4:8" s="615" customFormat="1">
      <c r="D231" s="616">
        <v>213</v>
      </c>
      <c r="E231" s="616">
        <f t="shared" ca="1" si="9"/>
        <v>9</v>
      </c>
      <c r="F231" s="30">
        <f t="shared" ca="1" si="10"/>
        <v>18</v>
      </c>
      <c r="H231" s="18">
        <f t="shared" ca="1" si="11"/>
        <v>0</v>
      </c>
    </row>
    <row r="232" spans="4:8" s="615" customFormat="1">
      <c r="D232" s="616">
        <v>214</v>
      </c>
      <c r="E232" s="616">
        <f t="shared" ca="1" si="9"/>
        <v>10</v>
      </c>
      <c r="F232" s="30">
        <f t="shared" ca="1" si="10"/>
        <v>18</v>
      </c>
      <c r="H232" s="18">
        <f t="shared" ca="1" si="11"/>
        <v>0</v>
      </c>
    </row>
    <row r="233" spans="4:8" s="615" customFormat="1">
      <c r="D233" s="616">
        <v>215</v>
      </c>
      <c r="E233" s="616">
        <f t="shared" ca="1" si="9"/>
        <v>11</v>
      </c>
      <c r="F233" s="30">
        <f t="shared" ca="1" si="10"/>
        <v>18</v>
      </c>
      <c r="H233" s="18">
        <f t="shared" ca="1" si="11"/>
        <v>0</v>
      </c>
    </row>
    <row r="234" spans="4:8" s="615" customFormat="1">
      <c r="D234" s="616">
        <v>216</v>
      </c>
      <c r="E234" s="616">
        <f t="shared" ca="1" si="9"/>
        <v>12</v>
      </c>
      <c r="F234" s="30">
        <f t="shared" ca="1" si="10"/>
        <v>18</v>
      </c>
      <c r="H234" s="18">
        <f t="shared" ca="1" si="11"/>
        <v>0</v>
      </c>
    </row>
    <row r="235" spans="4:8" s="615" customFormat="1">
      <c r="D235" s="616">
        <v>217</v>
      </c>
      <c r="E235" s="616">
        <f t="shared" ca="1" si="9"/>
        <v>1</v>
      </c>
      <c r="F235" s="30">
        <f t="shared" ca="1" si="10"/>
        <v>19</v>
      </c>
      <c r="H235" s="18">
        <f t="shared" ca="1" si="11"/>
        <v>0</v>
      </c>
    </row>
    <row r="236" spans="4:8" s="615" customFormat="1">
      <c r="D236" s="616">
        <v>218</v>
      </c>
      <c r="E236" s="616">
        <f t="shared" ca="1" si="9"/>
        <v>2</v>
      </c>
      <c r="F236" s="30">
        <f t="shared" ca="1" si="10"/>
        <v>19</v>
      </c>
      <c r="H236" s="18">
        <f t="shared" ca="1" si="11"/>
        <v>0</v>
      </c>
    </row>
    <row r="237" spans="4:8" s="615" customFormat="1">
      <c r="D237" s="616">
        <v>219</v>
      </c>
      <c r="E237" s="616">
        <f t="shared" ca="1" si="9"/>
        <v>3</v>
      </c>
      <c r="F237" s="30">
        <f t="shared" ca="1" si="10"/>
        <v>19</v>
      </c>
      <c r="H237" s="18">
        <f t="shared" ca="1" si="11"/>
        <v>0</v>
      </c>
    </row>
    <row r="238" spans="4:8" s="615" customFormat="1">
      <c r="D238" s="616">
        <v>220</v>
      </c>
      <c r="E238" s="616">
        <f t="shared" ca="1" si="9"/>
        <v>4</v>
      </c>
      <c r="F238" s="30">
        <f t="shared" ca="1" si="10"/>
        <v>19</v>
      </c>
      <c r="H238" s="18">
        <f t="shared" ca="1" si="11"/>
        <v>0</v>
      </c>
    </row>
    <row r="239" spans="4:8" s="615" customFormat="1">
      <c r="D239" s="616">
        <v>221</v>
      </c>
      <c r="E239" s="616">
        <f t="shared" ca="1" si="9"/>
        <v>5</v>
      </c>
      <c r="F239" s="30">
        <f t="shared" ca="1" si="10"/>
        <v>19</v>
      </c>
      <c r="H239" s="18">
        <f t="shared" ca="1" si="11"/>
        <v>0</v>
      </c>
    </row>
    <row r="240" spans="4:8" s="615" customFormat="1">
      <c r="D240" s="616">
        <v>222</v>
      </c>
      <c r="E240" s="616">
        <f t="shared" ca="1" si="9"/>
        <v>6</v>
      </c>
      <c r="F240" s="30">
        <f t="shared" ca="1" si="10"/>
        <v>19</v>
      </c>
      <c r="H240" s="18">
        <f t="shared" ca="1" si="11"/>
        <v>0</v>
      </c>
    </row>
    <row r="241" spans="4:8" s="615" customFormat="1">
      <c r="D241" s="616">
        <v>223</v>
      </c>
      <c r="E241" s="616">
        <f t="shared" ca="1" si="9"/>
        <v>7</v>
      </c>
      <c r="F241" s="30">
        <f t="shared" ca="1" si="10"/>
        <v>19</v>
      </c>
      <c r="H241" s="18">
        <f t="shared" ca="1" si="11"/>
        <v>0</v>
      </c>
    </row>
    <row r="242" spans="4:8" s="615" customFormat="1">
      <c r="D242" s="616">
        <v>224</v>
      </c>
      <c r="E242" s="616">
        <f t="shared" ca="1" si="9"/>
        <v>8</v>
      </c>
      <c r="F242" s="30">
        <f t="shared" ca="1" si="10"/>
        <v>19</v>
      </c>
      <c r="H242" s="18">
        <f t="shared" ca="1" si="11"/>
        <v>0</v>
      </c>
    </row>
    <row r="243" spans="4:8" s="615" customFormat="1">
      <c r="D243" s="616">
        <v>225</v>
      </c>
      <c r="E243" s="616">
        <f t="shared" ca="1" si="9"/>
        <v>9</v>
      </c>
      <c r="F243" s="30">
        <f t="shared" ca="1" si="10"/>
        <v>19</v>
      </c>
      <c r="H243" s="18">
        <f t="shared" ca="1" si="11"/>
        <v>0</v>
      </c>
    </row>
    <row r="244" spans="4:8" s="615" customFormat="1">
      <c r="D244" s="616">
        <v>226</v>
      </c>
      <c r="E244" s="616">
        <f t="shared" ca="1" si="9"/>
        <v>10</v>
      </c>
      <c r="F244" s="30">
        <f t="shared" ca="1" si="10"/>
        <v>19</v>
      </c>
      <c r="H244" s="18">
        <f t="shared" ca="1" si="11"/>
        <v>0</v>
      </c>
    </row>
    <row r="245" spans="4:8" s="615" customFormat="1">
      <c r="D245" s="616">
        <v>227</v>
      </c>
      <c r="E245" s="616">
        <f t="shared" ca="1" si="9"/>
        <v>11</v>
      </c>
      <c r="F245" s="30">
        <f t="shared" ca="1" si="10"/>
        <v>19</v>
      </c>
      <c r="H245" s="18">
        <f t="shared" ca="1" si="11"/>
        <v>0</v>
      </c>
    </row>
    <row r="246" spans="4:8" s="615" customFormat="1">
      <c r="D246" s="616">
        <v>228</v>
      </c>
      <c r="E246" s="616">
        <f t="shared" ca="1" si="9"/>
        <v>12</v>
      </c>
      <c r="F246" s="30">
        <f t="shared" ca="1" si="10"/>
        <v>19</v>
      </c>
      <c r="H246" s="18">
        <f t="shared" ca="1" si="11"/>
        <v>0</v>
      </c>
    </row>
    <row r="247" spans="4:8" s="615" customFormat="1">
      <c r="D247" s="616">
        <v>229</v>
      </c>
      <c r="E247" s="616">
        <f t="shared" ca="1" si="9"/>
        <v>1</v>
      </c>
      <c r="F247" s="30">
        <f t="shared" ca="1" si="10"/>
        <v>20</v>
      </c>
      <c r="H247" s="18">
        <f t="shared" ca="1" si="11"/>
        <v>0</v>
      </c>
    </row>
    <row r="248" spans="4:8" s="615" customFormat="1">
      <c r="D248" s="616">
        <v>230</v>
      </c>
      <c r="E248" s="616">
        <f t="shared" ca="1" si="9"/>
        <v>2</v>
      </c>
      <c r="F248" s="30">
        <f t="shared" ca="1" si="10"/>
        <v>20</v>
      </c>
      <c r="H248" s="18">
        <f t="shared" ca="1" si="11"/>
        <v>0</v>
      </c>
    </row>
    <row r="249" spans="4:8" s="615" customFormat="1">
      <c r="D249" s="616">
        <v>231</v>
      </c>
      <c r="E249" s="616">
        <f t="shared" ca="1" si="9"/>
        <v>3</v>
      </c>
      <c r="F249" s="30">
        <f t="shared" ca="1" si="10"/>
        <v>20</v>
      </c>
      <c r="H249" s="18">
        <f t="shared" ca="1" si="11"/>
        <v>0</v>
      </c>
    </row>
    <row r="250" spans="4:8" s="615" customFormat="1">
      <c r="D250" s="616">
        <v>232</v>
      </c>
      <c r="E250" s="616">
        <f t="shared" ca="1" si="9"/>
        <v>4</v>
      </c>
      <c r="F250" s="30">
        <f t="shared" ca="1" si="10"/>
        <v>20</v>
      </c>
      <c r="H250" s="18">
        <f t="shared" ca="1" si="11"/>
        <v>0</v>
      </c>
    </row>
    <row r="251" spans="4:8" s="615" customFormat="1">
      <c r="D251" s="616">
        <v>233</v>
      </c>
      <c r="E251" s="616">
        <f t="shared" ca="1" si="9"/>
        <v>5</v>
      </c>
      <c r="F251" s="30">
        <f t="shared" ca="1" si="10"/>
        <v>20</v>
      </c>
      <c r="H251" s="18">
        <f t="shared" ca="1" si="11"/>
        <v>0</v>
      </c>
    </row>
    <row r="252" spans="4:8" s="615" customFormat="1">
      <c r="D252" s="616">
        <v>234</v>
      </c>
      <c r="E252" s="616">
        <f t="shared" ca="1" si="9"/>
        <v>6</v>
      </c>
      <c r="F252" s="30">
        <f t="shared" ca="1" si="10"/>
        <v>20</v>
      </c>
      <c r="H252" s="18">
        <f t="shared" ca="1" si="11"/>
        <v>0</v>
      </c>
    </row>
    <row r="253" spans="4:8" s="615" customFormat="1">
      <c r="D253" s="616">
        <v>235</v>
      </c>
      <c r="E253" s="616">
        <f t="shared" ca="1" si="9"/>
        <v>7</v>
      </c>
      <c r="F253" s="30">
        <f t="shared" ca="1" si="10"/>
        <v>20</v>
      </c>
      <c r="H253" s="18">
        <f t="shared" ca="1" si="11"/>
        <v>0</v>
      </c>
    </row>
    <row r="254" spans="4:8" s="615" customFormat="1">
      <c r="D254" s="616">
        <v>236</v>
      </c>
      <c r="E254" s="616">
        <f t="shared" ca="1" si="9"/>
        <v>8</v>
      </c>
      <c r="F254" s="30">
        <f t="shared" ca="1" si="10"/>
        <v>20</v>
      </c>
      <c r="H254" s="18">
        <f t="shared" ca="1" si="11"/>
        <v>0</v>
      </c>
    </row>
    <row r="255" spans="4:8" s="615" customFormat="1">
      <c r="D255" s="616">
        <v>237</v>
      </c>
      <c r="E255" s="616">
        <f t="shared" ca="1" si="9"/>
        <v>9</v>
      </c>
      <c r="F255" s="30">
        <f t="shared" ca="1" si="10"/>
        <v>20</v>
      </c>
      <c r="H255" s="18">
        <f t="shared" ca="1" si="11"/>
        <v>0</v>
      </c>
    </row>
    <row r="256" spans="4:8" s="615" customFormat="1">
      <c r="D256" s="616">
        <v>238</v>
      </c>
      <c r="E256" s="616">
        <f t="shared" ca="1" si="9"/>
        <v>10</v>
      </c>
      <c r="F256" s="30">
        <f t="shared" ca="1" si="10"/>
        <v>20</v>
      </c>
      <c r="H256" s="18">
        <f t="shared" ca="1" si="11"/>
        <v>0</v>
      </c>
    </row>
    <row r="257" spans="4:8" s="615" customFormat="1">
      <c r="D257" s="616">
        <v>239</v>
      </c>
      <c r="E257" s="616">
        <f t="shared" ca="1" si="9"/>
        <v>11</v>
      </c>
      <c r="F257" s="30">
        <f t="shared" ca="1" si="10"/>
        <v>20</v>
      </c>
      <c r="H257" s="18">
        <f t="shared" ca="1" si="11"/>
        <v>0</v>
      </c>
    </row>
    <row r="258" spans="4:8" s="615" customFormat="1">
      <c r="D258" s="616">
        <v>240</v>
      </c>
      <c r="E258" s="616">
        <f t="shared" ca="1" si="9"/>
        <v>12</v>
      </c>
      <c r="F258" s="30">
        <f t="shared" ca="1" si="10"/>
        <v>20</v>
      </c>
      <c r="H258" s="18">
        <f t="shared" ca="1" si="11"/>
        <v>0</v>
      </c>
    </row>
    <row r="259" spans="4:8" s="615" customFormat="1">
      <c r="D259" s="616">
        <v>241</v>
      </c>
      <c r="E259" s="616">
        <f t="shared" ca="1" si="9"/>
        <v>1</v>
      </c>
      <c r="F259" s="30">
        <f t="shared" ca="1" si="10"/>
        <v>21</v>
      </c>
      <c r="H259" s="18">
        <f t="shared" ca="1" si="11"/>
        <v>0</v>
      </c>
    </row>
    <row r="260" spans="4:8" s="615" customFormat="1">
      <c r="D260" s="616">
        <v>242</v>
      </c>
      <c r="E260" s="616">
        <f t="shared" ca="1" si="9"/>
        <v>2</v>
      </c>
      <c r="F260" s="30">
        <f t="shared" ca="1" si="10"/>
        <v>21</v>
      </c>
      <c r="H260" s="18">
        <f t="shared" ca="1" si="11"/>
        <v>0</v>
      </c>
    </row>
    <row r="261" spans="4:8" s="615" customFormat="1">
      <c r="D261" s="616">
        <v>243</v>
      </c>
      <c r="E261" s="616">
        <f t="shared" ca="1" si="9"/>
        <v>3</v>
      </c>
      <c r="F261" s="30">
        <f t="shared" ca="1" si="10"/>
        <v>21</v>
      </c>
      <c r="H261" s="18">
        <f t="shared" ca="1" si="11"/>
        <v>0</v>
      </c>
    </row>
    <row r="262" spans="4:8" s="615" customFormat="1">
      <c r="D262" s="616">
        <v>244</v>
      </c>
      <c r="E262" s="616">
        <f t="shared" ca="1" si="9"/>
        <v>4</v>
      </c>
      <c r="F262" s="30">
        <f t="shared" ca="1" si="10"/>
        <v>21</v>
      </c>
      <c r="H262" s="18">
        <f t="shared" ca="1" si="11"/>
        <v>0</v>
      </c>
    </row>
    <row r="263" spans="4:8" s="615" customFormat="1">
      <c r="D263" s="616">
        <v>245</v>
      </c>
      <c r="E263" s="616">
        <f t="shared" ca="1" si="9"/>
        <v>5</v>
      </c>
      <c r="F263" s="30">
        <f t="shared" ca="1" si="10"/>
        <v>21</v>
      </c>
      <c r="H263" s="18">
        <f t="shared" ca="1" si="11"/>
        <v>0</v>
      </c>
    </row>
    <row r="264" spans="4:8" s="615" customFormat="1">
      <c r="D264" s="616">
        <v>246</v>
      </c>
      <c r="E264" s="616">
        <f t="shared" ca="1" si="9"/>
        <v>6</v>
      </c>
      <c r="F264" s="30">
        <f t="shared" ca="1" si="10"/>
        <v>21</v>
      </c>
      <c r="H264" s="18">
        <f t="shared" ca="1" si="11"/>
        <v>0</v>
      </c>
    </row>
    <row r="265" spans="4:8" s="615" customFormat="1">
      <c r="D265" s="616">
        <v>247</v>
      </c>
      <c r="E265" s="616">
        <f t="shared" ca="1" si="9"/>
        <v>7</v>
      </c>
      <c r="F265" s="30">
        <f t="shared" ca="1" si="10"/>
        <v>21</v>
      </c>
      <c r="H265" s="18">
        <f t="shared" ca="1" si="11"/>
        <v>0</v>
      </c>
    </row>
    <row r="266" spans="4:8" s="615" customFormat="1">
      <c r="D266" s="616">
        <v>248</v>
      </c>
      <c r="E266" s="616">
        <f t="shared" ca="1" si="9"/>
        <v>8</v>
      </c>
      <c r="F266" s="30">
        <f t="shared" ca="1" si="10"/>
        <v>21</v>
      </c>
      <c r="H266" s="18">
        <f t="shared" ca="1" si="11"/>
        <v>0</v>
      </c>
    </row>
    <row r="267" spans="4:8" s="615" customFormat="1">
      <c r="D267" s="616">
        <v>249</v>
      </c>
      <c r="E267" s="616">
        <f t="shared" ca="1" si="9"/>
        <v>9</v>
      </c>
      <c r="F267" s="30">
        <f t="shared" ca="1" si="10"/>
        <v>21</v>
      </c>
      <c r="H267" s="18">
        <f t="shared" ca="1" si="11"/>
        <v>0</v>
      </c>
    </row>
    <row r="268" spans="4:8" s="615" customFormat="1">
      <c r="D268" s="616">
        <v>250</v>
      </c>
      <c r="E268" s="616">
        <f t="shared" ca="1" si="9"/>
        <v>10</v>
      </c>
      <c r="F268" s="30">
        <f t="shared" ca="1" si="10"/>
        <v>21</v>
      </c>
      <c r="H268" s="18">
        <f t="shared" ca="1" si="11"/>
        <v>0</v>
      </c>
    </row>
    <row r="269" spans="4:8" s="615" customFormat="1">
      <c r="D269" s="616">
        <v>251</v>
      </c>
      <c r="E269" s="616">
        <f t="shared" ca="1" si="9"/>
        <v>11</v>
      </c>
      <c r="F269" s="30">
        <f t="shared" ca="1" si="10"/>
        <v>21</v>
      </c>
      <c r="H269" s="18">
        <f t="shared" ca="1" si="11"/>
        <v>0</v>
      </c>
    </row>
    <row r="270" spans="4:8" s="615" customFormat="1">
      <c r="D270" s="616">
        <v>252</v>
      </c>
      <c r="E270" s="616">
        <f t="shared" ca="1" si="9"/>
        <v>12</v>
      </c>
      <c r="F270" s="30">
        <f t="shared" ca="1" si="10"/>
        <v>21</v>
      </c>
      <c r="H270" s="18">
        <f t="shared" ca="1" si="11"/>
        <v>0</v>
      </c>
    </row>
    <row r="271" spans="4:8" s="615" customFormat="1">
      <c r="D271" s="616">
        <v>253</v>
      </c>
      <c r="E271" s="616">
        <f t="shared" ca="1" si="9"/>
        <v>1</v>
      </c>
      <c r="F271" s="30">
        <f t="shared" ca="1" si="10"/>
        <v>22</v>
      </c>
      <c r="H271" s="18">
        <f t="shared" ca="1" si="11"/>
        <v>0</v>
      </c>
    </row>
    <row r="272" spans="4:8" s="615" customFormat="1">
      <c r="D272" s="616">
        <v>254</v>
      </c>
      <c r="E272" s="616">
        <f t="shared" ca="1" si="9"/>
        <v>2</v>
      </c>
      <c r="F272" s="30">
        <f t="shared" ca="1" si="10"/>
        <v>22</v>
      </c>
      <c r="H272" s="18">
        <f t="shared" ca="1" si="11"/>
        <v>0</v>
      </c>
    </row>
    <row r="273" spans="4:8" s="615" customFormat="1">
      <c r="D273" s="616">
        <v>255</v>
      </c>
      <c r="E273" s="616">
        <f t="shared" ca="1" si="9"/>
        <v>3</v>
      </c>
      <c r="F273" s="30">
        <f t="shared" ca="1" si="10"/>
        <v>22</v>
      </c>
      <c r="H273" s="18">
        <f t="shared" ca="1" si="11"/>
        <v>0</v>
      </c>
    </row>
    <row r="274" spans="4:8" s="615" customFormat="1">
      <c r="D274" s="616">
        <v>256</v>
      </c>
      <c r="E274" s="616">
        <f t="shared" ca="1" si="9"/>
        <v>4</v>
      </c>
      <c r="F274" s="30">
        <f t="shared" ca="1" si="10"/>
        <v>22</v>
      </c>
      <c r="H274" s="18">
        <f t="shared" ca="1" si="11"/>
        <v>0</v>
      </c>
    </row>
    <row r="275" spans="4:8" s="615" customFormat="1">
      <c r="D275" s="616">
        <v>257</v>
      </c>
      <c r="E275" s="616">
        <f t="shared" ca="1" si="9"/>
        <v>5</v>
      </c>
      <c r="F275" s="30">
        <f t="shared" ca="1" si="10"/>
        <v>22</v>
      </c>
      <c r="H275" s="18">
        <f t="shared" ca="1" si="11"/>
        <v>0</v>
      </c>
    </row>
    <row r="276" spans="4:8" s="615" customFormat="1">
      <c r="D276" s="616">
        <v>258</v>
      </c>
      <c r="E276" s="616">
        <f t="shared" ca="1" si="9"/>
        <v>6</v>
      </c>
      <c r="F276" s="30">
        <f t="shared" ca="1" si="10"/>
        <v>22</v>
      </c>
      <c r="H276" s="18">
        <f t="shared" ca="1" si="11"/>
        <v>0</v>
      </c>
    </row>
    <row r="277" spans="4:8" s="615" customFormat="1">
      <c r="D277" s="616">
        <v>259</v>
      </c>
      <c r="E277" s="616">
        <f t="shared" ca="1" si="9"/>
        <v>7</v>
      </c>
      <c r="F277" s="30">
        <f t="shared" ca="1" si="10"/>
        <v>22</v>
      </c>
      <c r="H277" s="18">
        <f t="shared" ca="1" si="11"/>
        <v>0</v>
      </c>
    </row>
    <row r="278" spans="4:8" s="615" customFormat="1">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1663</v>
      </c>
      <c r="C2" s="279"/>
      <c r="D2" s="10"/>
      <c r="E2" s="10"/>
      <c r="F2" s="10"/>
      <c r="G2" s="10"/>
      <c r="H2" s="10"/>
      <c r="I2" s="10"/>
      <c r="J2" s="10"/>
      <c r="K2" s="10"/>
      <c r="L2" s="10"/>
      <c r="M2" s="10"/>
      <c r="N2" s="10"/>
    </row>
    <row r="3" spans="1:43" ht="15.75" thickTop="1">
      <c r="AP3" s="400" t="s">
        <v>4093</v>
      </c>
    </row>
    <row r="4" spans="1:43">
      <c r="A4" t="s">
        <v>487</v>
      </c>
      <c r="B4" s="283" t="s">
        <v>2408</v>
      </c>
      <c r="C4" s="280"/>
      <c r="D4" t="s">
        <v>487</v>
      </c>
      <c r="E4" s="111" t="s">
        <v>82</v>
      </c>
      <c r="F4" s="111"/>
      <c r="G4" s="111"/>
      <c r="H4" s="111"/>
      <c r="J4" s="111" t="s">
        <v>1680</v>
      </c>
      <c r="K4" s="111"/>
      <c r="L4" s="111"/>
      <c r="M4" s="111"/>
      <c r="N4" s="111"/>
    </row>
    <row r="5" spans="1:43">
      <c r="AP5" s="399" t="s">
        <v>4092</v>
      </c>
      <c r="AQ5" s="399" t="s">
        <v>4096</v>
      </c>
    </row>
    <row r="6" spans="1:43">
      <c r="B6" s="278" t="s">
        <v>5573</v>
      </c>
      <c r="C6" s="281"/>
      <c r="G6" s="980" t="s">
        <v>2399</v>
      </c>
      <c r="H6" s="980"/>
      <c r="AP6" s="399" t="s">
        <v>4094</v>
      </c>
      <c r="AQ6" s="399" t="s">
        <v>4097</v>
      </c>
    </row>
    <row r="7" spans="1:43">
      <c r="B7" s="665" t="s">
        <v>5061</v>
      </c>
      <c r="C7" s="97">
        <f ca="1">MontoFinanciarAutoYGtiaExt</f>
        <v>141000</v>
      </c>
      <c r="G7" s="269" t="s">
        <v>2400</v>
      </c>
      <c r="H7" s="115">
        <v>1</v>
      </c>
      <c r="AP7" s="399" t="s">
        <v>4095</v>
      </c>
      <c r="AQ7" s="399" t="s">
        <v>4098</v>
      </c>
    </row>
    <row r="8" spans="1:43">
      <c r="B8" s="729" t="s">
        <v>5574</v>
      </c>
      <c r="C8" s="97">
        <f ca="1">MontoFinanciarVida</f>
        <v>1002.0500000000001</v>
      </c>
      <c r="G8" s="270" t="s">
        <v>2401</v>
      </c>
      <c r="H8" s="72">
        <v>0</v>
      </c>
    </row>
    <row r="9" spans="1:43">
      <c r="B9" s="498" t="s">
        <v>4938</v>
      </c>
      <c r="C9" s="719">
        <f ca="1">MontoFinanciarSeguros - MontoFinanciarVida</f>
        <v>6330.8922599999996</v>
      </c>
      <c r="G9" s="271" t="s">
        <v>2402</v>
      </c>
      <c r="H9" s="272">
        <f ca="1">IF(Seguro.EsFinanciado?,FactorRenovacionAnualFinanciado,FactorRenovacionAnualContado)</f>
        <v>0</v>
      </c>
    </row>
    <row r="10" spans="1:43">
      <c r="H10" s="276" t="str">
        <f>CONCATENATE("[",SELECCION_CALCULO_SEGURO,"]")</f>
        <v>[Anual Financiado]</v>
      </c>
      <c r="M10" s="2" t="s">
        <v>1664</v>
      </c>
      <c r="N10" s="105">
        <f ca="1" xml:space="preserve"> IF(SUM(_Flujos.CAT)=0, 0, IRR(_Flujos.CAT,0))</f>
        <v>2.3208760196190528E-2</v>
      </c>
    </row>
    <row r="11" spans="1:43">
      <c r="B11" s="277" t="s">
        <v>2406</v>
      </c>
      <c r="C11" s="282">
        <f ca="1">SUM(C7:C10)</f>
        <v>148332.94225999998</v>
      </c>
      <c r="M11" s="2" t="s">
        <v>1665</v>
      </c>
      <c r="N11" s="284">
        <f ca="1">EFFECT( TIR.Flujos*PeriodosPorAño, PeriodosPorAño )</f>
        <v>0.31695518457322081</v>
      </c>
    </row>
    <row r="12" spans="1:43" ht="15" customHeight="1">
      <c r="N12" s="237"/>
    </row>
    <row r="13" spans="1:43">
      <c r="B13" s="278" t="s">
        <v>4937</v>
      </c>
      <c r="C13" s="281"/>
    </row>
    <row r="14" spans="1:43">
      <c r="B14" s="665" t="s">
        <v>5062</v>
      </c>
      <c r="C14" s="97">
        <f ca="1">Total.Egresos.CAT * CapturaPorcentajeComisionApertura</f>
        <v>3708.3235564999995</v>
      </c>
      <c r="E14" s="980" t="s">
        <v>5006</v>
      </c>
      <c r="F14" s="980"/>
      <c r="G14" s="980"/>
      <c r="H14" s="980"/>
    </row>
    <row r="15" spans="1:43" ht="15" customHeight="1">
      <c r="B15" s="729" t="s">
        <v>5572</v>
      </c>
      <c r="C15" s="719">
        <f ca="1">PrimaVida</f>
        <v>1002.0500000000001</v>
      </c>
      <c r="E15" s="622" t="s">
        <v>5017</v>
      </c>
      <c r="F15" s="622" t="s">
        <v>5016</v>
      </c>
      <c r="G15" s="622" t="s">
        <v>5015</v>
      </c>
      <c r="H15" s="622" t="s">
        <v>5014</v>
      </c>
      <c r="M15" s="1008" t="s">
        <v>2409</v>
      </c>
      <c r="N15" s="1008"/>
    </row>
    <row r="16" spans="1:43">
      <c r="B16" s="498" t="s">
        <v>4938</v>
      </c>
      <c r="C16" s="719">
        <f ca="1">PrimaDaños</f>
        <v>6330.8922599999996</v>
      </c>
    </row>
    <row r="17" spans="2:14">
      <c r="E17" s="29" t="s">
        <v>79</v>
      </c>
      <c r="F17" s="273" t="s">
        <v>5030</v>
      </c>
      <c r="G17" s="274" t="s">
        <v>5030</v>
      </c>
      <c r="H17" s="274" t="s">
        <v>5031</v>
      </c>
      <c r="I17" t="s">
        <v>487</v>
      </c>
      <c r="J17" s="2" t="s">
        <v>1668</v>
      </c>
      <c r="K17" s="2" t="s">
        <v>1667</v>
      </c>
      <c r="L17" t="s">
        <v>487</v>
      </c>
      <c r="M17" s="106" t="s">
        <v>1666</v>
      </c>
      <c r="N17" s="113">
        <f ca="1">SUM(M19:M279)</f>
        <v>1.6201738617382944E-8</v>
      </c>
    </row>
    <row r="18" spans="2:14" ht="15" customHeight="1">
      <c r="B18" s="277" t="s">
        <v>2407</v>
      </c>
      <c r="C18" s="282">
        <f ca="1">SUM(C14:C17)</f>
        <v>11041.265816499999</v>
      </c>
      <c r="E18" s="221"/>
      <c r="F18" s="275" t="s">
        <v>2403</v>
      </c>
      <c r="G18" s="275" t="s">
        <v>2404</v>
      </c>
      <c r="H18" s="275" t="s">
        <v>2404</v>
      </c>
    </row>
    <row r="19" spans="2:14">
      <c r="J19" s="110">
        <v>0</v>
      </c>
      <c r="K19" s="103">
        <f ca="1">Total.Flujo.Cero.CAT</f>
        <v>-137291.67644349998</v>
      </c>
      <c r="L19" s="103"/>
      <c r="M19" s="103">
        <f ca="1">+_Flujos.CAT/(1+CAT)^(_Num.Flujo/PeriodosPorAño)</f>
        <v>-137291.67644349998</v>
      </c>
    </row>
    <row r="20" spans="2:14">
      <c r="B20" s="278" t="s">
        <v>2405</v>
      </c>
      <c r="C20" s="281">
        <f ca="1">Total.Ingresos.CAT - Total.Egresos.CAT</f>
        <v>-137291.67644349998</v>
      </c>
      <c r="E20" s="109">
        <f ca="1">INDEX(T_SoloAuto!__Pago_CAT,_Num.Flujo)</f>
        <v>12507.834443555425</v>
      </c>
      <c r="F20" s="109">
        <f ca="1">INDEX(T_VidaMulti!__Pago_CAT,_Num.Flujo)</f>
        <v>0</v>
      </c>
      <c r="G20" s="109">
        <f ca="1">INDEX(T_VidaAnual!__Pago_CAT,_Num.Flujo)</f>
        <v>650.49097710802232</v>
      </c>
      <c r="H20" s="109">
        <f ca="1">INDEX(T_RenovVidaAnual!__Saldo_Renov_Anual,_Num.Flujo) * FactorRenovacionAnual</f>
        <v>0</v>
      </c>
      <c r="J20" s="110">
        <v>1</v>
      </c>
      <c r="K20" s="104">
        <f ca="1">SUM(_Componentes_CAT _Actual)</f>
        <v>13158.325420663446</v>
      </c>
      <c r="L20" s="103"/>
      <c r="M20" s="103">
        <f t="shared" ref="M20:M50" ca="1" si="0">+_Flujos.CAT/(1+CAT)^(_Num.Flujo/PeriodosPorAño)</f>
        <v>12859.863922725273</v>
      </c>
    </row>
    <row r="21" spans="2:14">
      <c r="E21" s="109">
        <f ca="1">INDEX(T_SoloAuto!__Pago_CAT,_Num.Flujo)</f>
        <v>12522.014232487609</v>
      </c>
      <c r="F21" s="109">
        <f ca="1">INDEX(T_VidaMulti!__Pago_CAT,_Num.Flujo)</f>
        <v>0</v>
      </c>
      <c r="G21" s="109">
        <f ca="1">INDEX(T_VidaAnual!__Pago_CAT,_Num.Flujo)</f>
        <v>651.22842089170115</v>
      </c>
      <c r="H21" s="109">
        <f ca="1">INDEX(T_RenovVidaAnual!__Saldo_Renov_Anual,_Num.Flujo) * FactorRenovacionAnual</f>
        <v>0</v>
      </c>
      <c r="J21" s="110">
        <v>2</v>
      </c>
      <c r="K21" s="104">
        <f ca="1">SUM(_Componentes_CAT _Actual)</f>
        <v>13173.24265337931</v>
      </c>
      <c r="L21" s="103"/>
      <c r="M21" s="103">
        <f t="shared" ca="1" si="0"/>
        <v>12582.42041961844</v>
      </c>
    </row>
    <row r="22" spans="2:14">
      <c r="E22" s="109">
        <f ca="1">INDEX(T_SoloAuto!__Pago_CAT,_Num.Flujo)</f>
        <v>12536.36474607854</v>
      </c>
      <c r="F22" s="109">
        <f ca="1">INDEX(T_VidaMulti!__Pago_CAT,_Num.Flujo)</f>
        <v>0</v>
      </c>
      <c r="G22" s="109">
        <f ca="1">INDEX(T_VidaAnual!__Pago_CAT,_Num.Flujo)</f>
        <v>651.97474349853542</v>
      </c>
      <c r="H22" s="109">
        <f ca="1">INDEX(T_RenovVidaAnual!__Saldo_Renov_Anual,_Num.Flujo) * FactorRenovacionAnual</f>
        <v>0</v>
      </c>
      <c r="J22" s="110">
        <v>3</v>
      </c>
      <c r="K22" s="104">
        <f ca="1">SUM(_Componentes_CAT _Actual)</f>
        <v>13188.339489577074</v>
      </c>
      <c r="L22" s="103"/>
      <c r="M22" s="103">
        <f t="shared" ca="1" si="0"/>
        <v>12311.114456898016</v>
      </c>
    </row>
    <row r="23" spans="2:14">
      <c r="E23" s="109">
        <f ca="1">INDEX(T_SoloAuto!__Pago_CAT,_Num.Flujo)</f>
        <v>12550.888039853106</v>
      </c>
      <c r="F23" s="109">
        <f ca="1">INDEX(T_VidaMulti!__Pago_CAT,_Num.Flujo)</f>
        <v>0</v>
      </c>
      <c r="G23" s="109">
        <f ca="1">INDEX(T_VidaAnual!__Pago_CAT,_Num.Flujo)</f>
        <v>652.73005182955603</v>
      </c>
      <c r="H23" s="109">
        <f ca="1">INDEX(T_RenovVidaAnual!__Saldo_Renov_Anual,_Num.Flujo) * FactorRenovacionAnual</f>
        <v>0</v>
      </c>
      <c r="J23" s="110">
        <v>4</v>
      </c>
      <c r="K23" s="104">
        <f ca="1">SUM(_Componentes_CAT _Actual)</f>
        <v>13203.618091682662</v>
      </c>
      <c r="L23" s="103"/>
      <c r="M23" s="103">
        <f t="shared" ca="1" si="0"/>
        <v>12045.808518461732</v>
      </c>
    </row>
    <row r="24" spans="2:14">
      <c r="E24" s="109">
        <f ca="1">INDEX(T_SoloAuto!__Pago_CAT,_Num.Flujo)</f>
        <v>12565.586194084715</v>
      </c>
      <c r="F24" s="109">
        <f ca="1">INDEX(T_VidaMulti!__Pago_CAT,_Num.Flujo)</f>
        <v>0</v>
      </c>
      <c r="G24" s="109">
        <f ca="1">INDEX(T_VidaAnual!__Pago_CAT,_Num.Flujo)</f>
        <v>653.49445407288204</v>
      </c>
      <c r="H24" s="109">
        <f ca="1">INDEX(T_RenovVidaAnual!__Saldo_Renov_Anual,_Num.Flujo) * FactorRenovacionAnual</f>
        <v>0</v>
      </c>
      <c r="J24" s="110">
        <v>5</v>
      </c>
      <c r="K24" s="104">
        <f ca="1">SUM(_Componentes_CAT _Actual)</f>
        <v>13219.080648157596</v>
      </c>
      <c r="L24" s="103"/>
      <c r="M24" s="103">
        <f t="shared" ca="1" si="0"/>
        <v>11786.368188862851</v>
      </c>
    </row>
    <row r="25" spans="2:14">
      <c r="E25" s="109">
        <f ca="1">INDEX(T_SoloAuto!__Pago_CAT,_Num.Flujo)</f>
        <v>12580.461314093274</v>
      </c>
      <c r="F25" s="109">
        <f ca="1">INDEX(T_VidaMulti!__Pago_CAT,_Num.Flujo)</f>
        <v>0</v>
      </c>
      <c r="G25" s="109">
        <f ca="1">INDEX(T_VidaAnual!__Pago_CAT,_Num.Flujo)</f>
        <v>654.26805971921772</v>
      </c>
      <c r="H25" s="109">
        <f ca="1">INDEX(T_RenovVidaAnual!__Saldo_Renov_Anual,_Num.Flujo) * FactorRenovacionAnual</f>
        <v>0</v>
      </c>
      <c r="J25" s="110">
        <v>6</v>
      </c>
      <c r="K25" s="104">
        <f ca="1">SUM(_Componentes_CAT _Actual)</f>
        <v>13234.729373812492</v>
      </c>
      <c r="L25" s="103"/>
      <c r="M25" s="103">
        <f t="shared" ca="1" si="0"/>
        <v>11532.662083182338</v>
      </c>
    </row>
    <row r="26" spans="2:14">
      <c r="E26" s="109">
        <f ca="1">INDEX(T_SoloAuto!__Pago_CAT,_Num.Flujo)</f>
        <v>12595.515530546738</v>
      </c>
      <c r="F26" s="109">
        <f ca="1">INDEX(T_VidaMulti!__Pago_CAT,_Num.Flujo)</f>
        <v>0</v>
      </c>
      <c r="G26" s="109">
        <f ca="1">INDEX(T_VidaAnual!__Pago_CAT,_Num.Flujo)</f>
        <v>655.05097957753537</v>
      </c>
      <c r="H26" s="109">
        <f ca="1">INDEX(T_RenovVidaAnual!__Saldo_Renov_Anual,_Num.Flujo) * FactorRenovacionAnual</f>
        <v>0</v>
      </c>
      <c r="J26" s="110">
        <v>7</v>
      </c>
      <c r="K26" s="104">
        <f ca="1">SUM(_Componentes_CAT _Actual)</f>
        <v>13250.566510124274</v>
      </c>
      <c r="L26" s="103"/>
      <c r="M26" s="103">
        <f t="shared" ca="1" si="0"/>
        <v>11284.561778489478</v>
      </c>
    </row>
    <row r="27" spans="2:14">
      <c r="E27" s="109">
        <f ca="1">INDEX(T_SoloAuto!__Pago_CAT,_Num.Flujo)</f>
        <v>12610.750999766298</v>
      </c>
      <c r="F27" s="109">
        <f ca="1">INDEX(T_VidaMulti!__Pago_CAT,_Num.Flujo)</f>
        <v>0</v>
      </c>
      <c r="G27" s="109">
        <f ca="1">INDEX(T_VidaAnual!__Pago_CAT,_Num.Flujo)</f>
        <v>655.84332579094712</v>
      </c>
      <c r="H27" s="109">
        <f ca="1">INDEX(T_RenovVidaAnual!__Saldo_Renov_Anual,_Num.Flujo) * FactorRenovacionAnual</f>
        <v>0</v>
      </c>
      <c r="J27" s="110">
        <v>8</v>
      </c>
      <c r="K27" s="104">
        <f ca="1">SUM(_Componentes_CAT _Actual)</f>
        <v>13266.594325557246</v>
      </c>
      <c r="L27" s="103"/>
      <c r="M27" s="103">
        <f t="shared" ca="1" si="0"/>
        <v>11041.941746854947</v>
      </c>
    </row>
    <row r="28" spans="2:14">
      <c r="E28" s="109">
        <f ca="1">INDEX(T_SoloAuto!__Pago_CAT,_Num.Flujo)</f>
        <v>12626.169904035265</v>
      </c>
      <c r="F28" s="109">
        <f ca="1">INDEX(T_VidaMulti!__Pago_CAT,_Num.Flujo)</f>
        <v>0</v>
      </c>
      <c r="G28" s="109">
        <f ca="1">INDEX(T_VidaAnual!__Pago_CAT,_Num.Flujo)</f>
        <v>656.64521185276828</v>
      </c>
      <c r="H28" s="109">
        <f ca="1">INDEX(T_RenovVidaAnual!__Saldo_Renov_Anual,_Num.Flujo) * FactorRenovacionAnual</f>
        <v>0</v>
      </c>
      <c r="J28" s="110">
        <v>9</v>
      </c>
      <c r="K28" s="104">
        <f ca="1">SUM(_Componentes_CAT _Actual)</f>
        <v>13282.815115888034</v>
      </c>
      <c r="L28" s="103"/>
      <c r="M28" s="103">
        <f t="shared" ca="1" si="0"/>
        <v>10804.679289881158</v>
      </c>
    </row>
    <row r="29" spans="2:14">
      <c r="E29" s="109">
        <f ca="1">INDEX(T_SoloAuto!__Pago_CAT,_Num.Flujo)</f>
        <v>12641.774451911628</v>
      </c>
      <c r="F29" s="109">
        <f ca="1">INDEX(T_VidaMulti!__Pago_CAT,_Num.Flujo)</f>
        <v>0</v>
      </c>
      <c r="G29" s="109">
        <f ca="1">INDEX(T_VidaAnual!__Pago_CAT,_Num.Flujo)</f>
        <v>657.45675262277382</v>
      </c>
      <c r="H29" s="109">
        <f ca="1">INDEX(T_RenovVidaAnual!__Saldo_Renov_Anual,_Num.Flujo) * FactorRenovacionAnual</f>
        <v>0</v>
      </c>
      <c r="J29" s="110">
        <v>10</v>
      </c>
      <c r="K29" s="104">
        <f ca="1">SUM(_Componentes_CAT _Actual)</f>
        <v>13299.231204534401</v>
      </c>
      <c r="L29" s="103"/>
      <c r="M29" s="103">
        <f t="shared" ca="1" si="0"/>
        <v>10572.654474715448</v>
      </c>
    </row>
    <row r="30" spans="2:14">
      <c r="E30" s="109">
        <f ca="1">INDEX(T_SoloAuto!__Pago_CAT,_Num.Flujo)</f>
        <v>12657.566878544423</v>
      </c>
      <c r="F30" s="109">
        <f ca="1">INDEX(T_VidaMulti!__Pago_CAT,_Num.Flujo)</f>
        <v>0</v>
      </c>
      <c r="G30" s="109">
        <f ca="1">INDEX(T_VidaAnual!__Pago_CAT,_Num.Flujo)</f>
        <v>658.27806434365027</v>
      </c>
      <c r="H30" s="109">
        <f ca="1">INDEX(T_RenovVidaAnual!__Saldo_Renov_Anual,_Num.Flujo) * FactorRenovacionAnual</f>
        <v>0</v>
      </c>
      <c r="J30" s="110">
        <v>11</v>
      </c>
      <c r="K30" s="104">
        <f ca="1">SUM(_Componentes_CAT _Actual)</f>
        <v>13315.844942888074</v>
      </c>
      <c r="L30" s="103"/>
      <c r="M30" s="103">
        <f t="shared" ca="1" si="0"/>
        <v>10345.750071512548</v>
      </c>
    </row>
    <row r="31" spans="2:14">
      <c r="E31" s="109">
        <f ca="1">INDEX(T_SoloAuto!__Pago_CAT,_Num.Flujo)</f>
        <v>12673.549445994522</v>
      </c>
      <c r="F31" s="109">
        <f ca="1">INDEX(T_VidaMulti!__Pago_CAT,_Num.Flujo)</f>
        <v>0</v>
      </c>
      <c r="G31" s="109">
        <f ca="1">INDEX(T_VidaAnual!__Pago_CAT,_Num.Flujo)</f>
        <v>659.10926465767955</v>
      </c>
      <c r="H31" s="109">
        <f ca="1">INDEX(T_RenovVidaAnual!__Saldo_Renov_Anual,_Num.Flujo) * FactorRenovacionAnual</f>
        <v>0</v>
      </c>
      <c r="J31" s="110">
        <v>12</v>
      </c>
      <c r="K31" s="104">
        <f ca="1">SUM(_Componentes_CAT _Actual)</f>
        <v>13332.658710652202</v>
      </c>
      <c r="L31" s="103"/>
      <c r="M31" s="103">
        <f t="shared" ca="1" si="0"/>
        <v>10123.851492313956</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11025</v>
      </c>
      <c r="B1" s="10"/>
      <c r="C1" s="10"/>
      <c r="D1" s="10"/>
      <c r="E1" s="10"/>
    </row>
    <row r="2" spans="1:6" ht="15.75" thickTop="1"/>
    <row r="3" spans="1:6">
      <c r="B3" s="11" t="s">
        <v>1597</v>
      </c>
    </row>
    <row r="4" spans="1:6">
      <c r="A4" s="2" t="s">
        <v>429</v>
      </c>
      <c r="B4" s="2" t="s">
        <v>430</v>
      </c>
      <c r="C4" s="3" t="s">
        <v>431</v>
      </c>
      <c r="D4" s="2" t="s">
        <v>1598</v>
      </c>
      <c r="E4" s="2" t="s">
        <v>1599</v>
      </c>
    </row>
    <row r="5" spans="1:6">
      <c r="A5" s="44">
        <v>1</v>
      </c>
      <c r="B5" s="45" t="s">
        <v>1600</v>
      </c>
      <c r="C5" s="46">
        <f>A5</f>
        <v>1</v>
      </c>
      <c r="D5" s="4">
        <v>30</v>
      </c>
      <c r="E5" s="6">
        <v>12</v>
      </c>
    </row>
    <row r="6" spans="1:6">
      <c r="A6" s="47">
        <v>2</v>
      </c>
      <c r="B6" s="48" t="s">
        <v>1601</v>
      </c>
      <c r="C6" s="49">
        <f>A6</f>
        <v>2</v>
      </c>
      <c r="D6" s="50">
        <v>15</v>
      </c>
      <c r="E6" s="51">
        <v>24</v>
      </c>
    </row>
    <row r="7" spans="1:6">
      <c r="A7" s="47">
        <v>3</v>
      </c>
      <c r="B7" s="48" t="s">
        <v>1602</v>
      </c>
      <c r="C7" s="49">
        <f>A7</f>
        <v>3</v>
      </c>
      <c r="D7" s="50">
        <v>14</v>
      </c>
      <c r="E7" s="51">
        <v>26</v>
      </c>
    </row>
    <row r="8" spans="1:6">
      <c r="A8" s="47">
        <v>4</v>
      </c>
      <c r="B8" s="48" t="s">
        <v>1603</v>
      </c>
      <c r="C8" s="49">
        <f>A8</f>
        <v>4</v>
      </c>
      <c r="D8" s="50">
        <v>10</v>
      </c>
      <c r="E8" s="51">
        <v>36</v>
      </c>
    </row>
    <row r="9" spans="1:6">
      <c r="A9" s="52">
        <v>5</v>
      </c>
      <c r="B9" s="53" t="s">
        <v>1604</v>
      </c>
      <c r="C9" s="54">
        <f>A9</f>
        <v>5</v>
      </c>
      <c r="D9" s="7">
        <v>7</v>
      </c>
      <c r="E9" s="9">
        <v>52</v>
      </c>
    </row>
    <row r="12" spans="1:6">
      <c r="B12" s="11" t="s">
        <v>1557</v>
      </c>
    </row>
    <row r="13" spans="1:6">
      <c r="A13" s="2" t="s">
        <v>429</v>
      </c>
      <c r="B13" s="2" t="s">
        <v>430</v>
      </c>
      <c r="C13" s="3" t="s">
        <v>431</v>
      </c>
      <c r="D13" s="2" t="s">
        <v>1559</v>
      </c>
      <c r="E13" s="29" t="s">
        <v>1558</v>
      </c>
      <c r="F13" s="29" t="s">
        <v>1612</v>
      </c>
    </row>
    <row r="14" spans="1:6">
      <c r="A14" s="22">
        <v>1</v>
      </c>
      <c r="B14" s="4" t="s">
        <v>1549</v>
      </c>
      <c r="C14" s="5">
        <f>A14</f>
        <v>1</v>
      </c>
      <c r="D14" s="25">
        <v>2</v>
      </c>
      <c r="E14" s="25">
        <v>0</v>
      </c>
      <c r="F14" s="25"/>
    </row>
    <row r="15" spans="1:6">
      <c r="A15" s="22">
        <v>2</v>
      </c>
      <c r="B15" s="20" t="s">
        <v>1550</v>
      </c>
      <c r="C15" s="23">
        <f t="shared" ref="C15:C21" si="0">A15</f>
        <v>2</v>
      </c>
      <c r="D15" s="22">
        <v>6</v>
      </c>
      <c r="E15" s="27">
        <v>0</v>
      </c>
      <c r="F15" s="27"/>
    </row>
    <row r="16" spans="1:6">
      <c r="A16" s="22">
        <v>3</v>
      </c>
      <c r="B16" s="20" t="s">
        <v>1551</v>
      </c>
      <c r="C16" s="23">
        <f t="shared" si="0"/>
        <v>3</v>
      </c>
      <c r="D16" s="22">
        <v>12</v>
      </c>
      <c r="E16" s="27">
        <v>1</v>
      </c>
      <c r="F16" s="27">
        <v>1</v>
      </c>
    </row>
    <row r="17" spans="1:6">
      <c r="A17" s="22">
        <v>4</v>
      </c>
      <c r="B17" s="20" t="s">
        <v>1552</v>
      </c>
      <c r="C17" s="23">
        <f t="shared" si="0"/>
        <v>4</v>
      </c>
      <c r="D17" s="22">
        <v>18</v>
      </c>
      <c r="E17" s="27">
        <v>2</v>
      </c>
      <c r="F17" s="27"/>
    </row>
    <row r="18" spans="1:6">
      <c r="A18" s="22">
        <v>5</v>
      </c>
      <c r="B18" s="20" t="s">
        <v>1553</v>
      </c>
      <c r="C18" s="23">
        <f t="shared" si="0"/>
        <v>5</v>
      </c>
      <c r="D18" s="22">
        <v>24</v>
      </c>
      <c r="E18" s="27">
        <v>3</v>
      </c>
      <c r="F18" s="27">
        <v>2</v>
      </c>
    </row>
    <row r="19" spans="1:6">
      <c r="A19" s="22">
        <v>6</v>
      </c>
      <c r="B19" s="20" t="s">
        <v>1554</v>
      </c>
      <c r="C19" s="23">
        <f t="shared" si="0"/>
        <v>6</v>
      </c>
      <c r="D19" s="22">
        <v>36</v>
      </c>
      <c r="E19" s="27">
        <v>4</v>
      </c>
      <c r="F19" s="27">
        <v>3</v>
      </c>
    </row>
    <row r="20" spans="1:6">
      <c r="A20" s="22">
        <v>7</v>
      </c>
      <c r="B20" s="20" t="s">
        <v>1555</v>
      </c>
      <c r="C20" s="23">
        <f t="shared" si="0"/>
        <v>7</v>
      </c>
      <c r="D20" s="22">
        <v>48</v>
      </c>
      <c r="E20" s="27">
        <v>5</v>
      </c>
      <c r="F20" s="27">
        <v>4</v>
      </c>
    </row>
    <row r="21" spans="1:6">
      <c r="A21" s="22">
        <v>8</v>
      </c>
      <c r="B21" s="21" t="s">
        <v>1556</v>
      </c>
      <c r="C21" s="24">
        <f t="shared" si="0"/>
        <v>8</v>
      </c>
      <c r="D21" s="26">
        <v>60</v>
      </c>
      <c r="E21" s="28">
        <v>6</v>
      </c>
      <c r="F21" s="28">
        <v>5</v>
      </c>
    </row>
    <row r="24" spans="1:6">
      <c r="B24" s="241" t="s">
        <v>4782</v>
      </c>
    </row>
    <row r="25" spans="1:6">
      <c r="A25" s="2" t="s">
        <v>429</v>
      </c>
      <c r="B25" s="2" t="s">
        <v>430</v>
      </c>
      <c r="C25" s="3" t="s">
        <v>431</v>
      </c>
      <c r="D25" s="2" t="s">
        <v>1570</v>
      </c>
    </row>
    <row r="26" spans="1:6">
      <c r="A26" s="475">
        <v>1</v>
      </c>
      <c r="B26" s="475" t="s">
        <v>4783</v>
      </c>
      <c r="C26" s="5">
        <f>A26</f>
        <v>1</v>
      </c>
      <c r="D26" t="b">
        <v>1</v>
      </c>
    </row>
    <row r="27" spans="1:6">
      <c r="A27" s="475">
        <v>2</v>
      </c>
      <c r="B27" s="475" t="s">
        <v>4784</v>
      </c>
      <c r="C27" s="8">
        <f>A27</f>
        <v>2</v>
      </c>
      <c r="D27" t="b">
        <v>0</v>
      </c>
    </row>
    <row r="30" spans="1:6">
      <c r="B30" s="11" t="s">
        <v>1569</v>
      </c>
    </row>
    <row r="31" spans="1:6">
      <c r="A31" s="2" t="s">
        <v>429</v>
      </c>
      <c r="B31" s="2" t="s">
        <v>430</v>
      </c>
      <c r="C31" s="3" t="s">
        <v>431</v>
      </c>
      <c r="D31" s="2" t="s">
        <v>1570</v>
      </c>
      <c r="E31" s="2" t="s">
        <v>3164</v>
      </c>
    </row>
    <row r="32" spans="1:6">
      <c r="A32" s="12">
        <v>1</v>
      </c>
      <c r="B32" s="12" t="s">
        <v>1568</v>
      </c>
      <c r="C32" s="23">
        <f>A32</f>
        <v>1</v>
      </c>
      <c r="D32" t="b">
        <v>1</v>
      </c>
      <c r="E32" s="289" t="str">
        <f ca="1">IF(ID_AUTO_SUST=1,"","")</f>
        <v/>
      </c>
    </row>
    <row r="33" spans="1:4">
      <c r="A33" s="12">
        <v>2</v>
      </c>
      <c r="B33" s="12" t="s">
        <v>1567</v>
      </c>
      <c r="C33" s="23">
        <f>A33</f>
        <v>2</v>
      </c>
      <c r="D33" t="b">
        <v>0</v>
      </c>
    </row>
    <row r="35" spans="1:4">
      <c r="B35" s="11" t="s">
        <v>1641</v>
      </c>
    </row>
    <row r="36" spans="1:4">
      <c r="A36" s="2" t="s">
        <v>429</v>
      </c>
      <c r="B36" s="2" t="s">
        <v>430</v>
      </c>
      <c r="C36" s="3" t="s">
        <v>431</v>
      </c>
    </row>
    <row r="37" spans="1:4">
      <c r="A37" s="44">
        <v>1</v>
      </c>
      <c r="B37" s="45" t="s">
        <v>1638</v>
      </c>
      <c r="C37" s="46">
        <f>A37</f>
        <v>1</v>
      </c>
    </row>
    <row r="38" spans="1:4">
      <c r="A38" s="47">
        <v>2</v>
      </c>
      <c r="B38" s="48" t="s">
        <v>1639</v>
      </c>
      <c r="C38" s="49">
        <f>A38</f>
        <v>2</v>
      </c>
    </row>
    <row r="39" spans="1:4">
      <c r="A39" s="52">
        <v>3</v>
      </c>
      <c r="B39" s="53" t="s">
        <v>1640</v>
      </c>
      <c r="C39" s="54">
        <f>A39</f>
        <v>3</v>
      </c>
    </row>
    <row r="41" spans="1:4">
      <c r="B41" s="16"/>
      <c r="C41" s="16"/>
    </row>
    <row r="42" spans="1:4">
      <c r="B42" s="1" t="s">
        <v>434</v>
      </c>
    </row>
    <row r="43" spans="1:4">
      <c r="B43" s="14" t="s">
        <v>1616</v>
      </c>
      <c r="C43" s="15">
        <v>0.04</v>
      </c>
    </row>
    <row r="44" spans="1:4">
      <c r="B44" s="55" t="s">
        <v>1605</v>
      </c>
      <c r="C44" s="51">
        <v>30</v>
      </c>
    </row>
    <row r="45" spans="1:4">
      <c r="B45" s="43" t="s">
        <v>1606</v>
      </c>
      <c r="C45" s="9">
        <v>360</v>
      </c>
    </row>
    <row r="46" spans="1:4">
      <c r="B46" s="43" t="s">
        <v>1607</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c r="A1" s="10" t="s">
        <v>479</v>
      </c>
      <c r="B1" s="10"/>
      <c r="C1" s="10"/>
      <c r="D1" s="10"/>
      <c r="E1" s="10"/>
      <c r="F1" s="10"/>
      <c r="G1" s="10"/>
      <c r="H1" s="10"/>
      <c r="I1" s="10"/>
      <c r="J1" s="10"/>
      <c r="K1" s="39"/>
      <c r="L1" s="39"/>
      <c r="M1" s="39"/>
    </row>
    <row r="2" spans="1:13" ht="15.75" thickTop="1">
      <c r="J2" s="98"/>
      <c r="K2" s="39"/>
      <c r="L2" s="39"/>
      <c r="M2" s="39"/>
    </row>
    <row r="3" spans="1:13">
      <c r="B3" s="11" t="s">
        <v>439</v>
      </c>
      <c r="J3" s="98"/>
      <c r="K3" s="39"/>
      <c r="L3" s="821" t="s">
        <v>4947</v>
      </c>
      <c r="M3" s="39"/>
    </row>
    <row r="4" spans="1:1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c r="A5" s="12">
        <v>1</v>
      </c>
      <c r="B5" s="12" t="s">
        <v>442</v>
      </c>
      <c r="C5" s="12">
        <f>A5</f>
        <v>1</v>
      </c>
      <c r="D5" s="17">
        <v>0.65</v>
      </c>
      <c r="E5" s="402">
        <v>0.61</v>
      </c>
      <c r="F5" s="12" t="s">
        <v>443</v>
      </c>
      <c r="G5" s="12" t="b">
        <v>0</v>
      </c>
      <c r="H5" s="12" t="b">
        <v>0</v>
      </c>
      <c r="I5" s="297">
        <v>318</v>
      </c>
      <c r="J5" s="98">
        <v>1</v>
      </c>
      <c r="K5" s="39"/>
      <c r="L5" s="817">
        <v>1</v>
      </c>
      <c r="M5" s="818" t="s">
        <v>10929</v>
      </c>
    </row>
    <row r="6" spans="1:13">
      <c r="A6" s="12">
        <v>2</v>
      </c>
      <c r="B6" s="12" t="s">
        <v>444</v>
      </c>
      <c r="C6" s="12">
        <f t="shared" ref="C6:C36" si="0">A6</f>
        <v>2</v>
      </c>
      <c r="D6" s="17">
        <v>0.7</v>
      </c>
      <c r="E6" s="402">
        <v>0.7</v>
      </c>
      <c r="F6" s="12" t="s">
        <v>445</v>
      </c>
      <c r="G6" s="12" t="b">
        <v>1</v>
      </c>
      <c r="H6" s="12" t="b">
        <v>1</v>
      </c>
      <c r="I6" s="297">
        <v>318</v>
      </c>
      <c r="J6" s="98">
        <v>1</v>
      </c>
      <c r="L6" s="819">
        <v>2</v>
      </c>
      <c r="M6" s="82" t="s">
        <v>10925</v>
      </c>
    </row>
    <row r="7" spans="1:13">
      <c r="A7" s="12">
        <v>3</v>
      </c>
      <c r="B7" s="12" t="s">
        <v>446</v>
      </c>
      <c r="C7" s="12">
        <f t="shared" si="0"/>
        <v>3</v>
      </c>
      <c r="D7" s="17">
        <v>0.5</v>
      </c>
      <c r="E7" s="402">
        <v>0.5</v>
      </c>
      <c r="F7" s="12" t="s">
        <v>447</v>
      </c>
      <c r="G7" s="12" t="b">
        <v>1</v>
      </c>
      <c r="H7" s="12" t="b">
        <v>0</v>
      </c>
      <c r="I7" s="297">
        <v>318</v>
      </c>
      <c r="J7" s="98">
        <v>1</v>
      </c>
      <c r="L7" s="820">
        <v>3</v>
      </c>
      <c r="M7" s="107" t="s">
        <v>10926</v>
      </c>
    </row>
    <row r="8" spans="1:13">
      <c r="A8" s="12">
        <v>4</v>
      </c>
      <c r="B8" s="12" t="s">
        <v>448</v>
      </c>
      <c r="C8" s="12">
        <f t="shared" si="0"/>
        <v>4</v>
      </c>
      <c r="D8" s="17">
        <v>0.7</v>
      </c>
      <c r="E8" s="402">
        <v>0.7</v>
      </c>
      <c r="F8" s="12" t="s">
        <v>449</v>
      </c>
      <c r="G8" s="12" t="b">
        <v>0</v>
      </c>
      <c r="H8" s="12" t="b">
        <v>1</v>
      </c>
      <c r="I8" s="297">
        <v>318</v>
      </c>
      <c r="J8" s="98">
        <v>1</v>
      </c>
      <c r="M8" s="246"/>
    </row>
    <row r="9" spans="1:13">
      <c r="A9" s="12">
        <v>5</v>
      </c>
      <c r="B9" s="12" t="s">
        <v>450</v>
      </c>
      <c r="C9" s="12">
        <f t="shared" si="0"/>
        <v>5</v>
      </c>
      <c r="D9" s="17">
        <v>0.57999999999999996</v>
      </c>
      <c r="E9" s="402">
        <v>0.65</v>
      </c>
      <c r="F9" s="12" t="s">
        <v>443</v>
      </c>
      <c r="G9" s="12" t="b">
        <v>1</v>
      </c>
      <c r="H9" s="12" t="b">
        <v>1</v>
      </c>
      <c r="I9" s="297">
        <v>318</v>
      </c>
      <c r="J9" s="98">
        <v>1</v>
      </c>
      <c r="M9" s="246"/>
    </row>
    <row r="10" spans="1:13">
      <c r="A10" s="12">
        <v>6</v>
      </c>
      <c r="B10" s="12" t="s">
        <v>451</v>
      </c>
      <c r="C10" s="12">
        <f t="shared" si="0"/>
        <v>6</v>
      </c>
      <c r="D10" s="17">
        <v>0.65</v>
      </c>
      <c r="E10" s="402">
        <v>0.65</v>
      </c>
      <c r="F10" s="12" t="s">
        <v>452</v>
      </c>
      <c r="G10" s="12" t="b">
        <v>0</v>
      </c>
      <c r="H10" s="12" t="b">
        <v>0</v>
      </c>
      <c r="I10" s="297">
        <v>318</v>
      </c>
      <c r="J10" s="98">
        <v>1</v>
      </c>
      <c r="M10" s="246"/>
    </row>
    <row r="11" spans="1:13">
      <c r="A11" s="12">
        <v>7</v>
      </c>
      <c r="B11" s="12" t="s">
        <v>453</v>
      </c>
      <c r="C11" s="12">
        <f t="shared" si="0"/>
        <v>7</v>
      </c>
      <c r="D11" s="17">
        <v>0.7</v>
      </c>
      <c r="E11" s="402">
        <v>0.76</v>
      </c>
      <c r="F11" s="12" t="s">
        <v>447</v>
      </c>
      <c r="G11" s="12" t="b">
        <v>0</v>
      </c>
      <c r="H11" s="12" t="b">
        <v>1</v>
      </c>
      <c r="I11" s="297">
        <v>318</v>
      </c>
      <c r="J11" s="98">
        <v>1</v>
      </c>
      <c r="L11" s="812"/>
      <c r="M11" s="246"/>
    </row>
    <row r="12" spans="1:13">
      <c r="A12" s="12">
        <v>8</v>
      </c>
      <c r="B12" s="12" t="s">
        <v>454</v>
      </c>
      <c r="C12" s="12">
        <f t="shared" si="0"/>
        <v>8</v>
      </c>
      <c r="D12" s="17">
        <v>0.7</v>
      </c>
      <c r="E12" s="402">
        <v>0.75</v>
      </c>
      <c r="F12" s="12" t="s">
        <v>449</v>
      </c>
      <c r="G12" s="12" t="b">
        <v>1</v>
      </c>
      <c r="H12" s="12" t="b">
        <v>1</v>
      </c>
      <c r="I12" s="297">
        <v>318</v>
      </c>
      <c r="J12" s="98">
        <v>1</v>
      </c>
      <c r="L12" s="812"/>
      <c r="M12" s="246"/>
    </row>
    <row r="13" spans="1:13">
      <c r="A13" s="12">
        <v>9</v>
      </c>
      <c r="B13" s="915" t="s">
        <v>11076</v>
      </c>
      <c r="C13" s="12">
        <f t="shared" si="0"/>
        <v>9</v>
      </c>
      <c r="D13" s="17">
        <v>0.9</v>
      </c>
      <c r="E13" s="402">
        <v>0.85</v>
      </c>
      <c r="F13" s="12" t="s">
        <v>455</v>
      </c>
      <c r="G13" s="12" t="b">
        <v>0</v>
      </c>
      <c r="H13" s="12" t="b">
        <v>0</v>
      </c>
      <c r="I13" s="297">
        <v>318</v>
      </c>
      <c r="J13" s="815">
        <v>2</v>
      </c>
      <c r="L13" s="812"/>
      <c r="M13" s="246"/>
    </row>
    <row r="14" spans="1:13">
      <c r="A14" s="12">
        <v>10</v>
      </c>
      <c r="B14" s="12" t="s">
        <v>456</v>
      </c>
      <c r="C14" s="12">
        <f t="shared" si="0"/>
        <v>10</v>
      </c>
      <c r="D14" s="17">
        <v>0.57999999999999996</v>
      </c>
      <c r="E14" s="402">
        <v>0.65</v>
      </c>
      <c r="F14" s="12" t="s">
        <v>443</v>
      </c>
      <c r="G14" s="12" t="b">
        <v>1</v>
      </c>
      <c r="H14" s="12" t="b">
        <v>0</v>
      </c>
      <c r="I14" s="297">
        <v>318</v>
      </c>
      <c r="J14" s="98">
        <v>1</v>
      </c>
      <c r="L14" s="812"/>
      <c r="M14" s="246"/>
    </row>
    <row r="15" spans="1:13">
      <c r="A15" s="12">
        <v>11</v>
      </c>
      <c r="B15" s="12" t="s">
        <v>457</v>
      </c>
      <c r="C15" s="12">
        <f t="shared" si="0"/>
        <v>11</v>
      </c>
      <c r="D15" s="17">
        <v>0.9</v>
      </c>
      <c r="E15" s="402">
        <v>0.85</v>
      </c>
      <c r="F15" s="12" t="s">
        <v>455</v>
      </c>
      <c r="G15" s="12" t="b">
        <v>0</v>
      </c>
      <c r="H15" s="12" t="b">
        <v>0</v>
      </c>
      <c r="I15" s="297">
        <v>318</v>
      </c>
      <c r="J15" s="815">
        <v>2</v>
      </c>
      <c r="L15" s="812"/>
      <c r="M15" s="246"/>
    </row>
    <row r="16" spans="1:13">
      <c r="A16" s="12">
        <v>12</v>
      </c>
      <c r="B16" s="12" t="s">
        <v>458</v>
      </c>
      <c r="C16" s="12">
        <f t="shared" si="0"/>
        <v>12</v>
      </c>
      <c r="D16" s="17">
        <v>0.6</v>
      </c>
      <c r="E16" s="402">
        <v>0.5</v>
      </c>
      <c r="F16" s="12" t="s">
        <v>443</v>
      </c>
      <c r="G16" s="12" t="b">
        <v>0</v>
      </c>
      <c r="H16" s="12" t="b">
        <v>0</v>
      </c>
      <c r="I16" s="297">
        <v>318</v>
      </c>
      <c r="J16" s="98">
        <v>1</v>
      </c>
      <c r="L16" s="812"/>
      <c r="M16" s="246"/>
    </row>
    <row r="17" spans="1:13">
      <c r="A17" s="12">
        <v>13</v>
      </c>
      <c r="B17" s="12" t="s">
        <v>459</v>
      </c>
      <c r="C17" s="12">
        <f t="shared" si="0"/>
        <v>13</v>
      </c>
      <c r="D17" s="17">
        <v>0.93</v>
      </c>
      <c r="E17" s="402">
        <v>0.85</v>
      </c>
      <c r="F17" s="12" t="s">
        <v>445</v>
      </c>
      <c r="G17" s="12" t="b">
        <v>0</v>
      </c>
      <c r="H17" s="12" t="b">
        <v>0</v>
      </c>
      <c r="I17" s="297">
        <v>318</v>
      </c>
      <c r="J17" s="98">
        <v>1</v>
      </c>
      <c r="L17" s="812"/>
      <c r="M17" s="246"/>
    </row>
    <row r="18" spans="1:13">
      <c r="A18" s="12">
        <v>14</v>
      </c>
      <c r="B18" s="12" t="s">
        <v>460</v>
      </c>
      <c r="C18" s="12">
        <f t="shared" si="0"/>
        <v>14</v>
      </c>
      <c r="D18" s="17">
        <v>0.8</v>
      </c>
      <c r="E18" s="402">
        <v>0.65</v>
      </c>
      <c r="F18" s="12" t="s">
        <v>452</v>
      </c>
      <c r="G18" s="12" t="b">
        <v>0</v>
      </c>
      <c r="H18" s="12" t="b">
        <v>0</v>
      </c>
      <c r="I18" s="297">
        <v>318</v>
      </c>
      <c r="J18" s="98">
        <v>1</v>
      </c>
      <c r="L18" s="812"/>
      <c r="M18" s="246"/>
    </row>
    <row r="19" spans="1:13">
      <c r="A19" s="12">
        <v>15</v>
      </c>
      <c r="B19" s="12" t="s">
        <v>461</v>
      </c>
      <c r="C19" s="12">
        <f t="shared" si="0"/>
        <v>15</v>
      </c>
      <c r="D19" s="17">
        <v>0.7</v>
      </c>
      <c r="E19" s="402">
        <v>0.65</v>
      </c>
      <c r="F19" s="12" t="s">
        <v>447</v>
      </c>
      <c r="G19" s="12" t="b">
        <v>0</v>
      </c>
      <c r="H19" s="12" t="b">
        <v>0</v>
      </c>
      <c r="I19" s="298">
        <v>465.86</v>
      </c>
      <c r="J19" s="815">
        <v>3</v>
      </c>
      <c r="K19" s="812"/>
      <c r="L19" s="812"/>
      <c r="M19" s="246"/>
    </row>
    <row r="20" spans="1:13">
      <c r="A20" s="12">
        <v>16</v>
      </c>
      <c r="B20" s="12" t="s">
        <v>462</v>
      </c>
      <c r="C20" s="12">
        <f t="shared" si="0"/>
        <v>16</v>
      </c>
      <c r="D20" s="17">
        <v>0.7</v>
      </c>
      <c r="E20" s="402">
        <v>0.7</v>
      </c>
      <c r="F20" s="12" t="s">
        <v>449</v>
      </c>
      <c r="G20" s="12" t="b">
        <v>0</v>
      </c>
      <c r="H20" s="12" t="b">
        <v>0</v>
      </c>
      <c r="I20" s="297">
        <v>318</v>
      </c>
      <c r="J20" s="98">
        <v>1</v>
      </c>
      <c r="K20" s="812"/>
      <c r="M20" s="246"/>
    </row>
    <row r="21" spans="1:13">
      <c r="A21" s="12">
        <v>17</v>
      </c>
      <c r="B21" s="12" t="s">
        <v>463</v>
      </c>
      <c r="C21" s="12">
        <f t="shared" si="0"/>
        <v>17</v>
      </c>
      <c r="D21" s="17">
        <v>0.75</v>
      </c>
      <c r="E21" s="402">
        <v>0.7</v>
      </c>
      <c r="F21" s="12" t="s">
        <v>464</v>
      </c>
      <c r="G21" s="12" t="b">
        <v>0</v>
      </c>
      <c r="H21" s="12" t="b">
        <v>0</v>
      </c>
      <c r="I21" s="297">
        <v>318</v>
      </c>
      <c r="J21" s="98">
        <v>1</v>
      </c>
      <c r="K21" s="812"/>
      <c r="M21" s="246"/>
    </row>
    <row r="22" spans="1:13">
      <c r="A22" s="12">
        <v>18</v>
      </c>
      <c r="B22" s="12" t="s">
        <v>465</v>
      </c>
      <c r="C22" s="12">
        <f t="shared" si="0"/>
        <v>18</v>
      </c>
      <c r="D22" s="17">
        <v>0.7</v>
      </c>
      <c r="E22" s="402">
        <v>0.67999999999999994</v>
      </c>
      <c r="F22" s="12" t="s">
        <v>464</v>
      </c>
      <c r="G22" s="12" t="b">
        <v>0</v>
      </c>
      <c r="H22" s="12" t="b">
        <v>0</v>
      </c>
      <c r="I22" s="297">
        <v>318</v>
      </c>
      <c r="J22" s="98">
        <v>1</v>
      </c>
      <c r="K22" s="812"/>
      <c r="M22" s="246"/>
    </row>
    <row r="23" spans="1:13">
      <c r="A23" s="12">
        <v>19</v>
      </c>
      <c r="B23" s="12" t="s">
        <v>466</v>
      </c>
      <c r="C23" s="12">
        <f t="shared" si="0"/>
        <v>19</v>
      </c>
      <c r="D23" s="17">
        <v>0.62</v>
      </c>
      <c r="E23" s="402">
        <v>0.7</v>
      </c>
      <c r="F23" s="12" t="s">
        <v>449</v>
      </c>
      <c r="G23" s="12" t="b">
        <v>1</v>
      </c>
      <c r="H23" s="12" t="b">
        <v>1</v>
      </c>
      <c r="I23" s="298">
        <v>465.86</v>
      </c>
      <c r="J23" s="98">
        <v>1</v>
      </c>
      <c r="K23" s="812"/>
      <c r="M23" s="246"/>
    </row>
    <row r="24" spans="1:13">
      <c r="A24" s="12">
        <v>20</v>
      </c>
      <c r="B24" s="12" t="s">
        <v>467</v>
      </c>
      <c r="C24" s="12">
        <f t="shared" si="0"/>
        <v>20</v>
      </c>
      <c r="D24" s="17">
        <v>0.7</v>
      </c>
      <c r="E24" s="402">
        <v>0.65</v>
      </c>
      <c r="F24" s="12" t="s">
        <v>447</v>
      </c>
      <c r="G24" s="12" t="b">
        <v>0</v>
      </c>
      <c r="H24" s="12" t="b">
        <v>0</v>
      </c>
      <c r="I24" s="297">
        <v>318</v>
      </c>
      <c r="J24" s="98">
        <v>1</v>
      </c>
      <c r="K24" s="812"/>
      <c r="M24" s="246"/>
    </row>
    <row r="25" spans="1:13">
      <c r="A25" s="12">
        <v>21</v>
      </c>
      <c r="B25" s="12" t="s">
        <v>468</v>
      </c>
      <c r="C25" s="12">
        <f t="shared" si="0"/>
        <v>21</v>
      </c>
      <c r="D25" s="17">
        <v>0.65</v>
      </c>
      <c r="E25" s="402">
        <v>0.6</v>
      </c>
      <c r="F25" s="12" t="s">
        <v>449</v>
      </c>
      <c r="G25" s="12" t="b">
        <v>0</v>
      </c>
      <c r="H25" s="12" t="b">
        <v>0</v>
      </c>
      <c r="I25" s="297">
        <v>318</v>
      </c>
      <c r="J25" s="98">
        <v>1</v>
      </c>
      <c r="K25" s="812"/>
      <c r="M25" s="246"/>
    </row>
    <row r="26" spans="1:13">
      <c r="A26" s="12">
        <v>22</v>
      </c>
      <c r="B26" s="294" t="s">
        <v>3617</v>
      </c>
      <c r="C26" s="12">
        <f t="shared" si="0"/>
        <v>22</v>
      </c>
      <c r="D26" s="17">
        <v>0.65</v>
      </c>
      <c r="E26" s="402">
        <v>0.56000000000000005</v>
      </c>
      <c r="F26" s="12" t="s">
        <v>443</v>
      </c>
      <c r="G26" s="12" t="b">
        <v>0</v>
      </c>
      <c r="H26" s="12" t="b">
        <v>0</v>
      </c>
      <c r="I26" s="297">
        <v>318</v>
      </c>
      <c r="J26" s="98">
        <v>1</v>
      </c>
      <c r="K26" s="812"/>
      <c r="M26" s="246"/>
    </row>
    <row r="27" spans="1:13">
      <c r="A27" s="12">
        <v>23</v>
      </c>
      <c r="B27" s="12" t="s">
        <v>469</v>
      </c>
      <c r="C27" s="12">
        <f t="shared" si="0"/>
        <v>23</v>
      </c>
      <c r="D27" s="17">
        <v>0.55000000000000004</v>
      </c>
      <c r="E27" s="402">
        <v>0.58000000000000007</v>
      </c>
      <c r="F27" s="12" t="s">
        <v>443</v>
      </c>
      <c r="G27" s="12" t="b">
        <v>0</v>
      </c>
      <c r="H27" s="12" t="b">
        <v>1</v>
      </c>
      <c r="I27" s="297">
        <v>318</v>
      </c>
      <c r="J27" s="98">
        <v>1</v>
      </c>
      <c r="M27" s="246"/>
    </row>
    <row r="28" spans="1:13">
      <c r="A28" s="12">
        <v>24</v>
      </c>
      <c r="B28" s="12" t="s">
        <v>470</v>
      </c>
      <c r="C28" s="12">
        <f t="shared" si="0"/>
        <v>24</v>
      </c>
      <c r="D28" s="17">
        <v>0.6</v>
      </c>
      <c r="E28" s="402">
        <v>0.5</v>
      </c>
      <c r="F28" s="12" t="s">
        <v>443</v>
      </c>
      <c r="G28" s="12" t="b">
        <v>1</v>
      </c>
      <c r="H28" s="12" t="b">
        <v>0</v>
      </c>
      <c r="I28" s="297">
        <v>318</v>
      </c>
      <c r="J28" s="98">
        <v>1</v>
      </c>
      <c r="M28" s="246"/>
    </row>
    <row r="29" spans="1:13">
      <c r="A29" s="12">
        <v>25</v>
      </c>
      <c r="B29" s="12" t="s">
        <v>471</v>
      </c>
      <c r="C29" s="12">
        <f t="shared" si="0"/>
        <v>25</v>
      </c>
      <c r="D29" s="17">
        <v>0.8</v>
      </c>
      <c r="E29" s="402">
        <v>0.85</v>
      </c>
      <c r="F29" s="12" t="s">
        <v>452</v>
      </c>
      <c r="G29" s="12" t="b">
        <v>1</v>
      </c>
      <c r="H29" s="12" t="b">
        <v>0</v>
      </c>
      <c r="I29" s="297">
        <v>318</v>
      </c>
      <c r="J29" s="98">
        <v>1</v>
      </c>
      <c r="M29" s="246"/>
    </row>
    <row r="30" spans="1:13">
      <c r="A30" s="12">
        <v>26</v>
      </c>
      <c r="B30" s="12" t="s">
        <v>472</v>
      </c>
      <c r="C30" s="12">
        <f t="shared" si="0"/>
        <v>26</v>
      </c>
      <c r="D30" s="17">
        <v>0.7</v>
      </c>
      <c r="E30" s="402">
        <v>0.7</v>
      </c>
      <c r="F30" s="12" t="s">
        <v>449</v>
      </c>
      <c r="G30" s="12" t="b">
        <v>1</v>
      </c>
      <c r="H30" s="12" t="b">
        <v>1</v>
      </c>
      <c r="I30" s="297">
        <v>318</v>
      </c>
      <c r="J30" s="98">
        <v>1</v>
      </c>
      <c r="M30" s="246"/>
    </row>
    <row r="31" spans="1:13">
      <c r="A31" s="12">
        <v>27</v>
      </c>
      <c r="B31" s="12" t="s">
        <v>473</v>
      </c>
      <c r="C31" s="12">
        <f t="shared" si="0"/>
        <v>27</v>
      </c>
      <c r="D31" s="17">
        <v>0.93</v>
      </c>
      <c r="E31" s="402">
        <v>0.9</v>
      </c>
      <c r="F31" s="12" t="s">
        <v>445</v>
      </c>
      <c r="G31" s="12" t="b">
        <v>0</v>
      </c>
      <c r="H31" s="12" t="b">
        <v>1</v>
      </c>
      <c r="I31" s="297">
        <v>318</v>
      </c>
      <c r="J31" s="98">
        <v>1</v>
      </c>
      <c r="M31" s="246"/>
    </row>
    <row r="32" spans="1:13">
      <c r="A32" s="12">
        <v>28</v>
      </c>
      <c r="B32" s="12" t="s">
        <v>474</v>
      </c>
      <c r="C32" s="12">
        <f t="shared" si="0"/>
        <v>28</v>
      </c>
      <c r="D32" s="17">
        <v>0.7</v>
      </c>
      <c r="E32" s="402">
        <v>0.72</v>
      </c>
      <c r="F32" s="12" t="s">
        <v>449</v>
      </c>
      <c r="G32" s="12" t="b">
        <v>1</v>
      </c>
      <c r="H32" s="12" t="b">
        <v>1</v>
      </c>
      <c r="I32" s="297">
        <v>318</v>
      </c>
      <c r="J32" s="98">
        <v>1</v>
      </c>
      <c r="M32" s="246"/>
    </row>
    <row r="33" spans="1:13">
      <c r="A33" s="12">
        <v>29</v>
      </c>
      <c r="B33" s="12" t="s">
        <v>475</v>
      </c>
      <c r="C33" s="12">
        <f t="shared" si="0"/>
        <v>29</v>
      </c>
      <c r="D33" s="17">
        <v>0.77</v>
      </c>
      <c r="E33" s="402">
        <v>0.65</v>
      </c>
      <c r="F33" s="12" t="s">
        <v>447</v>
      </c>
      <c r="G33" s="12" t="b">
        <v>0</v>
      </c>
      <c r="H33" s="12" t="b">
        <v>0</v>
      </c>
      <c r="I33" s="297">
        <v>318</v>
      </c>
      <c r="J33" s="98">
        <v>1</v>
      </c>
      <c r="M33" s="246"/>
    </row>
    <row r="34" spans="1:13">
      <c r="A34" s="12">
        <v>30</v>
      </c>
      <c r="B34" s="12" t="s">
        <v>476</v>
      </c>
      <c r="C34" s="12">
        <f t="shared" si="0"/>
        <v>30</v>
      </c>
      <c r="D34" s="17">
        <v>0.77</v>
      </c>
      <c r="E34" s="402">
        <v>0.7</v>
      </c>
      <c r="F34" s="12" t="s">
        <v>447</v>
      </c>
      <c r="G34" s="12" t="b">
        <v>0</v>
      </c>
      <c r="H34" s="12" t="b">
        <v>0</v>
      </c>
      <c r="I34" s="297">
        <v>318</v>
      </c>
      <c r="J34" s="98">
        <v>1</v>
      </c>
      <c r="M34" s="246"/>
    </row>
    <row r="35" spans="1:13">
      <c r="A35" s="12">
        <v>31</v>
      </c>
      <c r="B35" s="12" t="s">
        <v>477</v>
      </c>
      <c r="C35" s="12">
        <f t="shared" si="0"/>
        <v>31</v>
      </c>
      <c r="D35" s="17">
        <v>0.65</v>
      </c>
      <c r="E35" s="402">
        <v>0.46799999999999997</v>
      </c>
      <c r="F35" s="12" t="s">
        <v>443</v>
      </c>
      <c r="G35" s="12" t="b">
        <v>0</v>
      </c>
      <c r="H35" s="12" t="b">
        <v>0</v>
      </c>
      <c r="I35" s="297">
        <v>318</v>
      </c>
      <c r="J35" s="98">
        <v>1</v>
      </c>
      <c r="M35" s="246"/>
    </row>
    <row r="36" spans="1:13">
      <c r="A36" s="12">
        <v>32</v>
      </c>
      <c r="B36" s="12" t="s">
        <v>478</v>
      </c>
      <c r="C36" s="12">
        <f t="shared" si="0"/>
        <v>32</v>
      </c>
      <c r="D36" s="17">
        <v>0.65</v>
      </c>
      <c r="E36" s="402">
        <v>0.6</v>
      </c>
      <c r="F36" s="12" t="s">
        <v>443</v>
      </c>
      <c r="G36" s="12" t="b">
        <v>1</v>
      </c>
      <c r="H36" s="12" t="b">
        <v>0</v>
      </c>
      <c r="I36" s="297">
        <v>318</v>
      </c>
      <c r="J36" s="98">
        <v>1</v>
      </c>
      <c r="M36" s="246"/>
    </row>
    <row r="38" spans="1:13">
      <c r="A38" s="404"/>
      <c r="E38" s="402"/>
      <c r="F38" s="466"/>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92"/>
  <sheetViews>
    <sheetView zoomScale="85" zoomScaleNormal="85" workbookViewId="0"/>
  </sheetViews>
  <sheetFormatPr defaultColWidth="9.140625" defaultRowHeight="1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c r="A1" s="832" t="s">
        <v>480</v>
      </c>
      <c r="B1" s="440"/>
      <c r="C1" s="440"/>
      <c r="D1" s="441"/>
      <c r="E1" s="440"/>
      <c r="F1" s="440"/>
      <c r="G1" s="440"/>
      <c r="H1" s="440"/>
      <c r="I1" s="440"/>
      <c r="J1" s="462"/>
      <c r="K1" s="462"/>
      <c r="L1" s="440"/>
      <c r="M1" s="440"/>
      <c r="N1" s="440"/>
      <c r="O1" s="440"/>
    </row>
    <row r="2" spans="1:18" ht="15.75" thickTop="1">
      <c r="F2" s="415"/>
    </row>
    <row r="3" spans="1:18">
      <c r="B3" s="417" t="s">
        <v>1595</v>
      </c>
      <c r="F3" s="415"/>
      <c r="J3" s="417" t="s">
        <v>1625</v>
      </c>
      <c r="P3" s="706"/>
      <c r="Q3" s="707"/>
      <c r="R3" s="708"/>
    </row>
    <row r="4" spans="1:18">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c r="A6" s="835">
        <v>2</v>
      </c>
      <c r="B6" s="423">
        <f ca="1">B5-1</f>
        <v>2016</v>
      </c>
      <c r="C6" s="426">
        <f t="shared" si="0"/>
        <v>2</v>
      </c>
      <c r="D6" s="427"/>
      <c r="E6" s="423">
        <f t="shared" ca="1" si="1"/>
        <v>0</v>
      </c>
      <c r="F6" s="423">
        <v>1</v>
      </c>
      <c r="I6" s="428">
        <v>2</v>
      </c>
      <c r="J6" s="429" t="s">
        <v>1627</v>
      </c>
      <c r="K6" s="430">
        <f>I6</f>
        <v>2</v>
      </c>
      <c r="L6" s="429" t="b">
        <v>0</v>
      </c>
      <c r="M6" s="883">
        <v>0.3</v>
      </c>
      <c r="N6"/>
      <c r="O6"/>
    </row>
    <row r="7" spans="1:18">
      <c r="A7" s="835">
        <v>3</v>
      </c>
      <c r="B7" s="423">
        <f ca="1">B6-1</f>
        <v>2015</v>
      </c>
      <c r="C7" s="426">
        <f t="shared" si="0"/>
        <v>3</v>
      </c>
      <c r="D7" s="431" t="str">
        <f ca="1">TEXT(B7,"0")</f>
        <v>2015</v>
      </c>
      <c r="E7" s="423">
        <f t="shared" ca="1" si="1"/>
        <v>1</v>
      </c>
      <c r="F7" s="423">
        <v>2</v>
      </c>
    </row>
    <row r="8" spans="1:18">
      <c r="A8" s="835">
        <v>4</v>
      </c>
      <c r="B8" s="423">
        <f ca="1">B7-1</f>
        <v>2014</v>
      </c>
      <c r="C8" s="426">
        <f t="shared" si="0"/>
        <v>4</v>
      </c>
      <c r="D8" s="431" t="str">
        <f ca="1">TEXT(B8,"0")</f>
        <v>2014</v>
      </c>
      <c r="E8" s="423">
        <f t="shared" ca="1" si="1"/>
        <v>2</v>
      </c>
      <c r="F8" s="423">
        <v>2</v>
      </c>
      <c r="J8" s="417" t="s">
        <v>2222</v>
      </c>
    </row>
    <row r="9" spans="1:18">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c r="F11" s="415"/>
      <c r="I11" s="428">
        <v>2</v>
      </c>
      <c r="J11" s="429" t="s">
        <v>2224</v>
      </c>
      <c r="K11" s="430">
        <f>I11</f>
        <v>2</v>
      </c>
      <c r="L11" s="429" t="b">
        <v>0</v>
      </c>
    </row>
    <row r="12" spans="1:18">
      <c r="B12" s="417" t="s">
        <v>481</v>
      </c>
      <c r="F12" s="415"/>
      <c r="L12" s="387"/>
      <c r="M12" s="387"/>
      <c r="N12" s="387"/>
      <c r="O12" s="387"/>
      <c r="P12" s="387"/>
      <c r="Q12" s="387"/>
      <c r="R12" s="387"/>
    </row>
    <row r="13" spans="1:18">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c r="A14" s="233">
        <v>0</v>
      </c>
      <c r="B14" s="433" t="s">
        <v>2852</v>
      </c>
      <c r="C14" s="242"/>
      <c r="D14" s="442"/>
      <c r="E14" s="433"/>
      <c r="F14" s="434"/>
      <c r="G14" s="243"/>
      <c r="H14" s="243"/>
      <c r="I14" s="243"/>
      <c r="J14" s="243"/>
      <c r="K14" s="243"/>
      <c r="L14" s="243"/>
      <c r="M14" s="435"/>
      <c r="N14" s="243"/>
      <c r="O14" s="243"/>
      <c r="P14" s="243"/>
      <c r="Q14" s="243"/>
      <c r="R14" s="244"/>
    </row>
    <row r="15" spans="1:18" ht="15" customHeight="1">
      <c r="A15" s="411">
        <v>1</v>
      </c>
      <c r="B15" s="413" t="s">
        <v>2411</v>
      </c>
      <c r="C15" s="411">
        <f>A15</f>
        <v>1</v>
      </c>
      <c r="D15" s="443" t="s">
        <v>2179</v>
      </c>
      <c r="E15" s="412" t="s">
        <v>2348</v>
      </c>
      <c r="F15" s="912">
        <v>3.4439999999999998E-2</v>
      </c>
      <c r="G15" s="480">
        <v>2538.4744000000001</v>
      </c>
      <c r="H15" s="414">
        <v>487.2</v>
      </c>
      <c r="I15" s="413" t="s">
        <v>481</v>
      </c>
      <c r="J15" s="411">
        <v>1</v>
      </c>
      <c r="K15" s="411" t="s">
        <v>2349</v>
      </c>
      <c r="L15" s="482">
        <v>348</v>
      </c>
      <c r="M15" s="461" t="s">
        <v>2412</v>
      </c>
      <c r="N15" s="483">
        <v>67.071199999999919</v>
      </c>
      <c r="O15" s="483">
        <v>134.15400000000011</v>
      </c>
      <c r="P15" s="913" t="s">
        <v>2413</v>
      </c>
      <c r="Q15" s="484">
        <v>336.67839999999967</v>
      </c>
      <c r="R15" s="395"/>
    </row>
    <row r="16" spans="1:18" ht="15" customHeight="1">
      <c r="A16" s="411">
        <v>2</v>
      </c>
      <c r="B16" s="413" t="s">
        <v>2414</v>
      </c>
      <c r="C16" s="411">
        <f t="shared" ref="C16:C79" si="2">A16</f>
        <v>2</v>
      </c>
      <c r="D16" s="443" t="s">
        <v>2179</v>
      </c>
      <c r="E16" s="412" t="s">
        <v>2237</v>
      </c>
      <c r="F16" s="912">
        <v>3.7587000000000002E-2</v>
      </c>
      <c r="G16" s="480">
        <v>2538.4744000000001</v>
      </c>
      <c r="H16" s="414">
        <v>487.2</v>
      </c>
      <c r="I16" s="413" t="s">
        <v>481</v>
      </c>
      <c r="J16" s="411">
        <v>1</v>
      </c>
      <c r="K16" s="411" t="s">
        <v>492</v>
      </c>
      <c r="L16" s="482">
        <v>348</v>
      </c>
      <c r="M16" s="461" t="s">
        <v>2412</v>
      </c>
      <c r="N16" s="483">
        <v>67.071199999999919</v>
      </c>
      <c r="O16" s="483">
        <v>134.15400000000011</v>
      </c>
      <c r="P16" s="913" t="s">
        <v>2413</v>
      </c>
      <c r="Q16" s="484">
        <v>336.67839999999967</v>
      </c>
      <c r="R16" s="497"/>
    </row>
    <row r="17" spans="1:18" ht="15" customHeight="1">
      <c r="A17" s="233">
        <v>3</v>
      </c>
      <c r="B17" s="413" t="s">
        <v>2415</v>
      </c>
      <c r="C17" s="411">
        <f t="shared" si="2"/>
        <v>3</v>
      </c>
      <c r="D17" s="443" t="s">
        <v>2179</v>
      </c>
      <c r="E17" s="412" t="s">
        <v>2238</v>
      </c>
      <c r="F17" s="912">
        <v>3.9628400000000001E-2</v>
      </c>
      <c r="G17" s="480">
        <v>2538.48</v>
      </c>
      <c r="H17" s="414">
        <v>487.2</v>
      </c>
      <c r="I17" s="413" t="s">
        <v>481</v>
      </c>
      <c r="J17" s="411">
        <v>1</v>
      </c>
      <c r="K17" s="411" t="s">
        <v>493</v>
      </c>
      <c r="L17" s="482">
        <v>348</v>
      </c>
      <c r="M17" s="461" t="s">
        <v>2412</v>
      </c>
      <c r="N17" s="483">
        <v>67.071199999999919</v>
      </c>
      <c r="O17" s="483">
        <v>134.15400000000011</v>
      </c>
      <c r="P17" s="913" t="s">
        <v>2413</v>
      </c>
      <c r="Q17" s="484">
        <v>336.67839999999967</v>
      </c>
      <c r="R17" s="497"/>
    </row>
    <row r="18" spans="1:18" ht="15" customHeight="1">
      <c r="A18" s="411">
        <v>4</v>
      </c>
      <c r="B18" s="413" t="s">
        <v>2416</v>
      </c>
      <c r="C18" s="411">
        <f t="shared" si="2"/>
        <v>4</v>
      </c>
      <c r="D18" s="443" t="s">
        <v>2179</v>
      </c>
      <c r="E18" s="412" t="s">
        <v>2239</v>
      </c>
      <c r="F18" s="912">
        <v>4.4687700000000004E-2</v>
      </c>
      <c r="G18" s="480">
        <v>2538.48</v>
      </c>
      <c r="H18" s="414">
        <v>487.2</v>
      </c>
      <c r="I18" s="413" t="s">
        <v>481</v>
      </c>
      <c r="J18" s="411">
        <v>1</v>
      </c>
      <c r="K18" s="411" t="s">
        <v>495</v>
      </c>
      <c r="L18" s="482">
        <v>348</v>
      </c>
      <c r="M18" s="461" t="s">
        <v>2412</v>
      </c>
      <c r="N18" s="483">
        <v>67.071199999999919</v>
      </c>
      <c r="O18" s="483">
        <v>134.15400000000011</v>
      </c>
      <c r="P18" s="913" t="s">
        <v>2413</v>
      </c>
      <c r="Q18" s="484">
        <v>336.67839999999967</v>
      </c>
      <c r="R18" s="497"/>
    </row>
    <row r="19" spans="1:18" ht="15" customHeight="1">
      <c r="A19" s="411">
        <v>5</v>
      </c>
      <c r="B19" s="413" t="s">
        <v>2417</v>
      </c>
      <c r="C19" s="411">
        <f t="shared" si="2"/>
        <v>5</v>
      </c>
      <c r="D19" s="443" t="s">
        <v>2179</v>
      </c>
      <c r="E19" s="412" t="s">
        <v>2240</v>
      </c>
      <c r="F19" s="912">
        <v>3.5546000000000001E-2</v>
      </c>
      <c r="G19" s="480">
        <v>2538.4744000000001</v>
      </c>
      <c r="H19" s="414">
        <v>487.2</v>
      </c>
      <c r="I19" s="413" t="s">
        <v>481</v>
      </c>
      <c r="J19" s="411">
        <v>1</v>
      </c>
      <c r="K19" s="411" t="s">
        <v>494</v>
      </c>
      <c r="L19" s="482">
        <v>348</v>
      </c>
      <c r="M19" s="461" t="s">
        <v>2412</v>
      </c>
      <c r="N19" s="483">
        <v>67.071199999999919</v>
      </c>
      <c r="O19" s="483">
        <v>134.15400000000011</v>
      </c>
      <c r="P19" s="913" t="s">
        <v>2413</v>
      </c>
      <c r="Q19" s="484">
        <v>336.67839999999967</v>
      </c>
      <c r="R19" s="497"/>
    </row>
    <row r="20" spans="1:18" ht="15" customHeight="1">
      <c r="A20" s="233">
        <v>6</v>
      </c>
      <c r="B20" s="413" t="s">
        <v>4222</v>
      </c>
      <c r="C20" s="411">
        <f t="shared" si="2"/>
        <v>6</v>
      </c>
      <c r="D20" s="443" t="s">
        <v>2179</v>
      </c>
      <c r="E20" s="412" t="s">
        <v>4227</v>
      </c>
      <c r="F20" s="912">
        <v>3.5546000000000001E-2</v>
      </c>
      <c r="G20" s="480">
        <v>2538.4744000000001</v>
      </c>
      <c r="H20" s="414">
        <v>487.2</v>
      </c>
      <c r="I20" s="413" t="s">
        <v>481</v>
      </c>
      <c r="J20" s="411">
        <v>1</v>
      </c>
      <c r="K20" s="411" t="s">
        <v>4232</v>
      </c>
      <c r="L20" s="482">
        <v>348</v>
      </c>
      <c r="M20" s="461" t="s">
        <v>2412</v>
      </c>
      <c r="N20" s="483">
        <v>67.071199999999919</v>
      </c>
      <c r="O20" s="483">
        <v>134.15400000000011</v>
      </c>
      <c r="P20" s="913" t="s">
        <v>2413</v>
      </c>
      <c r="Q20" s="484">
        <v>336.67839999999967</v>
      </c>
      <c r="R20" s="497"/>
    </row>
    <row r="21" spans="1:18" ht="15" customHeight="1">
      <c r="A21" s="411">
        <v>7</v>
      </c>
      <c r="B21" s="413" t="s">
        <v>2418</v>
      </c>
      <c r="C21" s="411">
        <f t="shared" si="2"/>
        <v>7</v>
      </c>
      <c r="D21" s="443" t="s">
        <v>2179</v>
      </c>
      <c r="E21" s="412" t="s">
        <v>2241</v>
      </c>
      <c r="F21" s="912">
        <v>4.3304099999999998E-2</v>
      </c>
      <c r="G21" s="480">
        <v>2538.48</v>
      </c>
      <c r="H21" s="414">
        <v>487.2</v>
      </c>
      <c r="I21" s="413" t="s">
        <v>481</v>
      </c>
      <c r="J21" s="411">
        <v>1</v>
      </c>
      <c r="K21" s="411" t="s">
        <v>496</v>
      </c>
      <c r="L21" s="482">
        <v>348</v>
      </c>
      <c r="M21" s="461" t="s">
        <v>2412</v>
      </c>
      <c r="N21" s="483">
        <v>67.071199999999919</v>
      </c>
      <c r="O21" s="483">
        <v>134.15400000000011</v>
      </c>
      <c r="P21" s="913" t="s">
        <v>2413</v>
      </c>
      <c r="Q21" s="484">
        <v>336.67839999999967</v>
      </c>
      <c r="R21" s="497"/>
    </row>
    <row r="22" spans="1:18" ht="15" customHeight="1">
      <c r="A22" s="411">
        <v>8</v>
      </c>
      <c r="B22" s="413" t="s">
        <v>2419</v>
      </c>
      <c r="C22" s="411">
        <f t="shared" si="2"/>
        <v>8</v>
      </c>
      <c r="D22" s="443" t="s">
        <v>2179</v>
      </c>
      <c r="E22" s="412" t="s">
        <v>2242</v>
      </c>
      <c r="F22" s="912">
        <v>4.3575600000000006E-2</v>
      </c>
      <c r="G22" s="480">
        <v>2538.48</v>
      </c>
      <c r="H22" s="414">
        <v>487.2</v>
      </c>
      <c r="I22" s="413" t="s">
        <v>481</v>
      </c>
      <c r="J22" s="411">
        <v>1</v>
      </c>
      <c r="K22" s="411" t="s">
        <v>497</v>
      </c>
      <c r="L22" s="482">
        <v>348</v>
      </c>
      <c r="M22" s="461" t="s">
        <v>2412</v>
      </c>
      <c r="N22" s="483">
        <v>67.071199999999919</v>
      </c>
      <c r="O22" s="483">
        <v>134.15400000000011</v>
      </c>
      <c r="P22" s="913" t="s">
        <v>2413</v>
      </c>
      <c r="Q22" s="484">
        <v>336.67839999999967</v>
      </c>
      <c r="R22" s="497"/>
    </row>
    <row r="23" spans="1:18" ht="15" customHeight="1">
      <c r="A23" s="233">
        <v>9</v>
      </c>
      <c r="B23" s="413" t="s">
        <v>2420</v>
      </c>
      <c r="C23" s="411">
        <f t="shared" si="2"/>
        <v>9</v>
      </c>
      <c r="D23" s="443" t="s">
        <v>2180</v>
      </c>
      <c r="E23" s="412" t="s">
        <v>2243</v>
      </c>
      <c r="F23" s="912">
        <v>4.8256800000000002E-2</v>
      </c>
      <c r="G23" s="480">
        <v>2538.48</v>
      </c>
      <c r="H23" s="414">
        <v>487.2</v>
      </c>
      <c r="I23" s="413" t="s">
        <v>481</v>
      </c>
      <c r="J23" s="411">
        <v>1</v>
      </c>
      <c r="K23" s="411" t="s">
        <v>498</v>
      </c>
      <c r="L23" s="482">
        <v>348</v>
      </c>
      <c r="M23" s="461" t="s">
        <v>2412</v>
      </c>
      <c r="N23" s="483">
        <v>67.071199999999919</v>
      </c>
      <c r="O23" s="483">
        <v>134.15400000000011</v>
      </c>
      <c r="P23" s="913" t="s">
        <v>2413</v>
      </c>
      <c r="Q23" s="484">
        <v>336.67839999999967</v>
      </c>
      <c r="R23" s="497"/>
    </row>
    <row r="24" spans="1:18" ht="15" customHeight="1">
      <c r="A24" s="411">
        <v>10</v>
      </c>
      <c r="B24" s="413" t="s">
        <v>2421</v>
      </c>
      <c r="C24" s="411">
        <f t="shared" si="2"/>
        <v>10</v>
      </c>
      <c r="D24" s="443" t="s">
        <v>2180</v>
      </c>
      <c r="E24" s="412" t="s">
        <v>2244</v>
      </c>
      <c r="F24" s="912">
        <v>4.8256800000000002E-2</v>
      </c>
      <c r="G24" s="480">
        <v>2538.48</v>
      </c>
      <c r="H24" s="414">
        <v>487.2</v>
      </c>
      <c r="I24" s="413" t="s">
        <v>481</v>
      </c>
      <c r="J24" s="411">
        <v>1</v>
      </c>
      <c r="K24" s="411" t="s">
        <v>499</v>
      </c>
      <c r="L24" s="482">
        <v>348</v>
      </c>
      <c r="M24" s="461" t="s">
        <v>2412</v>
      </c>
      <c r="N24" s="483">
        <v>67.071199999999919</v>
      </c>
      <c r="O24" s="483">
        <v>134.15400000000011</v>
      </c>
      <c r="P24" s="913" t="s">
        <v>2413</v>
      </c>
      <c r="Q24" s="484">
        <v>336.67839999999967</v>
      </c>
      <c r="R24" s="497"/>
    </row>
    <row r="25" spans="1:18" ht="15" customHeight="1">
      <c r="A25" s="411">
        <v>11</v>
      </c>
      <c r="B25" s="413" t="s">
        <v>2422</v>
      </c>
      <c r="C25" s="411">
        <f t="shared" si="2"/>
        <v>11</v>
      </c>
      <c r="D25" s="443" t="s">
        <v>2180</v>
      </c>
      <c r="E25" s="412" t="s">
        <v>2245</v>
      </c>
      <c r="F25" s="912">
        <v>4.8256800000000002E-2</v>
      </c>
      <c r="G25" s="480">
        <v>2538.48</v>
      </c>
      <c r="H25" s="414">
        <v>487.2</v>
      </c>
      <c r="I25" s="413" t="s">
        <v>481</v>
      </c>
      <c r="J25" s="411">
        <v>1</v>
      </c>
      <c r="K25" s="411" t="s">
        <v>500</v>
      </c>
      <c r="L25" s="482">
        <v>348</v>
      </c>
      <c r="M25" s="461" t="s">
        <v>2412</v>
      </c>
      <c r="N25" s="483">
        <v>67.071199999999919</v>
      </c>
      <c r="O25" s="483">
        <v>134.15400000000011</v>
      </c>
      <c r="P25" s="913" t="s">
        <v>2413</v>
      </c>
      <c r="Q25" s="484">
        <v>336.67839999999967</v>
      </c>
      <c r="R25" s="497"/>
    </row>
    <row r="26" spans="1:18" ht="15" customHeight="1">
      <c r="A26" s="233">
        <v>12</v>
      </c>
      <c r="B26" s="413" t="s">
        <v>2423</v>
      </c>
      <c r="C26" s="411">
        <f t="shared" si="2"/>
        <v>12</v>
      </c>
      <c r="D26" s="443" t="s">
        <v>2180</v>
      </c>
      <c r="E26" s="412" t="s">
        <v>2181</v>
      </c>
      <c r="F26" s="912">
        <v>3.2733999999999999E-2</v>
      </c>
      <c r="G26" s="480">
        <v>2538.4744000000001</v>
      </c>
      <c r="H26" s="414">
        <v>487.2</v>
      </c>
      <c r="I26" s="413" t="s">
        <v>481</v>
      </c>
      <c r="J26" s="411">
        <v>1</v>
      </c>
      <c r="K26" s="411" t="s">
        <v>501</v>
      </c>
      <c r="L26" s="482">
        <v>348</v>
      </c>
      <c r="M26" s="461" t="s">
        <v>2412</v>
      </c>
      <c r="N26" s="483">
        <v>67.071199999999919</v>
      </c>
      <c r="O26" s="483">
        <v>134.15400000000011</v>
      </c>
      <c r="P26" s="913" t="s">
        <v>2413</v>
      </c>
      <c r="Q26" s="484">
        <v>336.67839999999967</v>
      </c>
      <c r="R26" s="497"/>
    </row>
    <row r="27" spans="1:18" ht="15" customHeight="1">
      <c r="A27" s="411">
        <v>13</v>
      </c>
      <c r="B27" s="413" t="s">
        <v>2424</v>
      </c>
      <c r="C27" s="411">
        <f t="shared" si="2"/>
        <v>13</v>
      </c>
      <c r="D27" s="443" t="s">
        <v>2180</v>
      </c>
      <c r="E27" s="412" t="s">
        <v>2246</v>
      </c>
      <c r="F27" s="912">
        <v>3.2733999999999999E-2</v>
      </c>
      <c r="G27" s="480">
        <v>2538.4744000000001</v>
      </c>
      <c r="H27" s="414">
        <v>487.2</v>
      </c>
      <c r="I27" s="413" t="s">
        <v>481</v>
      </c>
      <c r="J27" s="411">
        <v>1</v>
      </c>
      <c r="K27" s="411" t="s">
        <v>502</v>
      </c>
      <c r="L27" s="482">
        <v>348</v>
      </c>
      <c r="M27" s="461" t="s">
        <v>2412</v>
      </c>
      <c r="N27" s="483">
        <v>67.071199999999919</v>
      </c>
      <c r="O27" s="483">
        <v>134.15400000000011</v>
      </c>
      <c r="P27" s="913" t="s">
        <v>2413</v>
      </c>
      <c r="Q27" s="484">
        <v>336.67839999999967</v>
      </c>
      <c r="R27" s="497"/>
    </row>
    <row r="28" spans="1:18" ht="15" customHeight="1">
      <c r="A28" s="411">
        <v>14</v>
      </c>
      <c r="B28" s="413" t="s">
        <v>2425</v>
      </c>
      <c r="C28" s="411">
        <f t="shared" si="2"/>
        <v>14</v>
      </c>
      <c r="D28" s="443" t="s">
        <v>2180</v>
      </c>
      <c r="E28" s="412" t="s">
        <v>2247</v>
      </c>
      <c r="F28" s="912">
        <v>5.4852299999999993E-2</v>
      </c>
      <c r="G28" s="480">
        <v>2538.48</v>
      </c>
      <c r="H28" s="414">
        <v>487.2</v>
      </c>
      <c r="I28" s="413" t="s">
        <v>481</v>
      </c>
      <c r="J28" s="411">
        <v>1</v>
      </c>
      <c r="K28" s="411" t="s">
        <v>503</v>
      </c>
      <c r="L28" s="482">
        <v>348</v>
      </c>
      <c r="M28" s="461" t="s">
        <v>2412</v>
      </c>
      <c r="N28" s="483">
        <v>67.071199999999919</v>
      </c>
      <c r="O28" s="483">
        <v>134.15400000000011</v>
      </c>
      <c r="P28" s="913" t="s">
        <v>2413</v>
      </c>
      <c r="Q28" s="484">
        <v>336.67839999999967</v>
      </c>
      <c r="R28" s="497"/>
    </row>
    <row r="29" spans="1:18" ht="15" customHeight="1">
      <c r="A29" s="233">
        <v>15</v>
      </c>
      <c r="B29" s="413" t="s">
        <v>2426</v>
      </c>
      <c r="C29" s="411">
        <f t="shared" si="2"/>
        <v>15</v>
      </c>
      <c r="D29" s="443" t="s">
        <v>2180</v>
      </c>
      <c r="E29" s="412" t="s">
        <v>2248</v>
      </c>
      <c r="F29" s="912">
        <v>4.8256800000000002E-2</v>
      </c>
      <c r="G29" s="480">
        <v>2538.48</v>
      </c>
      <c r="H29" s="414">
        <v>487.2</v>
      </c>
      <c r="I29" s="413" t="s">
        <v>481</v>
      </c>
      <c r="J29" s="411">
        <v>1</v>
      </c>
      <c r="K29" s="411" t="s">
        <v>504</v>
      </c>
      <c r="L29" s="482">
        <v>348</v>
      </c>
      <c r="M29" s="461" t="s">
        <v>2412</v>
      </c>
      <c r="N29" s="483">
        <v>67.071199999999919</v>
      </c>
      <c r="O29" s="483">
        <v>134.15400000000011</v>
      </c>
      <c r="P29" s="913" t="s">
        <v>2413</v>
      </c>
      <c r="Q29" s="484">
        <v>336.67839999999967</v>
      </c>
      <c r="R29" s="497"/>
    </row>
    <row r="30" spans="1:18" ht="15" customHeight="1">
      <c r="A30" s="411">
        <v>16</v>
      </c>
      <c r="B30" s="413" t="s">
        <v>2427</v>
      </c>
      <c r="C30" s="411">
        <f t="shared" si="2"/>
        <v>16</v>
      </c>
      <c r="D30" s="443" t="s">
        <v>2180</v>
      </c>
      <c r="E30" s="412" t="s">
        <v>2249</v>
      </c>
      <c r="F30" s="912">
        <v>3.2733999999999999E-2</v>
      </c>
      <c r="G30" s="480">
        <v>2538.4744000000001</v>
      </c>
      <c r="H30" s="414">
        <v>487.2</v>
      </c>
      <c r="I30" s="413" t="s">
        <v>481</v>
      </c>
      <c r="J30" s="411">
        <v>1</v>
      </c>
      <c r="K30" s="411" t="s">
        <v>505</v>
      </c>
      <c r="L30" s="482">
        <v>348</v>
      </c>
      <c r="M30" s="461" t="s">
        <v>2412</v>
      </c>
      <c r="N30" s="483">
        <v>67.071199999999919</v>
      </c>
      <c r="O30" s="483">
        <v>134.15400000000011</v>
      </c>
      <c r="P30" s="913" t="s">
        <v>2413</v>
      </c>
      <c r="Q30" s="484">
        <v>336.67839999999967</v>
      </c>
      <c r="R30" s="497"/>
    </row>
    <row r="31" spans="1:18" ht="15" customHeight="1">
      <c r="A31" s="411">
        <v>17</v>
      </c>
      <c r="B31" s="413" t="s">
        <v>2428</v>
      </c>
      <c r="C31" s="411">
        <f t="shared" si="2"/>
        <v>17</v>
      </c>
      <c r="D31" s="443" t="s">
        <v>2180</v>
      </c>
      <c r="E31" s="412" t="s">
        <v>2250</v>
      </c>
      <c r="F31" s="912">
        <v>3.2733999999999999E-2</v>
      </c>
      <c r="G31" s="480">
        <v>2538.4744000000001</v>
      </c>
      <c r="H31" s="414">
        <v>487.2</v>
      </c>
      <c r="I31" s="413" t="s">
        <v>481</v>
      </c>
      <c r="J31" s="411">
        <v>1</v>
      </c>
      <c r="K31" s="411" t="s">
        <v>506</v>
      </c>
      <c r="L31" s="482">
        <v>348</v>
      </c>
      <c r="M31" s="461" t="s">
        <v>2412</v>
      </c>
      <c r="N31" s="483">
        <v>67.071199999999919</v>
      </c>
      <c r="O31" s="483">
        <v>134.15400000000011</v>
      </c>
      <c r="P31" s="913" t="s">
        <v>2413</v>
      </c>
      <c r="Q31" s="484">
        <v>336.67839999999967</v>
      </c>
      <c r="R31" s="497"/>
    </row>
    <row r="32" spans="1:18" ht="15" customHeight="1">
      <c r="A32" s="233">
        <v>18</v>
      </c>
      <c r="B32" s="413" t="s">
        <v>2429</v>
      </c>
      <c r="C32" s="411">
        <f t="shared" si="2"/>
        <v>18</v>
      </c>
      <c r="D32" s="443" t="s">
        <v>2180</v>
      </c>
      <c r="E32" s="412" t="s">
        <v>2251</v>
      </c>
      <c r="F32" s="912">
        <v>5.4852299999999993E-2</v>
      </c>
      <c r="G32" s="480">
        <v>2538.48</v>
      </c>
      <c r="H32" s="414">
        <v>487.2</v>
      </c>
      <c r="I32" s="413" t="s">
        <v>481</v>
      </c>
      <c r="J32" s="411">
        <v>1</v>
      </c>
      <c r="K32" s="411" t="s">
        <v>507</v>
      </c>
      <c r="L32" s="482">
        <v>348</v>
      </c>
      <c r="M32" s="461" t="s">
        <v>2412</v>
      </c>
      <c r="N32" s="483">
        <v>67.071199999999919</v>
      </c>
      <c r="O32" s="483">
        <v>134.15400000000011</v>
      </c>
      <c r="P32" s="913" t="s">
        <v>2413</v>
      </c>
      <c r="Q32" s="484">
        <v>336.67839999999967</v>
      </c>
      <c r="R32" s="497"/>
    </row>
    <row r="33" spans="1:18" ht="15" customHeight="1">
      <c r="A33" s="411">
        <v>19</v>
      </c>
      <c r="B33" s="413" t="s">
        <v>5127</v>
      </c>
      <c r="C33" s="411">
        <f t="shared" si="2"/>
        <v>19</v>
      </c>
      <c r="D33" s="443" t="s">
        <v>5128</v>
      </c>
      <c r="E33" s="412" t="s">
        <v>5129</v>
      </c>
      <c r="F33" s="912">
        <v>5.0299000000000003E-2</v>
      </c>
      <c r="G33" s="480">
        <v>2538.48</v>
      </c>
      <c r="H33" s="414">
        <v>487.2</v>
      </c>
      <c r="I33" s="413" t="s">
        <v>481</v>
      </c>
      <c r="J33" s="411">
        <v>1</v>
      </c>
      <c r="K33" s="411" t="s">
        <v>5130</v>
      </c>
      <c r="L33" s="482">
        <v>348</v>
      </c>
      <c r="M33" s="461" t="s">
        <v>2412</v>
      </c>
      <c r="N33" s="483">
        <v>67.071199999999919</v>
      </c>
      <c r="O33" s="483">
        <v>134.154</v>
      </c>
      <c r="P33" s="913" t="s">
        <v>2413</v>
      </c>
      <c r="Q33" s="484">
        <v>336.67840000000001</v>
      </c>
      <c r="R33" s="497"/>
    </row>
    <row r="34" spans="1:18" ht="15" customHeight="1">
      <c r="A34" s="411">
        <v>20</v>
      </c>
      <c r="B34" s="413" t="s">
        <v>2430</v>
      </c>
      <c r="C34" s="411">
        <f t="shared" si="2"/>
        <v>20</v>
      </c>
      <c r="D34" s="443" t="s">
        <v>2182</v>
      </c>
      <c r="E34" s="412" t="s">
        <v>2252</v>
      </c>
      <c r="F34" s="912">
        <v>4.3188899999999995E-2</v>
      </c>
      <c r="G34" s="480">
        <v>2538.48</v>
      </c>
      <c r="H34" s="414">
        <v>487.2</v>
      </c>
      <c r="I34" s="413" t="s">
        <v>481</v>
      </c>
      <c r="J34" s="411">
        <v>1</v>
      </c>
      <c r="K34" s="411" t="s">
        <v>508</v>
      </c>
      <c r="L34" s="482">
        <v>348</v>
      </c>
      <c r="M34" s="461" t="s">
        <v>2412</v>
      </c>
      <c r="N34" s="483">
        <v>67.071199999999919</v>
      </c>
      <c r="O34" s="483">
        <v>134.15400000000011</v>
      </c>
      <c r="P34" s="913" t="s">
        <v>2413</v>
      </c>
      <c r="Q34" s="484">
        <v>336.67839999999967</v>
      </c>
      <c r="R34" s="497"/>
    </row>
    <row r="35" spans="1:18" ht="15" customHeight="1">
      <c r="A35" s="233">
        <v>21</v>
      </c>
      <c r="B35" s="413" t="s">
        <v>2431</v>
      </c>
      <c r="C35" s="411">
        <f t="shared" si="2"/>
        <v>21</v>
      </c>
      <c r="D35" s="443" t="s">
        <v>2182</v>
      </c>
      <c r="E35" s="412" t="s">
        <v>2253</v>
      </c>
      <c r="F35" s="912">
        <v>4.3922800000000005E-2</v>
      </c>
      <c r="G35" s="480">
        <v>2538.48</v>
      </c>
      <c r="H35" s="414">
        <v>487.2</v>
      </c>
      <c r="I35" s="413" t="s">
        <v>481</v>
      </c>
      <c r="J35" s="411">
        <v>1</v>
      </c>
      <c r="K35" s="411" t="s">
        <v>509</v>
      </c>
      <c r="L35" s="482">
        <v>348</v>
      </c>
      <c r="M35" s="461" t="s">
        <v>2412</v>
      </c>
      <c r="N35" s="483">
        <v>67.071199999999919</v>
      </c>
      <c r="O35" s="483">
        <v>134.15400000000011</v>
      </c>
      <c r="P35" s="913" t="s">
        <v>2413</v>
      </c>
      <c r="Q35" s="484">
        <v>336.67839999999967</v>
      </c>
      <c r="R35" s="497"/>
    </row>
    <row r="36" spans="1:18" ht="15" customHeight="1">
      <c r="A36" s="411">
        <v>22</v>
      </c>
      <c r="B36" s="413" t="s">
        <v>2432</v>
      </c>
      <c r="C36" s="411">
        <f t="shared" si="2"/>
        <v>22</v>
      </c>
      <c r="D36" s="443" t="s">
        <v>2182</v>
      </c>
      <c r="E36" s="412" t="s">
        <v>2254</v>
      </c>
      <c r="F36" s="912">
        <v>4.1958099999999998E-2</v>
      </c>
      <c r="G36" s="480">
        <v>2538.48</v>
      </c>
      <c r="H36" s="414">
        <v>487.2</v>
      </c>
      <c r="I36" s="413" t="s">
        <v>481</v>
      </c>
      <c r="J36" s="411">
        <v>1</v>
      </c>
      <c r="K36" s="411" t="s">
        <v>510</v>
      </c>
      <c r="L36" s="482">
        <v>348</v>
      </c>
      <c r="M36" s="461" t="s">
        <v>2412</v>
      </c>
      <c r="N36" s="483">
        <v>67.071199999999919</v>
      </c>
      <c r="O36" s="483">
        <v>134.15400000000011</v>
      </c>
      <c r="P36" s="913" t="s">
        <v>2413</v>
      </c>
      <c r="Q36" s="484">
        <v>336.67839999999967</v>
      </c>
      <c r="R36" s="497"/>
    </row>
    <row r="37" spans="1:18" ht="15" customHeight="1">
      <c r="A37" s="411">
        <v>23</v>
      </c>
      <c r="B37" s="413" t="s">
        <v>2433</v>
      </c>
      <c r="C37" s="411">
        <f t="shared" si="2"/>
        <v>23</v>
      </c>
      <c r="D37" s="443" t="s">
        <v>2182</v>
      </c>
      <c r="E37" s="412" t="s">
        <v>2255</v>
      </c>
      <c r="F37" s="912">
        <v>3.3957000000000001E-2</v>
      </c>
      <c r="G37" s="480">
        <v>2538.4744000000001</v>
      </c>
      <c r="H37" s="414">
        <v>487.2</v>
      </c>
      <c r="I37" s="413" t="s">
        <v>481</v>
      </c>
      <c r="J37" s="411">
        <v>1</v>
      </c>
      <c r="K37" s="411" t="s">
        <v>511</v>
      </c>
      <c r="L37" s="482">
        <v>348</v>
      </c>
      <c r="M37" s="461" t="s">
        <v>2412</v>
      </c>
      <c r="N37" s="483">
        <v>67.071199999999919</v>
      </c>
      <c r="O37" s="483">
        <v>134.15400000000011</v>
      </c>
      <c r="P37" s="913" t="s">
        <v>2413</v>
      </c>
      <c r="Q37" s="484">
        <v>336.67839999999967</v>
      </c>
      <c r="R37" s="497"/>
    </row>
    <row r="38" spans="1:18" ht="15" customHeight="1">
      <c r="A38" s="233">
        <v>24</v>
      </c>
      <c r="B38" s="413" t="s">
        <v>2434</v>
      </c>
      <c r="C38" s="411">
        <f t="shared" si="2"/>
        <v>24</v>
      </c>
      <c r="D38" s="443" t="s">
        <v>2182</v>
      </c>
      <c r="E38" s="412" t="s">
        <v>2256</v>
      </c>
      <c r="F38" s="912">
        <v>3.4949000000000001E-2</v>
      </c>
      <c r="G38" s="480">
        <v>2538.4744000000001</v>
      </c>
      <c r="H38" s="414">
        <v>487.2</v>
      </c>
      <c r="I38" s="413" t="s">
        <v>481</v>
      </c>
      <c r="J38" s="411">
        <v>1</v>
      </c>
      <c r="K38" s="411" t="s">
        <v>512</v>
      </c>
      <c r="L38" s="482">
        <v>348</v>
      </c>
      <c r="M38" s="461" t="s">
        <v>2412</v>
      </c>
      <c r="N38" s="483">
        <v>67.071199999999919</v>
      </c>
      <c r="O38" s="483">
        <v>134.15400000000011</v>
      </c>
      <c r="P38" s="913" t="s">
        <v>2413</v>
      </c>
      <c r="Q38" s="484">
        <v>336.67839999999967</v>
      </c>
      <c r="R38" s="497"/>
    </row>
    <row r="39" spans="1:18" ht="15" customHeight="1">
      <c r="A39" s="411">
        <v>25</v>
      </c>
      <c r="B39" s="413" t="s">
        <v>2435</v>
      </c>
      <c r="C39" s="411">
        <f t="shared" si="2"/>
        <v>25</v>
      </c>
      <c r="D39" s="443" t="s">
        <v>2182</v>
      </c>
      <c r="E39" s="412" t="s">
        <v>2257</v>
      </c>
      <c r="F39" s="912">
        <v>2.1059000000000001E-2</v>
      </c>
      <c r="G39" s="480">
        <v>2538.4744000000001</v>
      </c>
      <c r="H39" s="414">
        <v>487.2</v>
      </c>
      <c r="I39" s="413" t="s">
        <v>481</v>
      </c>
      <c r="J39" s="411">
        <v>1</v>
      </c>
      <c r="K39" s="411" t="s">
        <v>513</v>
      </c>
      <c r="L39" s="482">
        <v>348</v>
      </c>
      <c r="M39" s="461" t="s">
        <v>2412</v>
      </c>
      <c r="N39" s="483">
        <v>67.071199999999919</v>
      </c>
      <c r="O39" s="483">
        <v>134.15400000000011</v>
      </c>
      <c r="P39" s="913" t="s">
        <v>2413</v>
      </c>
      <c r="Q39" s="484">
        <v>336.67839999999967</v>
      </c>
      <c r="R39" s="497"/>
    </row>
    <row r="40" spans="1:18" ht="15" customHeight="1">
      <c r="A40" s="411">
        <v>26</v>
      </c>
      <c r="B40" s="413" t="s">
        <v>2436</v>
      </c>
      <c r="C40" s="411">
        <f t="shared" si="2"/>
        <v>26</v>
      </c>
      <c r="D40" s="443" t="s">
        <v>2182</v>
      </c>
      <c r="E40" s="412" t="s">
        <v>2258</v>
      </c>
      <c r="F40" s="912">
        <v>2.1059000000000001E-2</v>
      </c>
      <c r="G40" s="480">
        <v>2538.4744000000001</v>
      </c>
      <c r="H40" s="414">
        <v>487.2</v>
      </c>
      <c r="I40" s="413" t="s">
        <v>481</v>
      </c>
      <c r="J40" s="411">
        <v>1</v>
      </c>
      <c r="K40" s="411" t="s">
        <v>514</v>
      </c>
      <c r="L40" s="482">
        <v>348</v>
      </c>
      <c r="M40" s="461" t="s">
        <v>2412</v>
      </c>
      <c r="N40" s="483">
        <v>67.071199999999919</v>
      </c>
      <c r="O40" s="483">
        <v>134.15400000000011</v>
      </c>
      <c r="P40" s="913" t="s">
        <v>2413</v>
      </c>
      <c r="Q40" s="484">
        <v>336.67839999999967</v>
      </c>
      <c r="R40" s="497"/>
    </row>
    <row r="41" spans="1:18" ht="15" customHeight="1">
      <c r="A41" s="233">
        <v>27</v>
      </c>
      <c r="B41" s="413" t="s">
        <v>2437</v>
      </c>
      <c r="C41" s="411">
        <f t="shared" si="2"/>
        <v>27</v>
      </c>
      <c r="D41" s="443" t="s">
        <v>2182</v>
      </c>
      <c r="E41" s="412" t="s">
        <v>2259</v>
      </c>
      <c r="F41" s="912">
        <v>4.1958099999999998E-2</v>
      </c>
      <c r="G41" s="480">
        <v>2538.48</v>
      </c>
      <c r="H41" s="414">
        <v>487.2</v>
      </c>
      <c r="I41" s="413" t="s">
        <v>481</v>
      </c>
      <c r="J41" s="411">
        <v>1</v>
      </c>
      <c r="K41" s="411" t="s">
        <v>515</v>
      </c>
      <c r="L41" s="482">
        <v>348</v>
      </c>
      <c r="M41" s="461" t="s">
        <v>2412</v>
      </c>
      <c r="N41" s="483">
        <v>67.071199999999919</v>
      </c>
      <c r="O41" s="483">
        <v>134.15400000000011</v>
      </c>
      <c r="P41" s="913" t="s">
        <v>2413</v>
      </c>
      <c r="Q41" s="484">
        <v>336.67839999999967</v>
      </c>
      <c r="R41" s="497"/>
    </row>
    <row r="42" spans="1:18" ht="15" customHeight="1">
      <c r="A42" s="411">
        <v>28</v>
      </c>
      <c r="B42" s="413" t="s">
        <v>2438</v>
      </c>
      <c r="C42" s="411">
        <f t="shared" si="2"/>
        <v>28</v>
      </c>
      <c r="D42" s="443" t="s">
        <v>2182</v>
      </c>
      <c r="E42" s="412" t="s">
        <v>2350</v>
      </c>
      <c r="F42" s="912">
        <v>4.4498599999999999E-2</v>
      </c>
      <c r="G42" s="480">
        <v>2538.48</v>
      </c>
      <c r="H42" s="414">
        <v>487.2</v>
      </c>
      <c r="I42" s="413" t="s">
        <v>481</v>
      </c>
      <c r="J42" s="411">
        <v>1</v>
      </c>
      <c r="K42" s="411" t="s">
        <v>2351</v>
      </c>
      <c r="L42" s="482">
        <v>348</v>
      </c>
      <c r="M42" s="461" t="s">
        <v>2412</v>
      </c>
      <c r="N42" s="483">
        <v>67.071199999999919</v>
      </c>
      <c r="O42" s="483">
        <v>134.15400000000011</v>
      </c>
      <c r="P42" s="913" t="s">
        <v>2413</v>
      </c>
      <c r="Q42" s="484">
        <v>336.67839999999967</v>
      </c>
      <c r="R42" s="497"/>
    </row>
    <row r="43" spans="1:18" ht="15" customHeight="1">
      <c r="A43" s="411">
        <v>29</v>
      </c>
      <c r="B43" s="413" t="s">
        <v>2439</v>
      </c>
      <c r="C43" s="411">
        <f t="shared" si="2"/>
        <v>29</v>
      </c>
      <c r="D43" s="443" t="s">
        <v>2182</v>
      </c>
      <c r="E43" s="412" t="s">
        <v>2260</v>
      </c>
      <c r="F43" s="912">
        <v>4.7502099999999998E-2</v>
      </c>
      <c r="G43" s="480">
        <v>2538.48</v>
      </c>
      <c r="H43" s="414">
        <v>487.2</v>
      </c>
      <c r="I43" s="413" t="s">
        <v>481</v>
      </c>
      <c r="J43" s="411">
        <v>1</v>
      </c>
      <c r="K43" s="411" t="s">
        <v>516</v>
      </c>
      <c r="L43" s="482">
        <v>348</v>
      </c>
      <c r="M43" s="461" t="s">
        <v>2412</v>
      </c>
      <c r="N43" s="483">
        <v>67.071199999999919</v>
      </c>
      <c r="O43" s="483">
        <v>134.15400000000011</v>
      </c>
      <c r="P43" s="913" t="s">
        <v>2413</v>
      </c>
      <c r="Q43" s="484">
        <v>336.67839999999967</v>
      </c>
      <c r="R43" s="497"/>
    </row>
    <row r="44" spans="1:18" ht="15" customHeight="1">
      <c r="A44" s="233">
        <v>30</v>
      </c>
      <c r="B44" s="413" t="s">
        <v>2440</v>
      </c>
      <c r="C44" s="411">
        <f t="shared" si="2"/>
        <v>30</v>
      </c>
      <c r="D44" s="443" t="s">
        <v>2182</v>
      </c>
      <c r="E44" s="412" t="s">
        <v>2261</v>
      </c>
      <c r="F44" s="912">
        <v>4.4547999999999997E-2</v>
      </c>
      <c r="G44" s="480">
        <v>2538.4744000000001</v>
      </c>
      <c r="H44" s="414">
        <v>487.2</v>
      </c>
      <c r="I44" s="413" t="s">
        <v>481</v>
      </c>
      <c r="J44" s="411">
        <v>1</v>
      </c>
      <c r="K44" s="411" t="s">
        <v>517</v>
      </c>
      <c r="L44" s="482">
        <v>348</v>
      </c>
      <c r="M44" s="461" t="s">
        <v>2412</v>
      </c>
      <c r="N44" s="483">
        <v>67.071199999999919</v>
      </c>
      <c r="O44" s="483">
        <v>134.15400000000011</v>
      </c>
      <c r="P44" s="913" t="s">
        <v>2413</v>
      </c>
      <c r="Q44" s="484">
        <v>336.67839999999967</v>
      </c>
      <c r="R44" s="497"/>
    </row>
    <row r="45" spans="1:18" ht="15" customHeight="1">
      <c r="A45" s="411">
        <v>31</v>
      </c>
      <c r="B45" s="413" t="s">
        <v>2441</v>
      </c>
      <c r="C45" s="411">
        <f t="shared" si="2"/>
        <v>31</v>
      </c>
      <c r="D45" s="443" t="s">
        <v>2182</v>
      </c>
      <c r="E45" s="412" t="s">
        <v>2262</v>
      </c>
      <c r="F45" s="912">
        <v>2.3050000000000001E-2</v>
      </c>
      <c r="G45" s="480">
        <v>2538.4744000000001</v>
      </c>
      <c r="H45" s="414">
        <v>487.2</v>
      </c>
      <c r="I45" s="413" t="s">
        <v>481</v>
      </c>
      <c r="J45" s="411">
        <v>1</v>
      </c>
      <c r="K45" s="411" t="s">
        <v>518</v>
      </c>
      <c r="L45" s="482">
        <v>348</v>
      </c>
      <c r="M45" s="461" t="s">
        <v>2412</v>
      </c>
      <c r="N45" s="483">
        <v>67.071199999999919</v>
      </c>
      <c r="O45" s="483">
        <v>134.15400000000011</v>
      </c>
      <c r="P45" s="913" t="s">
        <v>2413</v>
      </c>
      <c r="Q45" s="484">
        <v>336.67839999999967</v>
      </c>
      <c r="R45" s="497"/>
    </row>
    <row r="46" spans="1:18" ht="15" customHeight="1">
      <c r="A46" s="411">
        <v>32</v>
      </c>
      <c r="B46" s="413" t="s">
        <v>2442</v>
      </c>
      <c r="C46" s="411">
        <f t="shared" si="2"/>
        <v>32</v>
      </c>
      <c r="D46" s="443" t="s">
        <v>2182</v>
      </c>
      <c r="E46" s="412" t="s">
        <v>2263</v>
      </c>
      <c r="F46" s="912">
        <v>2.3050000000000001E-2</v>
      </c>
      <c r="G46" s="480">
        <v>2538.4744000000001</v>
      </c>
      <c r="H46" s="414">
        <v>487.2</v>
      </c>
      <c r="I46" s="413" t="s">
        <v>481</v>
      </c>
      <c r="J46" s="411">
        <v>1</v>
      </c>
      <c r="K46" s="411" t="s">
        <v>519</v>
      </c>
      <c r="L46" s="482">
        <v>348</v>
      </c>
      <c r="M46" s="461" t="s">
        <v>2412</v>
      </c>
      <c r="N46" s="483">
        <v>67.071199999999919</v>
      </c>
      <c r="O46" s="483">
        <v>134.15400000000011</v>
      </c>
      <c r="P46" s="913" t="s">
        <v>2413</v>
      </c>
      <c r="Q46" s="484">
        <v>336.67839999999967</v>
      </c>
      <c r="R46" s="497"/>
    </row>
    <row r="47" spans="1:18" ht="15" customHeight="1">
      <c r="A47" s="233">
        <v>33</v>
      </c>
      <c r="B47" s="413" t="s">
        <v>2443</v>
      </c>
      <c r="C47" s="411">
        <f t="shared" si="2"/>
        <v>33</v>
      </c>
      <c r="D47" s="443" t="s">
        <v>2182</v>
      </c>
      <c r="E47" s="412" t="s">
        <v>2264</v>
      </c>
      <c r="F47" s="912">
        <v>2.1999000000000001E-2</v>
      </c>
      <c r="G47" s="480">
        <v>2538.4744000000001</v>
      </c>
      <c r="H47" s="414">
        <v>487.2</v>
      </c>
      <c r="I47" s="413" t="s">
        <v>481</v>
      </c>
      <c r="J47" s="411">
        <v>1</v>
      </c>
      <c r="K47" s="411" t="s">
        <v>520</v>
      </c>
      <c r="L47" s="482">
        <v>348</v>
      </c>
      <c r="M47" s="461" t="s">
        <v>2412</v>
      </c>
      <c r="N47" s="483">
        <v>67.071199999999919</v>
      </c>
      <c r="O47" s="483">
        <v>134.15400000000011</v>
      </c>
      <c r="P47" s="913" t="s">
        <v>2413</v>
      </c>
      <c r="Q47" s="484">
        <v>336.67839999999967</v>
      </c>
      <c r="R47" s="497"/>
    </row>
    <row r="48" spans="1:18" ht="15" customHeight="1">
      <c r="A48" s="411">
        <v>34</v>
      </c>
      <c r="B48" s="413" t="s">
        <v>3207</v>
      </c>
      <c r="C48" s="411">
        <f t="shared" si="2"/>
        <v>34</v>
      </c>
      <c r="D48" s="443" t="s">
        <v>2182</v>
      </c>
      <c r="E48" s="412" t="s">
        <v>3215</v>
      </c>
      <c r="F48" s="912">
        <v>2.3626999999999999E-2</v>
      </c>
      <c r="G48" s="480">
        <v>2538.4744000000001</v>
      </c>
      <c r="H48" s="414">
        <v>487.2</v>
      </c>
      <c r="I48" s="413" t="s">
        <v>481</v>
      </c>
      <c r="J48" s="411">
        <v>1</v>
      </c>
      <c r="K48" s="411" t="s">
        <v>3223</v>
      </c>
      <c r="L48" s="482">
        <v>348</v>
      </c>
      <c r="M48" s="461" t="s">
        <v>2412</v>
      </c>
      <c r="N48" s="483">
        <v>67.071199999999919</v>
      </c>
      <c r="O48" s="483">
        <v>134.15400000000011</v>
      </c>
      <c r="P48" s="913" t="s">
        <v>2413</v>
      </c>
      <c r="Q48" s="484">
        <v>336.67839999999967</v>
      </c>
      <c r="R48" s="497"/>
    </row>
    <row r="49" spans="1:18" ht="15" customHeight="1">
      <c r="A49" s="411">
        <v>35</v>
      </c>
      <c r="B49" s="413" t="s">
        <v>4791</v>
      </c>
      <c r="C49" s="411">
        <f t="shared" si="2"/>
        <v>35</v>
      </c>
      <c r="D49" s="443" t="s">
        <v>2182</v>
      </c>
      <c r="E49" s="412" t="s">
        <v>4800</v>
      </c>
      <c r="F49" s="912">
        <v>2.154E-2</v>
      </c>
      <c r="G49" s="480">
        <v>2538.4744000000001</v>
      </c>
      <c r="H49" s="414">
        <v>487.2</v>
      </c>
      <c r="I49" s="413" t="s">
        <v>481</v>
      </c>
      <c r="J49" s="411">
        <v>1</v>
      </c>
      <c r="K49" s="411" t="s">
        <v>4809</v>
      </c>
      <c r="L49" s="482">
        <v>348</v>
      </c>
      <c r="M49" s="461" t="s">
        <v>2412</v>
      </c>
      <c r="N49" s="483">
        <v>67.071199999999919</v>
      </c>
      <c r="O49" s="483">
        <v>134.15399999999983</v>
      </c>
      <c r="P49" s="913" t="s">
        <v>2413</v>
      </c>
      <c r="Q49" s="484">
        <v>336.67839999999967</v>
      </c>
      <c r="R49" s="497"/>
    </row>
    <row r="50" spans="1:18" ht="15" customHeight="1">
      <c r="A50" s="233">
        <v>36</v>
      </c>
      <c r="B50" s="413" t="s">
        <v>2444</v>
      </c>
      <c r="C50" s="411">
        <f t="shared" si="2"/>
        <v>36</v>
      </c>
      <c r="D50" s="443" t="s">
        <v>2182</v>
      </c>
      <c r="E50" s="412" t="s">
        <v>2265</v>
      </c>
      <c r="F50" s="912">
        <v>2.7452000000000001E-2</v>
      </c>
      <c r="G50" s="480">
        <v>2538.4744000000001</v>
      </c>
      <c r="H50" s="414">
        <v>487.2</v>
      </c>
      <c r="I50" s="413" t="s">
        <v>481</v>
      </c>
      <c r="J50" s="411">
        <v>1</v>
      </c>
      <c r="K50" s="411" t="s">
        <v>521</v>
      </c>
      <c r="L50" s="482">
        <v>348</v>
      </c>
      <c r="M50" s="461" t="s">
        <v>2412</v>
      </c>
      <c r="N50" s="483">
        <v>67.071199999999919</v>
      </c>
      <c r="O50" s="483">
        <v>134.15400000000011</v>
      </c>
      <c r="P50" s="913" t="s">
        <v>2413</v>
      </c>
      <c r="Q50" s="484">
        <v>336.67839999999967</v>
      </c>
      <c r="R50" s="497"/>
    </row>
    <row r="51" spans="1:18" ht="15" customHeight="1">
      <c r="A51" s="411">
        <v>37</v>
      </c>
      <c r="B51" s="413" t="s">
        <v>2445</v>
      </c>
      <c r="C51" s="411">
        <f t="shared" si="2"/>
        <v>37</v>
      </c>
      <c r="D51" s="443" t="s">
        <v>2182</v>
      </c>
      <c r="E51" s="412" t="s">
        <v>2266</v>
      </c>
      <c r="F51" s="912">
        <v>2.1999000000000001E-2</v>
      </c>
      <c r="G51" s="480">
        <v>2538.4744000000001</v>
      </c>
      <c r="H51" s="414">
        <v>487.2</v>
      </c>
      <c r="I51" s="413" t="s">
        <v>481</v>
      </c>
      <c r="J51" s="411">
        <v>1</v>
      </c>
      <c r="K51" s="411" t="s">
        <v>522</v>
      </c>
      <c r="L51" s="482">
        <v>348</v>
      </c>
      <c r="M51" s="461" t="s">
        <v>2412</v>
      </c>
      <c r="N51" s="483">
        <v>67.071199999999919</v>
      </c>
      <c r="O51" s="483">
        <v>134.15400000000011</v>
      </c>
      <c r="P51" s="913" t="s">
        <v>2413</v>
      </c>
      <c r="Q51" s="484">
        <v>336.67839999999967</v>
      </c>
      <c r="R51" s="497"/>
    </row>
    <row r="52" spans="1:18" ht="15" customHeight="1">
      <c r="A52" s="411">
        <v>38</v>
      </c>
      <c r="B52" s="413" t="s">
        <v>2446</v>
      </c>
      <c r="C52" s="411">
        <f t="shared" si="2"/>
        <v>38</v>
      </c>
      <c r="D52" s="443" t="s">
        <v>2182</v>
      </c>
      <c r="E52" s="412" t="s">
        <v>2267</v>
      </c>
      <c r="F52" s="912">
        <v>2.3626999999999999E-2</v>
      </c>
      <c r="G52" s="480">
        <v>2538.4744000000001</v>
      </c>
      <c r="H52" s="414">
        <v>487.2</v>
      </c>
      <c r="I52" s="413" t="s">
        <v>481</v>
      </c>
      <c r="J52" s="411">
        <v>1</v>
      </c>
      <c r="K52" s="411" t="s">
        <v>523</v>
      </c>
      <c r="L52" s="482">
        <v>348</v>
      </c>
      <c r="M52" s="461" t="s">
        <v>2412</v>
      </c>
      <c r="N52" s="483">
        <v>67.071199999999919</v>
      </c>
      <c r="O52" s="483">
        <v>134.15400000000011</v>
      </c>
      <c r="P52" s="913" t="s">
        <v>2413</v>
      </c>
      <c r="Q52" s="484">
        <v>336.67839999999967</v>
      </c>
      <c r="R52" s="497"/>
    </row>
    <row r="53" spans="1:18" ht="15" customHeight="1">
      <c r="A53" s="233">
        <v>39</v>
      </c>
      <c r="B53" s="413" t="s">
        <v>2447</v>
      </c>
      <c r="C53" s="411">
        <f t="shared" si="2"/>
        <v>39</v>
      </c>
      <c r="D53" s="443" t="s">
        <v>2182</v>
      </c>
      <c r="E53" s="412" t="s">
        <v>2268</v>
      </c>
      <c r="F53" s="912">
        <v>2.4108999999999998E-2</v>
      </c>
      <c r="G53" s="480">
        <v>2538.4744000000001</v>
      </c>
      <c r="H53" s="414">
        <v>487.2</v>
      </c>
      <c r="I53" s="413" t="s">
        <v>481</v>
      </c>
      <c r="J53" s="411">
        <v>1</v>
      </c>
      <c r="K53" s="411" t="s">
        <v>524</v>
      </c>
      <c r="L53" s="482">
        <v>348</v>
      </c>
      <c r="M53" s="461" t="s">
        <v>2412</v>
      </c>
      <c r="N53" s="483">
        <v>67.071199999999919</v>
      </c>
      <c r="O53" s="483">
        <v>134.15400000000011</v>
      </c>
      <c r="P53" s="913" t="s">
        <v>2413</v>
      </c>
      <c r="Q53" s="484">
        <v>336.67839999999967</v>
      </c>
      <c r="R53" s="497"/>
    </row>
    <row r="54" spans="1:18" ht="15" customHeight="1">
      <c r="A54" s="411">
        <v>40</v>
      </c>
      <c r="B54" s="413" t="s">
        <v>4792</v>
      </c>
      <c r="C54" s="411">
        <f t="shared" si="2"/>
        <v>40</v>
      </c>
      <c r="D54" s="443" t="s">
        <v>2182</v>
      </c>
      <c r="E54" s="412" t="s">
        <v>4801</v>
      </c>
      <c r="F54" s="912">
        <v>2.154E-2</v>
      </c>
      <c r="G54" s="480">
        <v>2538.4744000000001</v>
      </c>
      <c r="H54" s="414">
        <v>487.2</v>
      </c>
      <c r="I54" s="413" t="s">
        <v>481</v>
      </c>
      <c r="J54" s="411">
        <v>1</v>
      </c>
      <c r="K54" s="411" t="s">
        <v>4810</v>
      </c>
      <c r="L54" s="482">
        <v>348</v>
      </c>
      <c r="M54" s="461" t="s">
        <v>2412</v>
      </c>
      <c r="N54" s="483">
        <v>67.071199999999919</v>
      </c>
      <c r="O54" s="483">
        <v>134.15399999999983</v>
      </c>
      <c r="P54" s="913" t="s">
        <v>2413</v>
      </c>
      <c r="Q54" s="484">
        <v>336.67839999999967</v>
      </c>
      <c r="R54" s="497"/>
    </row>
    <row r="55" spans="1:18" ht="15" customHeight="1">
      <c r="A55" s="411">
        <v>41</v>
      </c>
      <c r="B55" s="413" t="s">
        <v>2448</v>
      </c>
      <c r="C55" s="411">
        <f t="shared" si="2"/>
        <v>41</v>
      </c>
      <c r="D55" s="443" t="s">
        <v>2182</v>
      </c>
      <c r="E55" s="412" t="s">
        <v>2269</v>
      </c>
      <c r="F55" s="912">
        <v>2.6214000000000001E-2</v>
      </c>
      <c r="G55" s="480">
        <v>2538.4744000000001</v>
      </c>
      <c r="H55" s="414">
        <v>487.2</v>
      </c>
      <c r="I55" s="413" t="s">
        <v>481</v>
      </c>
      <c r="J55" s="411">
        <v>1</v>
      </c>
      <c r="K55" s="411" t="s">
        <v>525</v>
      </c>
      <c r="L55" s="482">
        <v>348</v>
      </c>
      <c r="M55" s="461" t="s">
        <v>2412</v>
      </c>
      <c r="N55" s="483">
        <v>67.071199999999919</v>
      </c>
      <c r="O55" s="483">
        <v>134.15400000000011</v>
      </c>
      <c r="P55" s="913" t="s">
        <v>2413</v>
      </c>
      <c r="Q55" s="484">
        <v>336.67839999999967</v>
      </c>
      <c r="R55" s="497"/>
    </row>
    <row r="56" spans="1:18" ht="15" customHeight="1">
      <c r="A56" s="233">
        <v>42</v>
      </c>
      <c r="B56" s="413" t="s">
        <v>4209</v>
      </c>
      <c r="C56" s="411">
        <f t="shared" si="2"/>
        <v>42</v>
      </c>
      <c r="D56" s="443" t="s">
        <v>2182</v>
      </c>
      <c r="E56" s="412" t="s">
        <v>4212</v>
      </c>
      <c r="F56" s="912">
        <v>4.7502099999999998E-2</v>
      </c>
      <c r="G56" s="480">
        <v>2538.48</v>
      </c>
      <c r="H56" s="414">
        <v>487.2</v>
      </c>
      <c r="I56" s="413" t="s">
        <v>481</v>
      </c>
      <c r="J56" s="411">
        <v>1</v>
      </c>
      <c r="K56" s="411" t="s">
        <v>4215</v>
      </c>
      <c r="L56" s="482">
        <v>348</v>
      </c>
      <c r="M56" s="461" t="s">
        <v>2412</v>
      </c>
      <c r="N56" s="483">
        <v>67.071199999999919</v>
      </c>
      <c r="O56" s="483">
        <v>134.15400000000011</v>
      </c>
      <c r="P56" s="913" t="s">
        <v>2413</v>
      </c>
      <c r="Q56" s="484">
        <v>336.67839999999967</v>
      </c>
      <c r="R56" s="497"/>
    </row>
    <row r="57" spans="1:18" ht="15" customHeight="1">
      <c r="A57" s="411">
        <v>43</v>
      </c>
      <c r="B57" s="413" t="s">
        <v>2449</v>
      </c>
      <c r="C57" s="411">
        <f t="shared" si="2"/>
        <v>43</v>
      </c>
      <c r="D57" s="443" t="s">
        <v>2182</v>
      </c>
      <c r="E57" s="412" t="s">
        <v>2270</v>
      </c>
      <c r="F57" s="912">
        <v>4.3816000000000001E-2</v>
      </c>
      <c r="G57" s="480">
        <v>2538.4744000000001</v>
      </c>
      <c r="H57" s="414">
        <v>487.2</v>
      </c>
      <c r="I57" s="413" t="s">
        <v>481</v>
      </c>
      <c r="J57" s="411">
        <v>1</v>
      </c>
      <c r="K57" s="411" t="s">
        <v>526</v>
      </c>
      <c r="L57" s="482">
        <v>348</v>
      </c>
      <c r="M57" s="461" t="s">
        <v>2412</v>
      </c>
      <c r="N57" s="483">
        <v>67.071199999999919</v>
      </c>
      <c r="O57" s="483">
        <v>134.15400000000011</v>
      </c>
      <c r="P57" s="913" t="s">
        <v>2413</v>
      </c>
      <c r="Q57" s="484">
        <v>336.67839999999967</v>
      </c>
      <c r="R57" s="497"/>
    </row>
    <row r="58" spans="1:18" ht="15" customHeight="1">
      <c r="A58" s="411">
        <v>44</v>
      </c>
      <c r="B58" s="413" t="s">
        <v>10950</v>
      </c>
      <c r="C58" s="411">
        <f t="shared" si="2"/>
        <v>44</v>
      </c>
      <c r="D58" s="443" t="s">
        <v>10962</v>
      </c>
      <c r="E58" s="412" t="s">
        <v>10963</v>
      </c>
      <c r="F58" s="912">
        <v>3.3838E-2</v>
      </c>
      <c r="G58" s="480">
        <v>2538.48</v>
      </c>
      <c r="H58" s="414">
        <v>487.2</v>
      </c>
      <c r="I58" s="413" t="s">
        <v>481</v>
      </c>
      <c r="J58" s="411">
        <v>1</v>
      </c>
      <c r="K58" s="411" t="s">
        <v>10976</v>
      </c>
      <c r="L58" s="482">
        <v>348</v>
      </c>
      <c r="M58" s="461" t="s">
        <v>2412</v>
      </c>
      <c r="N58" s="483">
        <v>67.071199999999919</v>
      </c>
      <c r="O58" s="483">
        <v>134.15399999999985</v>
      </c>
      <c r="P58" s="913" t="s">
        <v>2413</v>
      </c>
      <c r="Q58" s="484">
        <v>336.67840000000001</v>
      </c>
      <c r="R58" s="497"/>
    </row>
    <row r="59" spans="1:18" ht="15" customHeight="1">
      <c r="A59" s="233">
        <v>45</v>
      </c>
      <c r="B59" s="413" t="s">
        <v>10951</v>
      </c>
      <c r="C59" s="411">
        <f t="shared" si="2"/>
        <v>45</v>
      </c>
      <c r="D59" s="443" t="s">
        <v>10962</v>
      </c>
      <c r="E59" s="412" t="s">
        <v>10964</v>
      </c>
      <c r="F59" s="912">
        <v>3.0478999999999999E-2</v>
      </c>
      <c r="G59" s="480">
        <v>2538.48</v>
      </c>
      <c r="H59" s="414">
        <v>487.2</v>
      </c>
      <c r="I59" s="413" t="s">
        <v>481</v>
      </c>
      <c r="J59" s="411">
        <v>1</v>
      </c>
      <c r="K59" s="411" t="s">
        <v>10977</v>
      </c>
      <c r="L59" s="482">
        <v>348</v>
      </c>
      <c r="M59" s="461" t="s">
        <v>2412</v>
      </c>
      <c r="N59" s="483">
        <v>67.071199999999919</v>
      </c>
      <c r="O59" s="483">
        <v>134.15399999999985</v>
      </c>
      <c r="P59" s="913" t="s">
        <v>2413</v>
      </c>
      <c r="Q59" s="484">
        <v>336.67840000000001</v>
      </c>
      <c r="R59" s="497"/>
    </row>
    <row r="60" spans="1:18" ht="15" customHeight="1">
      <c r="A60" s="411">
        <v>46</v>
      </c>
      <c r="B60" s="413" t="s">
        <v>10952</v>
      </c>
      <c r="C60" s="411">
        <f t="shared" si="2"/>
        <v>46</v>
      </c>
      <c r="D60" s="443" t="s">
        <v>10962</v>
      </c>
      <c r="E60" s="412" t="s">
        <v>10965</v>
      </c>
      <c r="F60" s="912">
        <v>3.0478999999999999E-2</v>
      </c>
      <c r="G60" s="480">
        <v>2538.48</v>
      </c>
      <c r="H60" s="414">
        <v>487.2</v>
      </c>
      <c r="I60" s="413" t="s">
        <v>481</v>
      </c>
      <c r="J60" s="411">
        <v>1</v>
      </c>
      <c r="K60" s="411" t="s">
        <v>10978</v>
      </c>
      <c r="L60" s="482">
        <v>348</v>
      </c>
      <c r="M60" s="461" t="s">
        <v>2412</v>
      </c>
      <c r="N60" s="483">
        <v>67.071199999999919</v>
      </c>
      <c r="O60" s="483">
        <v>134.15399999999985</v>
      </c>
      <c r="P60" s="913" t="s">
        <v>2413</v>
      </c>
      <c r="Q60" s="484">
        <v>336.67840000000001</v>
      </c>
      <c r="R60" s="497"/>
    </row>
    <row r="61" spans="1:18" ht="15" customHeight="1">
      <c r="A61" s="411">
        <v>47</v>
      </c>
      <c r="B61" s="413" t="s">
        <v>10990</v>
      </c>
      <c r="C61" s="411">
        <f t="shared" si="2"/>
        <v>47</v>
      </c>
      <c r="D61" s="443" t="s">
        <v>10962</v>
      </c>
      <c r="E61" s="412" t="s">
        <v>10992</v>
      </c>
      <c r="F61" s="912">
        <v>2.4878000000000001E-2</v>
      </c>
      <c r="G61" s="480">
        <v>2538.48</v>
      </c>
      <c r="H61" s="414">
        <v>487.2</v>
      </c>
      <c r="I61" s="413" t="s">
        <v>481</v>
      </c>
      <c r="J61" s="411">
        <v>1</v>
      </c>
      <c r="K61" s="411" t="s">
        <v>10994</v>
      </c>
      <c r="L61" s="482">
        <v>348</v>
      </c>
      <c r="M61" s="461" t="s">
        <v>2412</v>
      </c>
      <c r="N61" s="483">
        <v>67.071199999999919</v>
      </c>
      <c r="O61" s="483">
        <v>134.15399999999985</v>
      </c>
      <c r="P61" s="913" t="s">
        <v>2413</v>
      </c>
      <c r="Q61" s="484">
        <v>336.67840000000001</v>
      </c>
      <c r="R61" s="497"/>
    </row>
    <row r="62" spans="1:18" ht="15" customHeight="1">
      <c r="A62" s="233">
        <v>48</v>
      </c>
      <c r="B62" s="413" t="s">
        <v>10991</v>
      </c>
      <c r="C62" s="411">
        <f t="shared" si="2"/>
        <v>48</v>
      </c>
      <c r="D62" s="443" t="s">
        <v>10962</v>
      </c>
      <c r="E62" s="412" t="s">
        <v>10993</v>
      </c>
      <c r="F62" s="912">
        <v>2.3164000000000001E-2</v>
      </c>
      <c r="G62" s="480">
        <v>2538.48</v>
      </c>
      <c r="H62" s="414">
        <v>487.2</v>
      </c>
      <c r="I62" s="413" t="s">
        <v>481</v>
      </c>
      <c r="J62" s="411">
        <v>1</v>
      </c>
      <c r="K62" s="411" t="s">
        <v>10995</v>
      </c>
      <c r="L62" s="482">
        <v>348</v>
      </c>
      <c r="M62" s="461" t="s">
        <v>2412</v>
      </c>
      <c r="N62" s="483">
        <v>67.071199999999919</v>
      </c>
      <c r="O62" s="483">
        <v>134.15399999999985</v>
      </c>
      <c r="P62" s="913" t="s">
        <v>2413</v>
      </c>
      <c r="Q62" s="484">
        <v>336.67840000000001</v>
      </c>
      <c r="R62" s="497"/>
    </row>
    <row r="63" spans="1:18" ht="15" customHeight="1">
      <c r="A63" s="411">
        <v>49</v>
      </c>
      <c r="B63" s="413" t="s">
        <v>10953</v>
      </c>
      <c r="C63" s="411">
        <f t="shared" si="2"/>
        <v>49</v>
      </c>
      <c r="D63" s="443" t="s">
        <v>10962</v>
      </c>
      <c r="E63" s="412" t="s">
        <v>10966</v>
      </c>
      <c r="F63" s="912">
        <v>2.9753999999999999E-2</v>
      </c>
      <c r="G63" s="480">
        <v>2538.48</v>
      </c>
      <c r="H63" s="414">
        <v>487.2</v>
      </c>
      <c r="I63" s="413" t="s">
        <v>481</v>
      </c>
      <c r="J63" s="411">
        <v>1</v>
      </c>
      <c r="K63" s="411" t="s">
        <v>10979</v>
      </c>
      <c r="L63" s="482">
        <v>348</v>
      </c>
      <c r="M63" s="461" t="s">
        <v>2412</v>
      </c>
      <c r="N63" s="483">
        <v>67.071199999999919</v>
      </c>
      <c r="O63" s="483">
        <v>134.15399999999985</v>
      </c>
      <c r="P63" s="913" t="s">
        <v>2413</v>
      </c>
      <c r="Q63" s="484">
        <v>336.67840000000001</v>
      </c>
      <c r="R63" s="497"/>
    </row>
    <row r="64" spans="1:18" ht="15" customHeight="1">
      <c r="A64" s="411">
        <v>50</v>
      </c>
      <c r="B64" s="413" t="s">
        <v>10954</v>
      </c>
      <c r="C64" s="411">
        <f t="shared" si="2"/>
        <v>50</v>
      </c>
      <c r="D64" s="443" t="s">
        <v>10962</v>
      </c>
      <c r="E64" s="412" t="s">
        <v>10967</v>
      </c>
      <c r="F64" s="912">
        <v>2.7025E-2</v>
      </c>
      <c r="G64" s="480">
        <v>2538.48</v>
      </c>
      <c r="H64" s="414">
        <v>487.2</v>
      </c>
      <c r="I64" s="413" t="s">
        <v>481</v>
      </c>
      <c r="J64" s="411">
        <v>1</v>
      </c>
      <c r="K64" s="411" t="s">
        <v>10980</v>
      </c>
      <c r="L64" s="482">
        <v>348</v>
      </c>
      <c r="M64" s="461" t="s">
        <v>2412</v>
      </c>
      <c r="N64" s="483">
        <v>67.071199999999919</v>
      </c>
      <c r="O64" s="483">
        <v>134.15399999999985</v>
      </c>
      <c r="P64" s="913" t="s">
        <v>2413</v>
      </c>
      <c r="Q64" s="484">
        <v>336.67840000000001</v>
      </c>
      <c r="R64" s="497"/>
    </row>
    <row r="65" spans="1:18" ht="15" customHeight="1">
      <c r="A65" s="233">
        <v>51</v>
      </c>
      <c r="B65" s="413" t="s">
        <v>3317</v>
      </c>
      <c r="C65" s="411">
        <f t="shared" si="2"/>
        <v>51</v>
      </c>
      <c r="D65" s="443" t="s">
        <v>2115</v>
      </c>
      <c r="E65" s="412" t="s">
        <v>4175</v>
      </c>
      <c r="F65" s="912">
        <v>3.7359999999999997E-2</v>
      </c>
      <c r="G65" s="480">
        <v>2538.4744000000001</v>
      </c>
      <c r="H65" s="414">
        <v>487.2</v>
      </c>
      <c r="I65" s="413" t="s">
        <v>481</v>
      </c>
      <c r="J65" s="411">
        <v>1</v>
      </c>
      <c r="K65" s="411" t="s">
        <v>3320</v>
      </c>
      <c r="L65" s="482">
        <v>348</v>
      </c>
      <c r="M65" s="461" t="s">
        <v>2412</v>
      </c>
      <c r="N65" s="483">
        <v>67.071199999999919</v>
      </c>
      <c r="O65" s="483">
        <v>134.15400000000011</v>
      </c>
      <c r="P65" s="913" t="s">
        <v>2413</v>
      </c>
      <c r="Q65" s="484">
        <v>336.67839999999967</v>
      </c>
      <c r="R65" s="497"/>
    </row>
    <row r="66" spans="1:18" ht="15" customHeight="1">
      <c r="A66" s="411">
        <v>52</v>
      </c>
      <c r="B66" s="413" t="s">
        <v>5131</v>
      </c>
      <c r="C66" s="411">
        <f t="shared" si="2"/>
        <v>52</v>
      </c>
      <c r="D66" s="443" t="s">
        <v>2115</v>
      </c>
      <c r="E66" s="412" t="s">
        <v>5132</v>
      </c>
      <c r="F66" s="912">
        <v>3.7359999999999997E-2</v>
      </c>
      <c r="G66" s="480">
        <v>2538.4744000000001</v>
      </c>
      <c r="H66" s="414">
        <v>487.2</v>
      </c>
      <c r="I66" s="413" t="s">
        <v>481</v>
      </c>
      <c r="J66" s="411">
        <v>1</v>
      </c>
      <c r="K66" s="411" t="s">
        <v>5133</v>
      </c>
      <c r="L66" s="482">
        <v>348</v>
      </c>
      <c r="M66" s="461" t="s">
        <v>2412</v>
      </c>
      <c r="N66" s="483">
        <v>67.071199999999919</v>
      </c>
      <c r="O66" s="483">
        <v>134.15399999999985</v>
      </c>
      <c r="P66" s="913" t="s">
        <v>2413</v>
      </c>
      <c r="Q66" s="484">
        <v>336.67840000000001</v>
      </c>
      <c r="R66" s="497"/>
    </row>
    <row r="67" spans="1:18" ht="15" customHeight="1">
      <c r="A67" s="411">
        <v>53</v>
      </c>
      <c r="B67" s="413" t="s">
        <v>5134</v>
      </c>
      <c r="C67" s="411">
        <f t="shared" si="2"/>
        <v>53</v>
      </c>
      <c r="D67" s="443" t="s">
        <v>2115</v>
      </c>
      <c r="E67" s="412" t="s">
        <v>5135</v>
      </c>
      <c r="F67" s="912">
        <v>3.7359999999999997E-2</v>
      </c>
      <c r="G67" s="480">
        <v>2538.4744000000001</v>
      </c>
      <c r="H67" s="414">
        <v>487.2</v>
      </c>
      <c r="I67" s="413" t="s">
        <v>481</v>
      </c>
      <c r="J67" s="411">
        <v>1</v>
      </c>
      <c r="K67" s="411" t="s">
        <v>5136</v>
      </c>
      <c r="L67" s="482">
        <v>348</v>
      </c>
      <c r="M67" s="461" t="s">
        <v>2412</v>
      </c>
      <c r="N67" s="483">
        <v>67.071199999999919</v>
      </c>
      <c r="O67" s="483">
        <v>134.15399999999985</v>
      </c>
      <c r="P67" s="913" t="s">
        <v>2413</v>
      </c>
      <c r="Q67" s="484">
        <v>336.67840000000001</v>
      </c>
      <c r="R67" s="497"/>
    </row>
    <row r="68" spans="1:18" ht="15" customHeight="1">
      <c r="A68" s="233">
        <v>54</v>
      </c>
      <c r="B68" s="413" t="s">
        <v>3333</v>
      </c>
      <c r="C68" s="411">
        <f t="shared" si="2"/>
        <v>54</v>
      </c>
      <c r="D68" s="443" t="s">
        <v>2115</v>
      </c>
      <c r="E68" s="412" t="s">
        <v>4176</v>
      </c>
      <c r="F68" s="912">
        <v>3.7359999999999997E-2</v>
      </c>
      <c r="G68" s="480">
        <v>2538.4744000000001</v>
      </c>
      <c r="H68" s="414">
        <v>487.2</v>
      </c>
      <c r="I68" s="413" t="s">
        <v>481</v>
      </c>
      <c r="J68" s="411">
        <v>1</v>
      </c>
      <c r="K68" s="411" t="s">
        <v>3334</v>
      </c>
      <c r="L68" s="482">
        <v>348</v>
      </c>
      <c r="M68" s="461" t="s">
        <v>2412</v>
      </c>
      <c r="N68" s="483">
        <v>67.071199999999919</v>
      </c>
      <c r="O68" s="483">
        <v>134.15400000000011</v>
      </c>
      <c r="P68" s="913" t="s">
        <v>2413</v>
      </c>
      <c r="Q68" s="484">
        <v>336.67839999999967</v>
      </c>
      <c r="R68" s="497"/>
    </row>
    <row r="69" spans="1:18" ht="15" customHeight="1">
      <c r="A69" s="411">
        <v>55</v>
      </c>
      <c r="B69" s="413" t="s">
        <v>3234</v>
      </c>
      <c r="C69" s="411">
        <f t="shared" si="2"/>
        <v>55</v>
      </c>
      <c r="D69" s="443" t="s">
        <v>2115</v>
      </c>
      <c r="E69" s="412" t="s">
        <v>4177</v>
      </c>
      <c r="F69" s="912">
        <v>3.7359999999999997E-2</v>
      </c>
      <c r="G69" s="480">
        <v>2538.4744000000001</v>
      </c>
      <c r="H69" s="414">
        <v>487.2</v>
      </c>
      <c r="I69" s="413" t="s">
        <v>481</v>
      </c>
      <c r="J69" s="411">
        <v>1</v>
      </c>
      <c r="K69" s="411" t="s">
        <v>3284</v>
      </c>
      <c r="L69" s="482">
        <v>348</v>
      </c>
      <c r="M69" s="461" t="s">
        <v>2412</v>
      </c>
      <c r="N69" s="483">
        <v>67.071199999999919</v>
      </c>
      <c r="O69" s="483">
        <v>134.15400000000011</v>
      </c>
      <c r="P69" s="913" t="s">
        <v>2413</v>
      </c>
      <c r="Q69" s="484">
        <v>336.67839999999967</v>
      </c>
      <c r="R69" s="497"/>
    </row>
    <row r="70" spans="1:18" ht="15" customHeight="1">
      <c r="A70" s="411">
        <v>56</v>
      </c>
      <c r="B70" s="413" t="s">
        <v>3235</v>
      </c>
      <c r="C70" s="411">
        <f t="shared" si="2"/>
        <v>56</v>
      </c>
      <c r="D70" s="443" t="s">
        <v>2115</v>
      </c>
      <c r="E70" s="412" t="s">
        <v>4178</v>
      </c>
      <c r="F70" s="912">
        <v>3.7359999999999997E-2</v>
      </c>
      <c r="G70" s="480">
        <v>2538.4744000000001</v>
      </c>
      <c r="H70" s="414">
        <v>487.2</v>
      </c>
      <c r="I70" s="413" t="s">
        <v>481</v>
      </c>
      <c r="J70" s="411">
        <v>1</v>
      </c>
      <c r="K70" s="411" t="s">
        <v>3285</v>
      </c>
      <c r="L70" s="482">
        <v>348</v>
      </c>
      <c r="M70" s="461" t="s">
        <v>2412</v>
      </c>
      <c r="N70" s="483">
        <v>67.071199999999919</v>
      </c>
      <c r="O70" s="483">
        <v>134.15400000000011</v>
      </c>
      <c r="P70" s="913" t="s">
        <v>2413</v>
      </c>
      <c r="Q70" s="484">
        <v>336.67839999999967</v>
      </c>
      <c r="R70" s="497"/>
    </row>
    <row r="71" spans="1:18" ht="15" customHeight="1">
      <c r="A71" s="233">
        <v>57</v>
      </c>
      <c r="B71" s="413" t="s">
        <v>5612</v>
      </c>
      <c r="C71" s="411">
        <f t="shared" si="2"/>
        <v>57</v>
      </c>
      <c r="D71" s="443" t="s">
        <v>2115</v>
      </c>
      <c r="E71" s="412" t="s">
        <v>5660</v>
      </c>
      <c r="F71" s="912">
        <v>4.3381000000000003E-2</v>
      </c>
      <c r="G71" s="480">
        <v>2538.48</v>
      </c>
      <c r="H71" s="414">
        <v>487.2</v>
      </c>
      <c r="I71" s="413" t="s">
        <v>481</v>
      </c>
      <c r="J71" s="411">
        <v>1</v>
      </c>
      <c r="K71" s="411" t="s">
        <v>5708</v>
      </c>
      <c r="L71" s="482">
        <v>348</v>
      </c>
      <c r="M71" s="461" t="s">
        <v>2412</v>
      </c>
      <c r="N71" s="483">
        <v>67.071199999999919</v>
      </c>
      <c r="O71" s="483">
        <v>134.15399999999985</v>
      </c>
      <c r="P71" s="913" t="s">
        <v>2413</v>
      </c>
      <c r="Q71" s="484">
        <v>336.67840000000001</v>
      </c>
      <c r="R71" s="497"/>
    </row>
    <row r="72" spans="1:18" ht="15" customHeight="1">
      <c r="A72" s="411">
        <v>58</v>
      </c>
      <c r="B72" s="413" t="s">
        <v>4840</v>
      </c>
      <c r="C72" s="411">
        <f t="shared" si="2"/>
        <v>58</v>
      </c>
      <c r="D72" s="443" t="s">
        <v>2115</v>
      </c>
      <c r="E72" s="412" t="s">
        <v>4869</v>
      </c>
      <c r="F72" s="912">
        <v>4.1958000000000002E-2</v>
      </c>
      <c r="G72" s="480">
        <v>2538.48</v>
      </c>
      <c r="H72" s="414">
        <v>487.2</v>
      </c>
      <c r="I72" s="413" t="s">
        <v>481</v>
      </c>
      <c r="J72" s="411">
        <v>1</v>
      </c>
      <c r="K72" s="411" t="s">
        <v>4900</v>
      </c>
      <c r="L72" s="482">
        <v>348</v>
      </c>
      <c r="M72" s="461" t="s">
        <v>2412</v>
      </c>
      <c r="N72" s="483">
        <v>67.071199999999919</v>
      </c>
      <c r="O72" s="483">
        <v>134.15399999999985</v>
      </c>
      <c r="P72" s="913" t="s">
        <v>2413</v>
      </c>
      <c r="Q72" s="484">
        <v>336.67840000000001</v>
      </c>
      <c r="R72" s="497"/>
    </row>
    <row r="73" spans="1:18" ht="15" customHeight="1">
      <c r="A73" s="411">
        <v>59</v>
      </c>
      <c r="B73" s="413" t="s">
        <v>5137</v>
      </c>
      <c r="C73" s="411">
        <f t="shared" si="2"/>
        <v>59</v>
      </c>
      <c r="D73" s="443" t="s">
        <v>2115</v>
      </c>
      <c r="E73" s="412" t="s">
        <v>5138</v>
      </c>
      <c r="F73" s="912">
        <v>3.9858999999999999E-2</v>
      </c>
      <c r="G73" s="480">
        <v>2538.48</v>
      </c>
      <c r="H73" s="414">
        <v>487.2</v>
      </c>
      <c r="I73" s="413" t="s">
        <v>481</v>
      </c>
      <c r="J73" s="411">
        <v>1</v>
      </c>
      <c r="K73" s="411" t="s">
        <v>5139</v>
      </c>
      <c r="L73" s="482">
        <v>348</v>
      </c>
      <c r="M73" s="461" t="s">
        <v>2412</v>
      </c>
      <c r="N73" s="483">
        <v>67.071199999999919</v>
      </c>
      <c r="O73" s="483">
        <v>134.154</v>
      </c>
      <c r="P73" s="913" t="s">
        <v>2413</v>
      </c>
      <c r="Q73" s="484">
        <v>336.67840000000001</v>
      </c>
      <c r="R73" s="497"/>
    </row>
    <row r="74" spans="1:18" ht="15" customHeight="1">
      <c r="A74" s="233">
        <v>60</v>
      </c>
      <c r="B74" s="413" t="s">
        <v>3305</v>
      </c>
      <c r="C74" s="411">
        <f t="shared" si="2"/>
        <v>60</v>
      </c>
      <c r="D74" s="443" t="s">
        <v>2115</v>
      </c>
      <c r="E74" s="412" t="s">
        <v>4179</v>
      </c>
      <c r="F74" s="912">
        <v>3.7359999999999997E-2</v>
      </c>
      <c r="G74" s="480">
        <v>2538.4744000000001</v>
      </c>
      <c r="H74" s="414">
        <v>487.2</v>
      </c>
      <c r="I74" s="413" t="s">
        <v>481</v>
      </c>
      <c r="J74" s="411">
        <v>1</v>
      </c>
      <c r="K74" s="411" t="s">
        <v>3306</v>
      </c>
      <c r="L74" s="482">
        <v>348</v>
      </c>
      <c r="M74" s="461" t="s">
        <v>2412</v>
      </c>
      <c r="N74" s="483">
        <v>67.071199999999919</v>
      </c>
      <c r="O74" s="483">
        <v>134.15400000000011</v>
      </c>
      <c r="P74" s="913" t="s">
        <v>2413</v>
      </c>
      <c r="Q74" s="484">
        <v>336.67839999999967</v>
      </c>
      <c r="R74" s="497"/>
    </row>
    <row r="75" spans="1:18" ht="15" customHeight="1">
      <c r="A75" s="411">
        <v>61</v>
      </c>
      <c r="B75" s="413" t="s">
        <v>11030</v>
      </c>
      <c r="C75" s="411">
        <f t="shared" si="2"/>
        <v>61</v>
      </c>
      <c r="D75" s="443" t="s">
        <v>2115</v>
      </c>
      <c r="E75" s="412" t="s">
        <v>11044</v>
      </c>
      <c r="F75" s="912">
        <v>4.2571999999999999E-2</v>
      </c>
      <c r="G75" s="480">
        <v>2538.48</v>
      </c>
      <c r="H75" s="414">
        <v>487.2</v>
      </c>
      <c r="I75" s="413" t="s">
        <v>481</v>
      </c>
      <c r="J75" s="411">
        <v>1</v>
      </c>
      <c r="K75" s="411" t="s">
        <v>11055</v>
      </c>
      <c r="L75" s="482">
        <v>348</v>
      </c>
      <c r="M75" s="461" t="s">
        <v>2412</v>
      </c>
      <c r="N75" s="483">
        <v>67.071199999999919</v>
      </c>
      <c r="O75" s="483">
        <v>134.15399999999985</v>
      </c>
      <c r="P75" s="913" t="s">
        <v>2413</v>
      </c>
      <c r="Q75" s="484">
        <v>336.67840000000001</v>
      </c>
      <c r="R75" s="497"/>
    </row>
    <row r="76" spans="1:18" ht="15" customHeight="1">
      <c r="A76" s="411">
        <v>62</v>
      </c>
      <c r="B76" s="413" t="s">
        <v>4200</v>
      </c>
      <c r="C76" s="411">
        <f t="shared" si="2"/>
        <v>62</v>
      </c>
      <c r="D76" s="443" t="s">
        <v>2115</v>
      </c>
      <c r="E76" s="412" t="s">
        <v>4204</v>
      </c>
      <c r="F76" s="912">
        <v>3.7359999999999997E-2</v>
      </c>
      <c r="G76" s="480">
        <v>2538.4744000000001</v>
      </c>
      <c r="H76" s="414">
        <v>487.2</v>
      </c>
      <c r="I76" s="413" t="s">
        <v>481</v>
      </c>
      <c r="J76" s="411">
        <v>1</v>
      </c>
      <c r="K76" s="411" t="s">
        <v>4206</v>
      </c>
      <c r="L76" s="482">
        <v>348</v>
      </c>
      <c r="M76" s="461" t="s">
        <v>2412</v>
      </c>
      <c r="N76" s="483">
        <v>67.071199999999919</v>
      </c>
      <c r="O76" s="483">
        <v>134.15400000000011</v>
      </c>
      <c r="P76" s="913" t="s">
        <v>2413</v>
      </c>
      <c r="Q76" s="484">
        <v>336.67839999999967</v>
      </c>
      <c r="R76" s="497"/>
    </row>
    <row r="77" spans="1:18" ht="15" customHeight="1">
      <c r="A77" s="233">
        <v>63</v>
      </c>
      <c r="B77" s="413" t="s">
        <v>4069</v>
      </c>
      <c r="C77" s="411">
        <f t="shared" si="2"/>
        <v>63</v>
      </c>
      <c r="D77" s="443" t="s">
        <v>2115</v>
      </c>
      <c r="E77" s="412" t="s">
        <v>4180</v>
      </c>
      <c r="F77" s="912">
        <v>3.7359999999999997E-2</v>
      </c>
      <c r="G77" s="480">
        <v>2538.4744000000001</v>
      </c>
      <c r="H77" s="414">
        <v>487.2</v>
      </c>
      <c r="I77" s="413" t="s">
        <v>481</v>
      </c>
      <c r="J77" s="411">
        <v>1</v>
      </c>
      <c r="K77" s="411" t="s">
        <v>4070</v>
      </c>
      <c r="L77" s="482">
        <v>348</v>
      </c>
      <c r="M77" s="461" t="s">
        <v>2412</v>
      </c>
      <c r="N77" s="483">
        <v>67.071199999999919</v>
      </c>
      <c r="O77" s="483">
        <v>134.15400000000011</v>
      </c>
      <c r="P77" s="913" t="s">
        <v>2413</v>
      </c>
      <c r="Q77" s="484">
        <v>336.67839999999967</v>
      </c>
      <c r="R77" s="497"/>
    </row>
    <row r="78" spans="1:18" ht="15" customHeight="1">
      <c r="A78" s="411">
        <v>64</v>
      </c>
      <c r="B78" s="413" t="s">
        <v>4841</v>
      </c>
      <c r="C78" s="411">
        <f t="shared" si="2"/>
        <v>64</v>
      </c>
      <c r="D78" s="443" t="s">
        <v>2115</v>
      </c>
      <c r="E78" s="412" t="s">
        <v>4870</v>
      </c>
      <c r="F78" s="912">
        <v>3.7359999999999997E-2</v>
      </c>
      <c r="G78" s="480">
        <v>2538.4744000000001</v>
      </c>
      <c r="H78" s="414">
        <v>487.2</v>
      </c>
      <c r="I78" s="413" t="s">
        <v>481</v>
      </c>
      <c r="J78" s="411">
        <v>1</v>
      </c>
      <c r="K78" s="411" t="s">
        <v>4901</v>
      </c>
      <c r="L78" s="482">
        <v>348</v>
      </c>
      <c r="M78" s="461" t="s">
        <v>2412</v>
      </c>
      <c r="N78" s="483">
        <v>67.071199999999919</v>
      </c>
      <c r="O78" s="483">
        <v>134.15400000000011</v>
      </c>
      <c r="P78" s="913" t="s">
        <v>2413</v>
      </c>
      <c r="Q78" s="484">
        <v>336.67839999999967</v>
      </c>
      <c r="R78" s="497"/>
    </row>
    <row r="79" spans="1:18" ht="15" customHeight="1">
      <c r="A79" s="411">
        <v>65</v>
      </c>
      <c r="B79" s="413" t="s">
        <v>11031</v>
      </c>
      <c r="C79" s="411">
        <f t="shared" si="2"/>
        <v>65</v>
      </c>
      <c r="D79" s="443" t="s">
        <v>2115</v>
      </c>
      <c r="E79" s="412" t="s">
        <v>11045</v>
      </c>
      <c r="F79" s="912">
        <v>3.7359999999999997E-2</v>
      </c>
      <c r="G79" s="480">
        <v>2538.4744000000001</v>
      </c>
      <c r="H79" s="414">
        <v>487.2</v>
      </c>
      <c r="I79" s="413" t="s">
        <v>481</v>
      </c>
      <c r="J79" s="411">
        <v>1</v>
      </c>
      <c r="K79" s="411" t="s">
        <v>11056</v>
      </c>
      <c r="L79" s="482">
        <v>348</v>
      </c>
      <c r="M79" s="461" t="s">
        <v>2412</v>
      </c>
      <c r="N79" s="483">
        <v>67.071199999999919</v>
      </c>
      <c r="O79" s="483">
        <v>134.15400000000011</v>
      </c>
      <c r="P79" s="913" t="s">
        <v>2413</v>
      </c>
      <c r="Q79" s="484">
        <v>336.67840000000001</v>
      </c>
      <c r="R79" s="497"/>
    </row>
    <row r="80" spans="1:18" ht="15" customHeight="1">
      <c r="A80" s="233">
        <v>66</v>
      </c>
      <c r="B80" s="413" t="s">
        <v>4842</v>
      </c>
      <c r="C80" s="411">
        <f t="shared" ref="C80:C143" si="3">A80</f>
        <v>66</v>
      </c>
      <c r="D80" s="443" t="s">
        <v>2115</v>
      </c>
      <c r="E80" s="412" t="s">
        <v>4871</v>
      </c>
      <c r="F80" s="912">
        <v>3.6269999999999997E-2</v>
      </c>
      <c r="G80" s="480">
        <v>2538.48</v>
      </c>
      <c r="H80" s="414">
        <v>487.2</v>
      </c>
      <c r="I80" s="413" t="s">
        <v>481</v>
      </c>
      <c r="J80" s="411">
        <v>1</v>
      </c>
      <c r="K80" s="411" t="s">
        <v>4902</v>
      </c>
      <c r="L80" s="482">
        <v>348</v>
      </c>
      <c r="M80" s="461" t="s">
        <v>2412</v>
      </c>
      <c r="N80" s="483">
        <v>67.071199999999919</v>
      </c>
      <c r="O80" s="483">
        <v>134.15399999999985</v>
      </c>
      <c r="P80" s="913" t="s">
        <v>2413</v>
      </c>
      <c r="Q80" s="484">
        <v>336.67840000000001</v>
      </c>
      <c r="R80" s="497"/>
    </row>
    <row r="81" spans="1:18" ht="15" customHeight="1">
      <c r="A81" s="411">
        <v>67</v>
      </c>
      <c r="B81" s="413" t="s">
        <v>4843</v>
      </c>
      <c r="C81" s="411">
        <f t="shared" si="3"/>
        <v>67</v>
      </c>
      <c r="D81" s="443" t="s">
        <v>2115</v>
      </c>
      <c r="E81" s="412" t="s">
        <v>4872</v>
      </c>
      <c r="F81" s="912">
        <v>3.7359999999999997E-2</v>
      </c>
      <c r="G81" s="480">
        <v>2538.4744000000001</v>
      </c>
      <c r="H81" s="414">
        <v>487.2</v>
      </c>
      <c r="I81" s="413" t="s">
        <v>481</v>
      </c>
      <c r="J81" s="411">
        <v>1</v>
      </c>
      <c r="K81" s="411" t="s">
        <v>4903</v>
      </c>
      <c r="L81" s="482">
        <v>348</v>
      </c>
      <c r="M81" s="461" t="s">
        <v>2412</v>
      </c>
      <c r="N81" s="483">
        <v>67.071199999999919</v>
      </c>
      <c r="O81" s="483">
        <v>134.15399999999985</v>
      </c>
      <c r="P81" s="913" t="s">
        <v>2413</v>
      </c>
      <c r="Q81" s="484">
        <v>336.67840000000001</v>
      </c>
      <c r="R81" s="497"/>
    </row>
    <row r="82" spans="1:18" ht="15" customHeight="1">
      <c r="A82" s="411">
        <v>68</v>
      </c>
      <c r="B82" s="413" t="s">
        <v>4256</v>
      </c>
      <c r="C82" s="411">
        <f t="shared" si="3"/>
        <v>68</v>
      </c>
      <c r="D82" s="443" t="s">
        <v>2115</v>
      </c>
      <c r="E82" s="412" t="s">
        <v>4266</v>
      </c>
      <c r="F82" s="912">
        <v>3.7359999999999997E-2</v>
      </c>
      <c r="G82" s="480">
        <v>2538.4744000000001</v>
      </c>
      <c r="H82" s="414">
        <v>487.2</v>
      </c>
      <c r="I82" s="413" t="s">
        <v>481</v>
      </c>
      <c r="J82" s="411">
        <v>1</v>
      </c>
      <c r="K82" s="411" t="s">
        <v>4276</v>
      </c>
      <c r="L82" s="482">
        <v>348</v>
      </c>
      <c r="M82" s="461" t="s">
        <v>2412</v>
      </c>
      <c r="N82" s="483">
        <v>67.071199999999919</v>
      </c>
      <c r="O82" s="483">
        <v>134.15400000000011</v>
      </c>
      <c r="P82" s="913" t="s">
        <v>2413</v>
      </c>
      <c r="Q82" s="484">
        <v>336.67839999999967</v>
      </c>
      <c r="R82" s="497"/>
    </row>
    <row r="83" spans="1:18" ht="15" customHeight="1">
      <c r="A83" s="233">
        <v>69</v>
      </c>
      <c r="B83" s="413" t="s">
        <v>4117</v>
      </c>
      <c r="C83" s="411">
        <f t="shared" si="3"/>
        <v>69</v>
      </c>
      <c r="D83" s="443" t="s">
        <v>2115</v>
      </c>
      <c r="E83" s="412" t="s">
        <v>4181</v>
      </c>
      <c r="F83" s="912">
        <v>3.7359999999999997E-2</v>
      </c>
      <c r="G83" s="480">
        <v>2538.4744000000001</v>
      </c>
      <c r="H83" s="414">
        <v>487.2</v>
      </c>
      <c r="I83" s="413" t="s">
        <v>481</v>
      </c>
      <c r="J83" s="411">
        <v>1</v>
      </c>
      <c r="K83" s="411" t="s">
        <v>4118</v>
      </c>
      <c r="L83" s="482">
        <v>348</v>
      </c>
      <c r="M83" s="461" t="s">
        <v>2412</v>
      </c>
      <c r="N83" s="483">
        <v>67.071199999999919</v>
      </c>
      <c r="O83" s="483">
        <v>134.15400000000011</v>
      </c>
      <c r="P83" s="913" t="s">
        <v>2413</v>
      </c>
      <c r="Q83" s="484">
        <v>336.67839999999967</v>
      </c>
      <c r="R83" s="497"/>
    </row>
    <row r="84" spans="1:18" ht="15" customHeight="1">
      <c r="A84" s="411">
        <v>70</v>
      </c>
      <c r="B84" s="413" t="s">
        <v>2450</v>
      </c>
      <c r="C84" s="411">
        <f t="shared" si="3"/>
        <v>70</v>
      </c>
      <c r="D84" s="443" t="s">
        <v>2115</v>
      </c>
      <c r="E84" s="412" t="s">
        <v>2115</v>
      </c>
      <c r="F84" s="912">
        <v>3.7359999999999997E-2</v>
      </c>
      <c r="G84" s="480">
        <v>2538.4744000000001</v>
      </c>
      <c r="H84" s="414">
        <v>487.2</v>
      </c>
      <c r="I84" s="413" t="s">
        <v>481</v>
      </c>
      <c r="J84" s="411">
        <v>1</v>
      </c>
      <c r="K84" s="411" t="s">
        <v>527</v>
      </c>
      <c r="L84" s="482">
        <v>348</v>
      </c>
      <c r="M84" s="461" t="s">
        <v>2412</v>
      </c>
      <c r="N84" s="483">
        <v>67.071199999999919</v>
      </c>
      <c r="O84" s="483">
        <v>134.15400000000011</v>
      </c>
      <c r="P84" s="913" t="s">
        <v>2413</v>
      </c>
      <c r="Q84" s="484">
        <v>336.67839999999967</v>
      </c>
      <c r="R84" s="497"/>
    </row>
    <row r="85" spans="1:18" ht="15" customHeight="1">
      <c r="A85" s="411">
        <v>71</v>
      </c>
      <c r="B85" s="413" t="s">
        <v>4844</v>
      </c>
      <c r="C85" s="411">
        <f t="shared" si="3"/>
        <v>71</v>
      </c>
      <c r="D85" s="443" t="s">
        <v>2115</v>
      </c>
      <c r="E85" s="412" t="s">
        <v>4873</v>
      </c>
      <c r="F85" s="912">
        <v>4.2298000000000002E-2</v>
      </c>
      <c r="G85" s="480">
        <v>2538.48</v>
      </c>
      <c r="H85" s="414">
        <v>487.2</v>
      </c>
      <c r="I85" s="413" t="s">
        <v>481</v>
      </c>
      <c r="J85" s="411">
        <v>1</v>
      </c>
      <c r="K85" s="411" t="s">
        <v>4904</v>
      </c>
      <c r="L85" s="482">
        <v>348</v>
      </c>
      <c r="M85" s="461" t="s">
        <v>2412</v>
      </c>
      <c r="N85" s="483">
        <v>67.071199999999919</v>
      </c>
      <c r="O85" s="483">
        <v>134.15399999999985</v>
      </c>
      <c r="P85" s="913" t="s">
        <v>2413</v>
      </c>
      <c r="Q85" s="484">
        <v>336.67840000000001</v>
      </c>
      <c r="R85" s="497"/>
    </row>
    <row r="86" spans="1:18" ht="15" customHeight="1">
      <c r="A86" s="233">
        <v>72</v>
      </c>
      <c r="B86" s="413" t="s">
        <v>4845</v>
      </c>
      <c r="C86" s="411">
        <f t="shared" si="3"/>
        <v>72</v>
      </c>
      <c r="D86" s="443" t="s">
        <v>2115</v>
      </c>
      <c r="E86" s="412" t="s">
        <v>4874</v>
      </c>
      <c r="F86" s="912">
        <v>4.2298000000000002E-2</v>
      </c>
      <c r="G86" s="480">
        <v>2538.48</v>
      </c>
      <c r="H86" s="414">
        <v>487.2</v>
      </c>
      <c r="I86" s="413" t="s">
        <v>481</v>
      </c>
      <c r="J86" s="411">
        <v>1</v>
      </c>
      <c r="K86" s="411" t="s">
        <v>4905</v>
      </c>
      <c r="L86" s="482">
        <v>348</v>
      </c>
      <c r="M86" s="461" t="s">
        <v>2412</v>
      </c>
      <c r="N86" s="483">
        <v>67.071199999999919</v>
      </c>
      <c r="O86" s="483">
        <v>134.15399999999985</v>
      </c>
      <c r="P86" s="913" t="s">
        <v>2413</v>
      </c>
      <c r="Q86" s="484">
        <v>336.67840000000001</v>
      </c>
      <c r="R86" s="497"/>
    </row>
    <row r="87" spans="1:18" ht="15" customHeight="1">
      <c r="A87" s="411">
        <v>73</v>
      </c>
      <c r="B87" s="413" t="s">
        <v>11032</v>
      </c>
      <c r="C87" s="411">
        <f t="shared" si="3"/>
        <v>73</v>
      </c>
      <c r="D87" s="443" t="s">
        <v>2115</v>
      </c>
      <c r="E87" s="412" t="s">
        <v>11046</v>
      </c>
      <c r="F87" s="912">
        <v>3.7359999999999997E-2</v>
      </c>
      <c r="G87" s="480">
        <v>2538.4744000000001</v>
      </c>
      <c r="H87" s="414">
        <v>487.2</v>
      </c>
      <c r="I87" s="413" t="s">
        <v>481</v>
      </c>
      <c r="J87" s="411">
        <v>1</v>
      </c>
      <c r="K87" s="411" t="s">
        <v>11057</v>
      </c>
      <c r="L87" s="482">
        <v>348</v>
      </c>
      <c r="M87" s="461" t="s">
        <v>2412</v>
      </c>
      <c r="N87" s="483">
        <v>67.071199999999919</v>
      </c>
      <c r="O87" s="483">
        <v>134.15400000000011</v>
      </c>
      <c r="P87" s="913" t="s">
        <v>2413</v>
      </c>
      <c r="Q87" s="484">
        <v>336.67840000000001</v>
      </c>
      <c r="R87" s="497"/>
    </row>
    <row r="88" spans="1:18" ht="15" customHeight="1">
      <c r="A88" s="411">
        <v>74</v>
      </c>
      <c r="B88" s="413" t="s">
        <v>3335</v>
      </c>
      <c r="C88" s="411">
        <f t="shared" si="3"/>
        <v>74</v>
      </c>
      <c r="D88" s="443" t="s">
        <v>2115</v>
      </c>
      <c r="E88" s="412" t="s">
        <v>5661</v>
      </c>
      <c r="F88" s="912">
        <v>3.7359999999999997E-2</v>
      </c>
      <c r="G88" s="480">
        <v>2538.4744000000001</v>
      </c>
      <c r="H88" s="414">
        <v>487.2</v>
      </c>
      <c r="I88" s="413" t="s">
        <v>481</v>
      </c>
      <c r="J88" s="411">
        <v>1</v>
      </c>
      <c r="K88" s="411" t="s">
        <v>3338</v>
      </c>
      <c r="L88" s="482">
        <v>348</v>
      </c>
      <c r="M88" s="461" t="s">
        <v>2412</v>
      </c>
      <c r="N88" s="483">
        <v>67.071199999999919</v>
      </c>
      <c r="O88" s="483">
        <v>134.15400000000011</v>
      </c>
      <c r="P88" s="913" t="s">
        <v>2413</v>
      </c>
      <c r="Q88" s="484">
        <v>336.67839999999967</v>
      </c>
      <c r="R88" s="497"/>
    </row>
    <row r="89" spans="1:18" ht="15" customHeight="1">
      <c r="A89" s="233">
        <v>75</v>
      </c>
      <c r="B89" s="413" t="s">
        <v>4793</v>
      </c>
      <c r="C89" s="411">
        <f t="shared" si="3"/>
        <v>75</v>
      </c>
      <c r="D89" s="443" t="s">
        <v>2115</v>
      </c>
      <c r="E89" s="412" t="s">
        <v>4802</v>
      </c>
      <c r="F89" s="912">
        <v>3.7359999999999997E-2</v>
      </c>
      <c r="G89" s="480">
        <v>2538.4744000000001</v>
      </c>
      <c r="H89" s="414">
        <v>487.2</v>
      </c>
      <c r="I89" s="413" t="s">
        <v>481</v>
      </c>
      <c r="J89" s="411">
        <v>1</v>
      </c>
      <c r="K89" s="411" t="s">
        <v>4811</v>
      </c>
      <c r="L89" s="482">
        <v>348</v>
      </c>
      <c r="M89" s="461" t="s">
        <v>2412</v>
      </c>
      <c r="N89" s="483">
        <v>67.071199999999919</v>
      </c>
      <c r="O89" s="483">
        <v>134.15399999999983</v>
      </c>
      <c r="P89" s="913" t="s">
        <v>2413</v>
      </c>
      <c r="Q89" s="484">
        <v>336.67839999999967</v>
      </c>
      <c r="R89" s="497"/>
    </row>
    <row r="90" spans="1:18" ht="15" customHeight="1">
      <c r="A90" s="411">
        <v>76</v>
      </c>
      <c r="B90" s="413" t="s">
        <v>4846</v>
      </c>
      <c r="C90" s="411">
        <f t="shared" si="3"/>
        <v>76</v>
      </c>
      <c r="D90" s="443" t="s">
        <v>2115</v>
      </c>
      <c r="E90" s="412" t="s">
        <v>4875</v>
      </c>
      <c r="F90" s="912">
        <v>3.4352000000000001E-2</v>
      </c>
      <c r="G90" s="480">
        <v>2538.4744000000001</v>
      </c>
      <c r="H90" s="414">
        <v>487.2</v>
      </c>
      <c r="I90" s="413" t="s">
        <v>481</v>
      </c>
      <c r="J90" s="411">
        <v>1</v>
      </c>
      <c r="K90" s="411" t="s">
        <v>4906</v>
      </c>
      <c r="L90" s="482">
        <v>348</v>
      </c>
      <c r="M90" s="461" t="s">
        <v>2412</v>
      </c>
      <c r="N90" s="483">
        <v>67.071199999999919</v>
      </c>
      <c r="O90" s="483">
        <v>134.15399999999985</v>
      </c>
      <c r="P90" s="913" t="s">
        <v>2413</v>
      </c>
      <c r="Q90" s="484">
        <v>336.67840000000001</v>
      </c>
      <c r="R90" s="497"/>
    </row>
    <row r="91" spans="1:18" ht="15" customHeight="1">
      <c r="A91" s="411">
        <v>77</v>
      </c>
      <c r="B91" s="413" t="s">
        <v>3336</v>
      </c>
      <c r="C91" s="411">
        <f t="shared" si="3"/>
        <v>77</v>
      </c>
      <c r="D91" s="443" t="s">
        <v>2115</v>
      </c>
      <c r="E91" s="412" t="s">
        <v>3337</v>
      </c>
      <c r="F91" s="912">
        <v>3.7359999999999997E-2</v>
      </c>
      <c r="G91" s="480">
        <v>2538.4744000000001</v>
      </c>
      <c r="H91" s="414">
        <v>487.2</v>
      </c>
      <c r="I91" s="413" t="s">
        <v>481</v>
      </c>
      <c r="J91" s="411">
        <v>1</v>
      </c>
      <c r="K91" s="411" t="s">
        <v>3339</v>
      </c>
      <c r="L91" s="482">
        <v>348</v>
      </c>
      <c r="M91" s="461" t="s">
        <v>2412</v>
      </c>
      <c r="N91" s="483">
        <v>67.071199999999919</v>
      </c>
      <c r="O91" s="483">
        <v>134.15400000000011</v>
      </c>
      <c r="P91" s="913" t="s">
        <v>2413</v>
      </c>
      <c r="Q91" s="484">
        <v>336.67839999999967</v>
      </c>
      <c r="R91" s="497"/>
    </row>
    <row r="92" spans="1:18" ht="15" customHeight="1">
      <c r="A92" s="233">
        <v>78</v>
      </c>
      <c r="B92" s="413" t="s">
        <v>4847</v>
      </c>
      <c r="C92" s="411">
        <f t="shared" si="3"/>
        <v>78</v>
      </c>
      <c r="D92" s="443" t="s">
        <v>2115</v>
      </c>
      <c r="E92" s="412" t="s">
        <v>4876</v>
      </c>
      <c r="F92" s="912">
        <v>3.6269999999999997E-2</v>
      </c>
      <c r="G92" s="480">
        <v>2538.48</v>
      </c>
      <c r="H92" s="414">
        <v>487.2</v>
      </c>
      <c r="I92" s="413" t="s">
        <v>481</v>
      </c>
      <c r="J92" s="411">
        <v>1</v>
      </c>
      <c r="K92" s="411" t="s">
        <v>4907</v>
      </c>
      <c r="L92" s="482">
        <v>348</v>
      </c>
      <c r="M92" s="461" t="s">
        <v>2412</v>
      </c>
      <c r="N92" s="483">
        <v>67.071199999999919</v>
      </c>
      <c r="O92" s="483">
        <v>134.15399999999985</v>
      </c>
      <c r="P92" s="913" t="s">
        <v>2413</v>
      </c>
      <c r="Q92" s="484">
        <v>336.67840000000001</v>
      </c>
      <c r="R92" s="497"/>
    </row>
    <row r="93" spans="1:18" ht="15" customHeight="1">
      <c r="A93" s="411">
        <v>79</v>
      </c>
      <c r="B93" s="413" t="s">
        <v>3304</v>
      </c>
      <c r="C93" s="411">
        <f t="shared" si="3"/>
        <v>79</v>
      </c>
      <c r="D93" s="443" t="s">
        <v>2115</v>
      </c>
      <c r="E93" s="412" t="s">
        <v>2271</v>
      </c>
      <c r="F93" s="912">
        <v>4.2951699999999995E-2</v>
      </c>
      <c r="G93" s="480">
        <v>2538.48</v>
      </c>
      <c r="H93" s="414">
        <v>487.2</v>
      </c>
      <c r="I93" s="413" t="s">
        <v>481</v>
      </c>
      <c r="J93" s="411">
        <v>1</v>
      </c>
      <c r="K93" s="411" t="s">
        <v>528</v>
      </c>
      <c r="L93" s="482">
        <v>348</v>
      </c>
      <c r="M93" s="461" t="s">
        <v>2412</v>
      </c>
      <c r="N93" s="483">
        <v>67.071199999999919</v>
      </c>
      <c r="O93" s="483">
        <v>134.15400000000011</v>
      </c>
      <c r="P93" s="913" t="s">
        <v>2413</v>
      </c>
      <c r="Q93" s="484">
        <v>336.67839999999967</v>
      </c>
      <c r="R93" s="497"/>
    </row>
    <row r="94" spans="1:18" ht="15" customHeight="1">
      <c r="A94" s="411">
        <v>80</v>
      </c>
      <c r="B94" s="413" t="s">
        <v>2451</v>
      </c>
      <c r="C94" s="411">
        <f t="shared" si="3"/>
        <v>80</v>
      </c>
      <c r="D94" s="443" t="s">
        <v>2115</v>
      </c>
      <c r="E94" s="412" t="s">
        <v>2272</v>
      </c>
      <c r="F94" s="912">
        <v>3.7359999999999997E-2</v>
      </c>
      <c r="G94" s="480">
        <v>2538.4744000000001</v>
      </c>
      <c r="H94" s="414">
        <v>487.2</v>
      </c>
      <c r="I94" s="413" t="s">
        <v>481</v>
      </c>
      <c r="J94" s="411">
        <v>1</v>
      </c>
      <c r="K94" s="411" t="s">
        <v>529</v>
      </c>
      <c r="L94" s="482">
        <v>348</v>
      </c>
      <c r="M94" s="461" t="s">
        <v>2412</v>
      </c>
      <c r="N94" s="483">
        <v>67.071199999999919</v>
      </c>
      <c r="O94" s="483">
        <v>134.15400000000011</v>
      </c>
      <c r="P94" s="913" t="s">
        <v>2413</v>
      </c>
      <c r="Q94" s="484">
        <v>336.67839999999967</v>
      </c>
      <c r="R94" s="497"/>
    </row>
    <row r="95" spans="1:18" ht="15" customHeight="1">
      <c r="A95" s="233">
        <v>81</v>
      </c>
      <c r="B95" s="413" t="s">
        <v>2452</v>
      </c>
      <c r="C95" s="411">
        <f t="shared" si="3"/>
        <v>81</v>
      </c>
      <c r="D95" s="443" t="s">
        <v>2115</v>
      </c>
      <c r="E95" s="412" t="s">
        <v>2273</v>
      </c>
      <c r="F95" s="912">
        <v>3.7359999999999997E-2</v>
      </c>
      <c r="G95" s="480">
        <v>2538.4744000000001</v>
      </c>
      <c r="H95" s="414">
        <v>487.2</v>
      </c>
      <c r="I95" s="413" t="s">
        <v>481</v>
      </c>
      <c r="J95" s="411">
        <v>1</v>
      </c>
      <c r="K95" s="411" t="s">
        <v>530</v>
      </c>
      <c r="L95" s="482">
        <v>348</v>
      </c>
      <c r="M95" s="461" t="s">
        <v>2412</v>
      </c>
      <c r="N95" s="483">
        <v>67.071199999999919</v>
      </c>
      <c r="O95" s="483">
        <v>134.15400000000011</v>
      </c>
      <c r="P95" s="913" t="s">
        <v>2413</v>
      </c>
      <c r="Q95" s="484">
        <v>336.67839999999967</v>
      </c>
      <c r="R95" s="497"/>
    </row>
    <row r="96" spans="1:18" ht="15" customHeight="1">
      <c r="A96" s="411">
        <v>82</v>
      </c>
      <c r="B96" s="413" t="s">
        <v>4156</v>
      </c>
      <c r="C96" s="411">
        <f t="shared" si="3"/>
        <v>82</v>
      </c>
      <c r="D96" s="443" t="s">
        <v>2115</v>
      </c>
      <c r="E96" s="412" t="s">
        <v>4162</v>
      </c>
      <c r="F96" s="912">
        <v>3.7359999999999997E-2</v>
      </c>
      <c r="G96" s="480">
        <v>2538.4744000000001</v>
      </c>
      <c r="H96" s="414">
        <v>487.2</v>
      </c>
      <c r="I96" s="413" t="s">
        <v>481</v>
      </c>
      <c r="J96" s="411">
        <v>1</v>
      </c>
      <c r="K96" s="411" t="s">
        <v>4166</v>
      </c>
      <c r="L96" s="482">
        <v>348</v>
      </c>
      <c r="M96" s="461" t="s">
        <v>2412</v>
      </c>
      <c r="N96" s="483">
        <v>67.071199999999919</v>
      </c>
      <c r="O96" s="483">
        <v>134.15400000000011</v>
      </c>
      <c r="P96" s="913" t="s">
        <v>2413</v>
      </c>
      <c r="Q96" s="484">
        <v>336.67839999999967</v>
      </c>
      <c r="R96" s="497"/>
    </row>
    <row r="97" spans="1:18" ht="15" customHeight="1">
      <c r="A97" s="411">
        <v>83</v>
      </c>
      <c r="B97" s="413" t="s">
        <v>2453</v>
      </c>
      <c r="C97" s="411">
        <f t="shared" si="3"/>
        <v>83</v>
      </c>
      <c r="D97" s="443" t="s">
        <v>2115</v>
      </c>
      <c r="E97" s="412" t="s">
        <v>2274</v>
      </c>
      <c r="F97" s="912">
        <v>3.7359999999999997E-2</v>
      </c>
      <c r="G97" s="480">
        <v>2538.4744000000001</v>
      </c>
      <c r="H97" s="414">
        <v>487.2</v>
      </c>
      <c r="I97" s="413" t="s">
        <v>481</v>
      </c>
      <c r="J97" s="411">
        <v>1</v>
      </c>
      <c r="K97" s="411" t="s">
        <v>531</v>
      </c>
      <c r="L97" s="482">
        <v>348</v>
      </c>
      <c r="M97" s="461" t="s">
        <v>2412</v>
      </c>
      <c r="N97" s="483">
        <v>67.071199999999919</v>
      </c>
      <c r="O97" s="483">
        <v>134.15400000000011</v>
      </c>
      <c r="P97" s="913" t="s">
        <v>2413</v>
      </c>
      <c r="Q97" s="484">
        <v>336.67839999999967</v>
      </c>
      <c r="R97" s="497"/>
    </row>
    <row r="98" spans="1:18" ht="15" customHeight="1">
      <c r="A98" s="233">
        <v>84</v>
      </c>
      <c r="B98" s="413" t="s">
        <v>2454</v>
      </c>
      <c r="C98" s="411">
        <f t="shared" si="3"/>
        <v>84</v>
      </c>
      <c r="D98" s="443" t="s">
        <v>2115</v>
      </c>
      <c r="E98" s="412" t="s">
        <v>2275</v>
      </c>
      <c r="F98" s="912">
        <v>3.7359999999999997E-2</v>
      </c>
      <c r="G98" s="480">
        <v>2538.4744000000001</v>
      </c>
      <c r="H98" s="414">
        <v>487.2</v>
      </c>
      <c r="I98" s="413" t="s">
        <v>481</v>
      </c>
      <c r="J98" s="411">
        <v>1</v>
      </c>
      <c r="K98" s="411" t="s">
        <v>532</v>
      </c>
      <c r="L98" s="482">
        <v>348</v>
      </c>
      <c r="M98" s="461" t="s">
        <v>2412</v>
      </c>
      <c r="N98" s="483">
        <v>67.071199999999919</v>
      </c>
      <c r="O98" s="483">
        <v>134.15400000000011</v>
      </c>
      <c r="P98" s="913" t="s">
        <v>2413</v>
      </c>
      <c r="Q98" s="484">
        <v>336.67839999999967</v>
      </c>
      <c r="R98" s="497"/>
    </row>
    <row r="99" spans="1:18" ht="15" customHeight="1">
      <c r="A99" s="411">
        <v>85</v>
      </c>
      <c r="B99" s="413" t="s">
        <v>3236</v>
      </c>
      <c r="C99" s="411">
        <f t="shared" si="3"/>
        <v>85</v>
      </c>
      <c r="D99" s="443" t="s">
        <v>2115</v>
      </c>
      <c r="E99" s="412" t="s">
        <v>3262</v>
      </c>
      <c r="F99" s="912">
        <v>3.7359999999999997E-2</v>
      </c>
      <c r="G99" s="480">
        <v>2538.4744000000001</v>
      </c>
      <c r="H99" s="414">
        <v>487.2</v>
      </c>
      <c r="I99" s="413" t="s">
        <v>481</v>
      </c>
      <c r="J99" s="411">
        <v>1</v>
      </c>
      <c r="K99" s="411" t="s">
        <v>3286</v>
      </c>
      <c r="L99" s="482">
        <v>348</v>
      </c>
      <c r="M99" s="461" t="s">
        <v>2412</v>
      </c>
      <c r="N99" s="483">
        <v>67.071199999999919</v>
      </c>
      <c r="O99" s="483">
        <v>134.15400000000011</v>
      </c>
      <c r="P99" s="913" t="s">
        <v>2413</v>
      </c>
      <c r="Q99" s="484">
        <v>336.67839999999967</v>
      </c>
      <c r="R99" s="497"/>
    </row>
    <row r="100" spans="1:18" ht="15" customHeight="1">
      <c r="A100" s="411">
        <v>86</v>
      </c>
      <c r="B100" s="413" t="s">
        <v>2455</v>
      </c>
      <c r="C100" s="411">
        <f t="shared" si="3"/>
        <v>86</v>
      </c>
      <c r="D100" s="443" t="s">
        <v>2116</v>
      </c>
      <c r="E100" s="412" t="s">
        <v>4188</v>
      </c>
      <c r="F100" s="912">
        <v>4.8639700000000001E-2</v>
      </c>
      <c r="G100" s="480">
        <v>3463.0023344000001</v>
      </c>
      <c r="H100" s="414">
        <v>487.2</v>
      </c>
      <c r="I100" s="413" t="s">
        <v>533</v>
      </c>
      <c r="J100" s="411">
        <v>2</v>
      </c>
      <c r="K100" s="411" t="s">
        <v>534</v>
      </c>
      <c r="L100" s="482">
        <v>348</v>
      </c>
      <c r="M100" s="461" t="s">
        <v>2412</v>
      </c>
      <c r="N100" s="483">
        <v>121.62599999999989</v>
      </c>
      <c r="O100" s="483">
        <v>243.24040000000008</v>
      </c>
      <c r="P100" s="913" t="s">
        <v>2413</v>
      </c>
      <c r="Q100" s="484">
        <v>336.67839999999967</v>
      </c>
      <c r="R100" s="497"/>
    </row>
    <row r="101" spans="1:18" ht="15" customHeight="1">
      <c r="A101" s="233">
        <v>87</v>
      </c>
      <c r="B101" s="413" t="s">
        <v>2456</v>
      </c>
      <c r="C101" s="411">
        <f t="shared" si="3"/>
        <v>87</v>
      </c>
      <c r="D101" s="443" t="s">
        <v>2116</v>
      </c>
      <c r="E101" s="412" t="s">
        <v>2276</v>
      </c>
      <c r="F101" s="912">
        <v>4.5187099999999994E-2</v>
      </c>
      <c r="G101" s="480">
        <v>2538.48</v>
      </c>
      <c r="H101" s="414">
        <v>487.2</v>
      </c>
      <c r="I101" s="413" t="s">
        <v>481</v>
      </c>
      <c r="J101" s="411">
        <v>1</v>
      </c>
      <c r="K101" s="411" t="s">
        <v>535</v>
      </c>
      <c r="L101" s="482">
        <v>348</v>
      </c>
      <c r="M101" s="461" t="s">
        <v>2412</v>
      </c>
      <c r="N101" s="483">
        <v>67.071199999999919</v>
      </c>
      <c r="O101" s="483">
        <v>134.15400000000011</v>
      </c>
      <c r="P101" s="913" t="s">
        <v>2413</v>
      </c>
      <c r="Q101" s="484">
        <v>336.67839999999967</v>
      </c>
      <c r="R101" s="497"/>
    </row>
    <row r="102" spans="1:18" ht="15" customHeight="1">
      <c r="A102" s="411">
        <v>88</v>
      </c>
      <c r="B102" s="413" t="s">
        <v>2457</v>
      </c>
      <c r="C102" s="411">
        <f t="shared" si="3"/>
        <v>88</v>
      </c>
      <c r="D102" s="443" t="s">
        <v>2116</v>
      </c>
      <c r="E102" s="412" t="s">
        <v>4187</v>
      </c>
      <c r="F102" s="912">
        <v>4.8639700000000001E-2</v>
      </c>
      <c r="G102" s="480">
        <v>3463.0023344000001</v>
      </c>
      <c r="H102" s="414">
        <v>487.2</v>
      </c>
      <c r="I102" s="413" t="s">
        <v>533</v>
      </c>
      <c r="J102" s="411">
        <v>2</v>
      </c>
      <c r="K102" s="411" t="s">
        <v>536</v>
      </c>
      <c r="L102" s="482">
        <v>348</v>
      </c>
      <c r="M102" s="461" t="s">
        <v>2412</v>
      </c>
      <c r="N102" s="483">
        <v>121.62599999999989</v>
      </c>
      <c r="O102" s="483">
        <v>243.24040000000008</v>
      </c>
      <c r="P102" s="913" t="s">
        <v>2413</v>
      </c>
      <c r="Q102" s="484">
        <v>336.67839999999967</v>
      </c>
      <c r="R102" s="497"/>
    </row>
    <row r="103" spans="1:18" ht="15" customHeight="1">
      <c r="A103" s="411">
        <v>89</v>
      </c>
      <c r="B103" s="413" t="s">
        <v>2458</v>
      </c>
      <c r="C103" s="411">
        <f t="shared" si="3"/>
        <v>89</v>
      </c>
      <c r="D103" s="443" t="s">
        <v>2116</v>
      </c>
      <c r="E103" s="412" t="s">
        <v>4186</v>
      </c>
      <c r="F103" s="912">
        <v>4.8639700000000001E-2</v>
      </c>
      <c r="G103" s="480">
        <v>3463.0023344000001</v>
      </c>
      <c r="H103" s="414">
        <v>487.2</v>
      </c>
      <c r="I103" s="413" t="s">
        <v>533</v>
      </c>
      <c r="J103" s="411">
        <v>2</v>
      </c>
      <c r="K103" s="411" t="s">
        <v>537</v>
      </c>
      <c r="L103" s="482">
        <v>348</v>
      </c>
      <c r="M103" s="461" t="s">
        <v>2412</v>
      </c>
      <c r="N103" s="483">
        <v>121.62599999999989</v>
      </c>
      <c r="O103" s="483">
        <v>243.24040000000008</v>
      </c>
      <c r="P103" s="913" t="s">
        <v>2413</v>
      </c>
      <c r="Q103" s="484">
        <v>336.67839999999967</v>
      </c>
      <c r="R103" s="497"/>
    </row>
    <row r="104" spans="1:18" ht="15" customHeight="1">
      <c r="A104" s="233">
        <v>90</v>
      </c>
      <c r="B104" s="413" t="s">
        <v>2459</v>
      </c>
      <c r="C104" s="411">
        <f t="shared" si="3"/>
        <v>90</v>
      </c>
      <c r="D104" s="443" t="s">
        <v>2116</v>
      </c>
      <c r="E104" s="412" t="s">
        <v>4185</v>
      </c>
      <c r="F104" s="912">
        <v>4.8639700000000001E-2</v>
      </c>
      <c r="G104" s="480">
        <v>3463.0023344000001</v>
      </c>
      <c r="H104" s="414">
        <v>487.2</v>
      </c>
      <c r="I104" s="413" t="s">
        <v>533</v>
      </c>
      <c r="J104" s="411">
        <v>2</v>
      </c>
      <c r="K104" s="411" t="s">
        <v>538</v>
      </c>
      <c r="L104" s="482">
        <v>348</v>
      </c>
      <c r="M104" s="461" t="s">
        <v>2412</v>
      </c>
      <c r="N104" s="483">
        <v>121.62599999999989</v>
      </c>
      <c r="O104" s="483">
        <v>243.24040000000008</v>
      </c>
      <c r="P104" s="913" t="s">
        <v>2413</v>
      </c>
      <c r="Q104" s="484">
        <v>336.67839999999967</v>
      </c>
      <c r="R104" s="497"/>
    </row>
    <row r="105" spans="1:18" ht="15" customHeight="1">
      <c r="A105" s="411">
        <v>91</v>
      </c>
      <c r="B105" s="413" t="s">
        <v>2460</v>
      </c>
      <c r="C105" s="411">
        <f t="shared" si="3"/>
        <v>91</v>
      </c>
      <c r="D105" s="443" t="s">
        <v>2116</v>
      </c>
      <c r="E105" s="412" t="s">
        <v>4184</v>
      </c>
      <c r="F105" s="912">
        <v>4.8639700000000001E-2</v>
      </c>
      <c r="G105" s="480">
        <v>3463.0023344000001</v>
      </c>
      <c r="H105" s="414">
        <v>487.2</v>
      </c>
      <c r="I105" s="413" t="s">
        <v>533</v>
      </c>
      <c r="J105" s="411">
        <v>2</v>
      </c>
      <c r="K105" s="411" t="s">
        <v>539</v>
      </c>
      <c r="L105" s="482">
        <v>348</v>
      </c>
      <c r="M105" s="461" t="s">
        <v>2412</v>
      </c>
      <c r="N105" s="483">
        <v>121.62599999999989</v>
      </c>
      <c r="O105" s="483">
        <v>243.24040000000008</v>
      </c>
      <c r="P105" s="913" t="s">
        <v>2413</v>
      </c>
      <c r="Q105" s="484">
        <v>336.67839999999967</v>
      </c>
      <c r="R105" s="497"/>
    </row>
    <row r="106" spans="1:18" ht="15" customHeight="1">
      <c r="A106" s="411">
        <v>92</v>
      </c>
      <c r="B106" s="413" t="s">
        <v>2461</v>
      </c>
      <c r="C106" s="411">
        <f t="shared" si="3"/>
        <v>92</v>
      </c>
      <c r="D106" s="443" t="s">
        <v>2116</v>
      </c>
      <c r="E106" s="412" t="s">
        <v>4183</v>
      </c>
      <c r="F106" s="912">
        <v>4.8639700000000001E-2</v>
      </c>
      <c r="G106" s="480">
        <v>3463.0023344000001</v>
      </c>
      <c r="H106" s="414">
        <v>487.2</v>
      </c>
      <c r="I106" s="413" t="s">
        <v>533</v>
      </c>
      <c r="J106" s="411">
        <v>2</v>
      </c>
      <c r="K106" s="411" t="s">
        <v>540</v>
      </c>
      <c r="L106" s="482">
        <v>348</v>
      </c>
      <c r="M106" s="461" t="s">
        <v>2412</v>
      </c>
      <c r="N106" s="483">
        <v>121.62599999999989</v>
      </c>
      <c r="O106" s="483">
        <v>243.24040000000008</v>
      </c>
      <c r="P106" s="913" t="s">
        <v>2413</v>
      </c>
      <c r="Q106" s="484">
        <v>336.67839999999967</v>
      </c>
      <c r="R106" s="497"/>
    </row>
    <row r="107" spans="1:18" ht="15" customHeight="1">
      <c r="A107" s="233">
        <v>93</v>
      </c>
      <c r="B107" s="413" t="s">
        <v>4848</v>
      </c>
      <c r="C107" s="411">
        <f t="shared" si="3"/>
        <v>93</v>
      </c>
      <c r="D107" s="443" t="s">
        <v>2116</v>
      </c>
      <c r="E107" s="412" t="s">
        <v>4877</v>
      </c>
      <c r="F107" s="912">
        <v>4.8640000000000003E-2</v>
      </c>
      <c r="G107" s="480">
        <v>3463</v>
      </c>
      <c r="H107" s="414">
        <v>487.2</v>
      </c>
      <c r="I107" s="413" t="s">
        <v>533</v>
      </c>
      <c r="J107" s="411">
        <v>2</v>
      </c>
      <c r="K107" s="411" t="s">
        <v>4908</v>
      </c>
      <c r="L107" s="482">
        <v>348</v>
      </c>
      <c r="M107" s="461" t="s">
        <v>2412</v>
      </c>
      <c r="N107" s="483">
        <v>121.62599999999989</v>
      </c>
      <c r="O107" s="483">
        <v>243.24040000000008</v>
      </c>
      <c r="P107" s="913" t="s">
        <v>2413</v>
      </c>
      <c r="Q107" s="484">
        <v>336.67839999999967</v>
      </c>
      <c r="R107" s="497"/>
    </row>
    <row r="108" spans="1:18" ht="15" customHeight="1">
      <c r="A108" s="411">
        <v>94</v>
      </c>
      <c r="B108" s="413" t="s">
        <v>4119</v>
      </c>
      <c r="C108" s="411">
        <f t="shared" si="3"/>
        <v>94</v>
      </c>
      <c r="D108" s="443" t="s">
        <v>2116</v>
      </c>
      <c r="E108" s="412" t="s">
        <v>4182</v>
      </c>
      <c r="F108" s="912">
        <v>3.1363000000000002E-2</v>
      </c>
      <c r="G108" s="480">
        <v>7453.37</v>
      </c>
      <c r="H108" s="414">
        <v>487.2</v>
      </c>
      <c r="I108" s="413" t="s">
        <v>3620</v>
      </c>
      <c r="J108" s="411">
        <v>3</v>
      </c>
      <c r="K108" s="411" t="s">
        <v>4120</v>
      </c>
      <c r="L108" s="482">
        <v>348</v>
      </c>
      <c r="M108" s="461" t="s">
        <v>2412</v>
      </c>
      <c r="N108" s="483">
        <v>298.14</v>
      </c>
      <c r="O108" s="483">
        <v>596.29</v>
      </c>
      <c r="P108" s="913" t="s">
        <v>2413</v>
      </c>
      <c r="Q108" s="484">
        <v>0</v>
      </c>
      <c r="R108" s="497"/>
    </row>
    <row r="109" spans="1:18" ht="15" customHeight="1">
      <c r="A109" s="411">
        <v>95</v>
      </c>
      <c r="B109" s="413" t="s">
        <v>4794</v>
      </c>
      <c r="C109" s="411">
        <f t="shared" si="3"/>
        <v>95</v>
      </c>
      <c r="D109" s="443" t="s">
        <v>2116</v>
      </c>
      <c r="E109" s="412" t="s">
        <v>4803</v>
      </c>
      <c r="F109" s="912">
        <v>2.8934000000000001E-2</v>
      </c>
      <c r="G109" s="480">
        <v>8154.31</v>
      </c>
      <c r="H109" s="414">
        <v>487.2</v>
      </c>
      <c r="I109" s="413" t="s">
        <v>3620</v>
      </c>
      <c r="J109" s="411">
        <v>3</v>
      </c>
      <c r="K109" s="411" t="s">
        <v>4812</v>
      </c>
      <c r="L109" s="482">
        <v>348</v>
      </c>
      <c r="M109" s="461" t="s">
        <v>2412</v>
      </c>
      <c r="N109" s="483">
        <v>284.72500000000036</v>
      </c>
      <c r="O109" s="483">
        <v>569.44999999999982</v>
      </c>
      <c r="P109" s="913" t="s">
        <v>2413</v>
      </c>
      <c r="Q109" s="484">
        <v>0</v>
      </c>
      <c r="R109" s="497"/>
    </row>
    <row r="110" spans="1:18" ht="15" customHeight="1">
      <c r="A110" s="233">
        <v>96</v>
      </c>
      <c r="B110" s="413" t="s">
        <v>2462</v>
      </c>
      <c r="C110" s="411">
        <f t="shared" si="3"/>
        <v>96</v>
      </c>
      <c r="D110" s="443" t="s">
        <v>2183</v>
      </c>
      <c r="E110" s="412" t="s">
        <v>4189</v>
      </c>
      <c r="F110" s="912">
        <v>4.1140000000000003E-2</v>
      </c>
      <c r="G110" s="480">
        <v>2538.4744000000001</v>
      </c>
      <c r="H110" s="414">
        <v>487.2</v>
      </c>
      <c r="I110" s="413" t="s">
        <v>481</v>
      </c>
      <c r="J110" s="411">
        <v>1</v>
      </c>
      <c r="K110" s="411" t="s">
        <v>541</v>
      </c>
      <c r="L110" s="482">
        <v>348</v>
      </c>
      <c r="M110" s="461" t="s">
        <v>2412</v>
      </c>
      <c r="N110" s="483">
        <v>67.071199999999919</v>
      </c>
      <c r="O110" s="483">
        <v>134.15400000000011</v>
      </c>
      <c r="P110" s="913" t="s">
        <v>2413</v>
      </c>
      <c r="Q110" s="484">
        <v>336.67839999999967</v>
      </c>
      <c r="R110" s="497"/>
    </row>
    <row r="111" spans="1:18" ht="15" customHeight="1">
      <c r="A111" s="411">
        <v>97</v>
      </c>
      <c r="B111" s="413" t="s">
        <v>2463</v>
      </c>
      <c r="C111" s="411">
        <f t="shared" si="3"/>
        <v>97</v>
      </c>
      <c r="D111" s="443" t="s">
        <v>2183</v>
      </c>
      <c r="E111" s="412" t="s">
        <v>2277</v>
      </c>
      <c r="F111" s="912">
        <v>4.3338299999999996E-2</v>
      </c>
      <c r="G111" s="480">
        <v>2538.48</v>
      </c>
      <c r="H111" s="414">
        <v>487.2</v>
      </c>
      <c r="I111" s="413" t="s">
        <v>481</v>
      </c>
      <c r="J111" s="411">
        <v>1</v>
      </c>
      <c r="K111" s="411" t="s">
        <v>542</v>
      </c>
      <c r="L111" s="482">
        <v>348</v>
      </c>
      <c r="M111" s="461" t="s">
        <v>2412</v>
      </c>
      <c r="N111" s="483">
        <v>67.071199999999919</v>
      </c>
      <c r="O111" s="483">
        <v>134.15400000000011</v>
      </c>
      <c r="P111" s="913" t="s">
        <v>2413</v>
      </c>
      <c r="Q111" s="484">
        <v>336.67839999999967</v>
      </c>
      <c r="R111" s="497"/>
    </row>
    <row r="112" spans="1:18" ht="15" customHeight="1">
      <c r="A112" s="411">
        <v>98</v>
      </c>
      <c r="B112" s="413" t="s">
        <v>2464</v>
      </c>
      <c r="C112" s="411">
        <f t="shared" si="3"/>
        <v>98</v>
      </c>
      <c r="D112" s="443" t="s">
        <v>2183</v>
      </c>
      <c r="E112" s="412" t="s">
        <v>2278</v>
      </c>
      <c r="F112" s="912">
        <v>3.8203100000000004E-2</v>
      </c>
      <c r="G112" s="480">
        <v>2538.48</v>
      </c>
      <c r="H112" s="414">
        <v>487.2</v>
      </c>
      <c r="I112" s="413" t="s">
        <v>481</v>
      </c>
      <c r="J112" s="411">
        <v>1</v>
      </c>
      <c r="K112" s="411" t="s">
        <v>543</v>
      </c>
      <c r="L112" s="482">
        <v>348</v>
      </c>
      <c r="M112" s="461" t="s">
        <v>2412</v>
      </c>
      <c r="N112" s="483">
        <v>67.071199999999919</v>
      </c>
      <c r="O112" s="483">
        <v>134.15400000000011</v>
      </c>
      <c r="P112" s="913" t="s">
        <v>2413</v>
      </c>
      <c r="Q112" s="484">
        <v>336.67839999999967</v>
      </c>
      <c r="R112" s="497"/>
    </row>
    <row r="113" spans="1:18" ht="15" customHeight="1">
      <c r="A113" s="233">
        <v>99</v>
      </c>
      <c r="B113" s="413" t="s">
        <v>3340</v>
      </c>
      <c r="C113" s="411">
        <f t="shared" si="3"/>
        <v>99</v>
      </c>
      <c r="D113" s="443" t="s">
        <v>2183</v>
      </c>
      <c r="E113" s="412" t="s">
        <v>3341</v>
      </c>
      <c r="F113" s="912">
        <v>4.3338299999999996E-2</v>
      </c>
      <c r="G113" s="480">
        <v>2538.48</v>
      </c>
      <c r="H113" s="414">
        <v>487.2</v>
      </c>
      <c r="I113" s="413" t="s">
        <v>481</v>
      </c>
      <c r="J113" s="411">
        <v>1</v>
      </c>
      <c r="K113" s="411" t="s">
        <v>3342</v>
      </c>
      <c r="L113" s="482">
        <v>348</v>
      </c>
      <c r="M113" s="461" t="s">
        <v>2412</v>
      </c>
      <c r="N113" s="483">
        <v>67.071199999999919</v>
      </c>
      <c r="O113" s="483">
        <v>134.15400000000011</v>
      </c>
      <c r="P113" s="913" t="s">
        <v>2413</v>
      </c>
      <c r="Q113" s="484">
        <v>336.67839999999967</v>
      </c>
      <c r="R113" s="497"/>
    </row>
    <row r="114" spans="1:18" ht="15" customHeight="1">
      <c r="A114" s="411">
        <v>100</v>
      </c>
      <c r="B114" s="413" t="s">
        <v>2465</v>
      </c>
      <c r="C114" s="411">
        <f t="shared" si="3"/>
        <v>100</v>
      </c>
      <c r="D114" s="443" t="s">
        <v>2183</v>
      </c>
      <c r="E114" s="412" t="s">
        <v>2279</v>
      </c>
      <c r="F114" s="912">
        <v>5.6520400000000005E-2</v>
      </c>
      <c r="G114" s="480">
        <v>2538.48</v>
      </c>
      <c r="H114" s="414">
        <v>487.2</v>
      </c>
      <c r="I114" s="413" t="s">
        <v>481</v>
      </c>
      <c r="J114" s="411">
        <v>1</v>
      </c>
      <c r="K114" s="411" t="s">
        <v>544</v>
      </c>
      <c r="L114" s="482">
        <v>348</v>
      </c>
      <c r="M114" s="461" t="s">
        <v>2412</v>
      </c>
      <c r="N114" s="483">
        <v>67.071199999999919</v>
      </c>
      <c r="O114" s="483">
        <v>134.15400000000011</v>
      </c>
      <c r="P114" s="913" t="s">
        <v>2413</v>
      </c>
      <c r="Q114" s="484">
        <v>336.67839999999967</v>
      </c>
      <c r="R114" s="497"/>
    </row>
    <row r="115" spans="1:18" ht="15" customHeight="1">
      <c r="A115" s="411">
        <v>101</v>
      </c>
      <c r="B115" s="413" t="s">
        <v>2466</v>
      </c>
      <c r="C115" s="411">
        <f t="shared" si="3"/>
        <v>101</v>
      </c>
      <c r="D115" s="443" t="s">
        <v>2183</v>
      </c>
      <c r="E115" s="412" t="s">
        <v>2280</v>
      </c>
      <c r="F115" s="912">
        <v>5.5810800000000001E-2</v>
      </c>
      <c r="G115" s="480">
        <v>2538.48</v>
      </c>
      <c r="H115" s="414">
        <v>487.2</v>
      </c>
      <c r="I115" s="413" t="s">
        <v>481</v>
      </c>
      <c r="J115" s="411">
        <v>1</v>
      </c>
      <c r="K115" s="411" t="s">
        <v>545</v>
      </c>
      <c r="L115" s="482">
        <v>348</v>
      </c>
      <c r="M115" s="461" t="s">
        <v>2412</v>
      </c>
      <c r="N115" s="483">
        <v>67.071199999999919</v>
      </c>
      <c r="O115" s="483">
        <v>134.15400000000011</v>
      </c>
      <c r="P115" s="913" t="s">
        <v>2413</v>
      </c>
      <c r="Q115" s="484">
        <v>336.67839999999967</v>
      </c>
      <c r="R115" s="497"/>
    </row>
    <row r="116" spans="1:18" ht="15" customHeight="1">
      <c r="A116" s="233">
        <v>102</v>
      </c>
      <c r="B116" s="413" t="s">
        <v>2467</v>
      </c>
      <c r="C116" s="411">
        <f t="shared" si="3"/>
        <v>102</v>
      </c>
      <c r="D116" s="443" t="s">
        <v>2183</v>
      </c>
      <c r="E116" s="412" t="s">
        <v>2281</v>
      </c>
      <c r="F116" s="912">
        <v>7.0919700000000002E-2</v>
      </c>
      <c r="G116" s="480">
        <v>2538.48</v>
      </c>
      <c r="H116" s="414">
        <v>487.2</v>
      </c>
      <c r="I116" s="413" t="s">
        <v>481</v>
      </c>
      <c r="J116" s="411">
        <v>1</v>
      </c>
      <c r="K116" s="411" t="s">
        <v>546</v>
      </c>
      <c r="L116" s="482">
        <v>348</v>
      </c>
      <c r="M116" s="461" t="s">
        <v>2412</v>
      </c>
      <c r="N116" s="483">
        <v>67.071199999999919</v>
      </c>
      <c r="O116" s="483">
        <v>134.15400000000011</v>
      </c>
      <c r="P116" s="913" t="s">
        <v>2413</v>
      </c>
      <c r="Q116" s="484">
        <v>336.67839999999967</v>
      </c>
      <c r="R116" s="497"/>
    </row>
    <row r="117" spans="1:18" ht="15" customHeight="1">
      <c r="A117" s="411">
        <v>103</v>
      </c>
      <c r="B117" s="413" t="s">
        <v>2468</v>
      </c>
      <c r="C117" s="411">
        <f t="shared" si="3"/>
        <v>103</v>
      </c>
      <c r="D117" s="443" t="s">
        <v>2183</v>
      </c>
      <c r="E117" s="412" t="s">
        <v>2282</v>
      </c>
      <c r="F117" s="912">
        <v>3.8863599999999998E-2</v>
      </c>
      <c r="G117" s="480">
        <v>2538.48</v>
      </c>
      <c r="H117" s="414">
        <v>487.2</v>
      </c>
      <c r="I117" s="413" t="s">
        <v>481</v>
      </c>
      <c r="J117" s="411">
        <v>1</v>
      </c>
      <c r="K117" s="411" t="s">
        <v>547</v>
      </c>
      <c r="L117" s="482">
        <v>348</v>
      </c>
      <c r="M117" s="461" t="s">
        <v>2412</v>
      </c>
      <c r="N117" s="483">
        <v>67.071199999999919</v>
      </c>
      <c r="O117" s="483">
        <v>134.15400000000011</v>
      </c>
      <c r="P117" s="913" t="s">
        <v>2413</v>
      </c>
      <c r="Q117" s="484">
        <v>336.67839999999967</v>
      </c>
      <c r="R117" s="497"/>
    </row>
    <row r="118" spans="1:18" ht="15" customHeight="1">
      <c r="A118" s="411">
        <v>104</v>
      </c>
      <c r="B118" s="413" t="s">
        <v>2469</v>
      </c>
      <c r="C118" s="411">
        <f t="shared" si="3"/>
        <v>104</v>
      </c>
      <c r="D118" s="443" t="s">
        <v>2183</v>
      </c>
      <c r="E118" s="412" t="s">
        <v>2283</v>
      </c>
      <c r="F118" s="912">
        <v>4.9821200000000003E-2</v>
      </c>
      <c r="G118" s="480">
        <v>2538.48</v>
      </c>
      <c r="H118" s="414">
        <v>487.2</v>
      </c>
      <c r="I118" s="413" t="s">
        <v>481</v>
      </c>
      <c r="J118" s="411">
        <v>1</v>
      </c>
      <c r="K118" s="411" t="s">
        <v>548</v>
      </c>
      <c r="L118" s="482">
        <v>348</v>
      </c>
      <c r="M118" s="461" t="s">
        <v>2412</v>
      </c>
      <c r="N118" s="483">
        <v>67.071199999999919</v>
      </c>
      <c r="O118" s="483">
        <v>134.15400000000011</v>
      </c>
      <c r="P118" s="913" t="s">
        <v>2413</v>
      </c>
      <c r="Q118" s="484">
        <v>336.67839999999967</v>
      </c>
      <c r="R118" s="497"/>
    </row>
    <row r="119" spans="1:18" ht="15" customHeight="1">
      <c r="A119" s="233">
        <v>105</v>
      </c>
      <c r="B119" s="413" t="s">
        <v>2470</v>
      </c>
      <c r="C119" s="411">
        <f t="shared" si="3"/>
        <v>105</v>
      </c>
      <c r="D119" s="443" t="s">
        <v>2183</v>
      </c>
      <c r="E119" s="412" t="s">
        <v>2284</v>
      </c>
      <c r="F119" s="912">
        <v>4.6985499999999999E-2</v>
      </c>
      <c r="G119" s="480">
        <v>2538.48</v>
      </c>
      <c r="H119" s="414">
        <v>487.2</v>
      </c>
      <c r="I119" s="413" t="s">
        <v>481</v>
      </c>
      <c r="J119" s="411">
        <v>1</v>
      </c>
      <c r="K119" s="411" t="s">
        <v>549</v>
      </c>
      <c r="L119" s="482">
        <v>348</v>
      </c>
      <c r="M119" s="461" t="s">
        <v>2412</v>
      </c>
      <c r="N119" s="483">
        <v>67.071199999999919</v>
      </c>
      <c r="O119" s="483">
        <v>134.15400000000011</v>
      </c>
      <c r="P119" s="913" t="s">
        <v>2413</v>
      </c>
      <c r="Q119" s="484">
        <v>336.67839999999967</v>
      </c>
      <c r="R119" s="497"/>
    </row>
    <row r="120" spans="1:18" ht="15" customHeight="1">
      <c r="A120" s="411">
        <v>106</v>
      </c>
      <c r="B120" s="413" t="s">
        <v>2471</v>
      </c>
      <c r="C120" s="411">
        <f t="shared" si="3"/>
        <v>106</v>
      </c>
      <c r="D120" s="443" t="s">
        <v>2183</v>
      </c>
      <c r="E120" s="412" t="s">
        <v>2285</v>
      </c>
      <c r="F120" s="912">
        <v>4.4854399999999996E-2</v>
      </c>
      <c r="G120" s="480">
        <v>2538.48</v>
      </c>
      <c r="H120" s="414">
        <v>487.2</v>
      </c>
      <c r="I120" s="413" t="s">
        <v>481</v>
      </c>
      <c r="J120" s="411">
        <v>1</v>
      </c>
      <c r="K120" s="411" t="s">
        <v>550</v>
      </c>
      <c r="L120" s="482">
        <v>348</v>
      </c>
      <c r="M120" s="461" t="s">
        <v>2412</v>
      </c>
      <c r="N120" s="483">
        <v>67.071199999999919</v>
      </c>
      <c r="O120" s="483">
        <v>134.15400000000011</v>
      </c>
      <c r="P120" s="913" t="s">
        <v>2413</v>
      </c>
      <c r="Q120" s="484">
        <v>336.67839999999967</v>
      </c>
      <c r="R120" s="497"/>
    </row>
    <row r="121" spans="1:18" ht="15" customHeight="1">
      <c r="A121" s="411">
        <v>107</v>
      </c>
      <c r="B121" s="413" t="s">
        <v>2472</v>
      </c>
      <c r="C121" s="411">
        <f t="shared" si="3"/>
        <v>107</v>
      </c>
      <c r="D121" s="443" t="s">
        <v>2183</v>
      </c>
      <c r="E121" s="412" t="s">
        <v>2286</v>
      </c>
      <c r="F121" s="912">
        <v>2.3359000000000001E-2</v>
      </c>
      <c r="G121" s="480">
        <v>2538.4744000000001</v>
      </c>
      <c r="H121" s="414">
        <v>487.2</v>
      </c>
      <c r="I121" s="413" t="s">
        <v>481</v>
      </c>
      <c r="J121" s="411">
        <v>1</v>
      </c>
      <c r="K121" s="411" t="s">
        <v>551</v>
      </c>
      <c r="L121" s="482">
        <v>348</v>
      </c>
      <c r="M121" s="461" t="s">
        <v>2412</v>
      </c>
      <c r="N121" s="483">
        <v>67.071199999999919</v>
      </c>
      <c r="O121" s="483">
        <v>134.15400000000011</v>
      </c>
      <c r="P121" s="913" t="s">
        <v>2413</v>
      </c>
      <c r="Q121" s="484">
        <v>336.67839999999967</v>
      </c>
      <c r="R121" s="497"/>
    </row>
    <row r="122" spans="1:18" ht="15" customHeight="1">
      <c r="A122" s="233">
        <v>108</v>
      </c>
      <c r="B122" s="413" t="s">
        <v>2473</v>
      </c>
      <c r="C122" s="411">
        <f t="shared" si="3"/>
        <v>108</v>
      </c>
      <c r="D122" s="443" t="s">
        <v>2183</v>
      </c>
      <c r="E122" s="412" t="s">
        <v>2352</v>
      </c>
      <c r="F122" s="912">
        <v>3.6858000000000002E-2</v>
      </c>
      <c r="G122" s="480">
        <v>2538.4744000000001</v>
      </c>
      <c r="H122" s="414">
        <v>487.2</v>
      </c>
      <c r="I122" s="413" t="s">
        <v>481</v>
      </c>
      <c r="J122" s="411">
        <v>1</v>
      </c>
      <c r="K122" s="411" t="s">
        <v>2353</v>
      </c>
      <c r="L122" s="482">
        <v>348</v>
      </c>
      <c r="M122" s="461" t="s">
        <v>2412</v>
      </c>
      <c r="N122" s="483">
        <v>67.071199999999919</v>
      </c>
      <c r="O122" s="483">
        <v>134.15400000000011</v>
      </c>
      <c r="P122" s="913" t="s">
        <v>2413</v>
      </c>
      <c r="Q122" s="484">
        <v>336.67839999999967</v>
      </c>
      <c r="R122" s="497"/>
    </row>
    <row r="123" spans="1:18" ht="15" customHeight="1">
      <c r="A123" s="411">
        <v>109</v>
      </c>
      <c r="B123" s="413" t="s">
        <v>2474</v>
      </c>
      <c r="C123" s="411">
        <f t="shared" si="3"/>
        <v>109</v>
      </c>
      <c r="D123" s="443" t="s">
        <v>2183</v>
      </c>
      <c r="E123" s="412" t="s">
        <v>2287</v>
      </c>
      <c r="F123" s="912">
        <v>5.0484000000000001E-2</v>
      </c>
      <c r="G123" s="480">
        <v>3463.0023344000001</v>
      </c>
      <c r="H123" s="414">
        <v>487.2</v>
      </c>
      <c r="I123" s="413" t="s">
        <v>533</v>
      </c>
      <c r="J123" s="411">
        <v>2</v>
      </c>
      <c r="K123" s="411" t="s">
        <v>552</v>
      </c>
      <c r="L123" s="482">
        <v>348</v>
      </c>
      <c r="M123" s="461" t="s">
        <v>2412</v>
      </c>
      <c r="N123" s="483">
        <v>121.62599999999989</v>
      </c>
      <c r="O123" s="483">
        <v>243.24040000000008</v>
      </c>
      <c r="P123" s="913" t="s">
        <v>2413</v>
      </c>
      <c r="Q123" s="484">
        <v>336.67839999999967</v>
      </c>
      <c r="R123" s="497"/>
    </row>
    <row r="124" spans="1:18" ht="15" customHeight="1">
      <c r="A124" s="411">
        <v>110</v>
      </c>
      <c r="B124" s="413" t="s">
        <v>2475</v>
      </c>
      <c r="C124" s="411">
        <f t="shared" si="3"/>
        <v>110</v>
      </c>
      <c r="D124" s="443" t="s">
        <v>2183</v>
      </c>
      <c r="E124" s="412" t="s">
        <v>2288</v>
      </c>
      <c r="F124" s="912">
        <v>3.2280200000000002E-2</v>
      </c>
      <c r="G124" s="480">
        <v>2538.48</v>
      </c>
      <c r="H124" s="414">
        <v>487.2</v>
      </c>
      <c r="I124" s="413" t="s">
        <v>481</v>
      </c>
      <c r="J124" s="411">
        <v>1</v>
      </c>
      <c r="K124" s="411" t="s">
        <v>553</v>
      </c>
      <c r="L124" s="482">
        <v>348</v>
      </c>
      <c r="M124" s="461" t="s">
        <v>2412</v>
      </c>
      <c r="N124" s="483">
        <v>67.071199999999919</v>
      </c>
      <c r="O124" s="483">
        <v>134.15400000000011</v>
      </c>
      <c r="P124" s="913" t="s">
        <v>2413</v>
      </c>
      <c r="Q124" s="484">
        <v>336.67839999999967</v>
      </c>
      <c r="R124" s="497"/>
    </row>
    <row r="125" spans="1:18" ht="15" customHeight="1">
      <c r="A125" s="233">
        <v>111</v>
      </c>
      <c r="B125" s="413" t="s">
        <v>2476</v>
      </c>
      <c r="C125" s="411">
        <f t="shared" si="3"/>
        <v>111</v>
      </c>
      <c r="D125" s="443" t="s">
        <v>2183</v>
      </c>
      <c r="E125" s="412" t="s">
        <v>2289</v>
      </c>
      <c r="F125" s="912">
        <v>3.5881999999999997E-2</v>
      </c>
      <c r="G125" s="480">
        <v>2538.4744000000001</v>
      </c>
      <c r="H125" s="414">
        <v>487.2</v>
      </c>
      <c r="I125" s="413" t="s">
        <v>481</v>
      </c>
      <c r="J125" s="411">
        <v>1</v>
      </c>
      <c r="K125" s="411" t="s">
        <v>554</v>
      </c>
      <c r="L125" s="482">
        <v>348</v>
      </c>
      <c r="M125" s="461" t="s">
        <v>2412</v>
      </c>
      <c r="N125" s="483">
        <v>67.071199999999919</v>
      </c>
      <c r="O125" s="483">
        <v>134.15400000000011</v>
      </c>
      <c r="P125" s="913" t="s">
        <v>2413</v>
      </c>
      <c r="Q125" s="484">
        <v>336.67839999999967</v>
      </c>
      <c r="R125" s="497"/>
    </row>
    <row r="126" spans="1:18" ht="15" customHeight="1">
      <c r="A126" s="411">
        <v>112</v>
      </c>
      <c r="B126" s="413" t="s">
        <v>2477</v>
      </c>
      <c r="C126" s="411">
        <f t="shared" si="3"/>
        <v>112</v>
      </c>
      <c r="D126" s="443" t="s">
        <v>2183</v>
      </c>
      <c r="E126" s="412" t="s">
        <v>2290</v>
      </c>
      <c r="F126" s="912">
        <v>4.0536000000000003E-2</v>
      </c>
      <c r="G126" s="480">
        <v>2538.4744000000001</v>
      </c>
      <c r="H126" s="414">
        <v>487.2</v>
      </c>
      <c r="I126" s="413" t="s">
        <v>481</v>
      </c>
      <c r="J126" s="411">
        <v>1</v>
      </c>
      <c r="K126" s="411" t="s">
        <v>555</v>
      </c>
      <c r="L126" s="482">
        <v>348</v>
      </c>
      <c r="M126" s="461" t="s">
        <v>2412</v>
      </c>
      <c r="N126" s="483">
        <v>67.071199999999919</v>
      </c>
      <c r="O126" s="483">
        <v>134.15400000000011</v>
      </c>
      <c r="P126" s="913" t="s">
        <v>2413</v>
      </c>
      <c r="Q126" s="484">
        <v>336.67839999999967</v>
      </c>
      <c r="R126" s="497"/>
    </row>
    <row r="127" spans="1:18" ht="15" customHeight="1">
      <c r="A127" s="411">
        <v>113</v>
      </c>
      <c r="B127" s="413" t="s">
        <v>2478</v>
      </c>
      <c r="C127" s="411">
        <f t="shared" si="3"/>
        <v>113</v>
      </c>
      <c r="D127" s="443" t="s">
        <v>2183</v>
      </c>
      <c r="E127" s="412" t="s">
        <v>2291</v>
      </c>
      <c r="F127" s="912">
        <v>5.7402399999999999E-2</v>
      </c>
      <c r="G127" s="480">
        <v>2538.48</v>
      </c>
      <c r="H127" s="414">
        <v>487.2</v>
      </c>
      <c r="I127" s="413" t="s">
        <v>481</v>
      </c>
      <c r="J127" s="411">
        <v>1</v>
      </c>
      <c r="K127" s="411" t="s">
        <v>556</v>
      </c>
      <c r="L127" s="482">
        <v>348</v>
      </c>
      <c r="M127" s="461" t="s">
        <v>2412</v>
      </c>
      <c r="N127" s="483">
        <v>67.071199999999919</v>
      </c>
      <c r="O127" s="483">
        <v>134.15400000000011</v>
      </c>
      <c r="P127" s="913" t="s">
        <v>2413</v>
      </c>
      <c r="Q127" s="484">
        <v>336.67839999999967</v>
      </c>
      <c r="R127" s="497"/>
    </row>
    <row r="128" spans="1:18" ht="15" customHeight="1">
      <c r="A128" s="233">
        <v>114</v>
      </c>
      <c r="B128" s="413" t="s">
        <v>2479</v>
      </c>
      <c r="C128" s="411">
        <f t="shared" si="3"/>
        <v>114</v>
      </c>
      <c r="D128" s="443" t="s">
        <v>2183</v>
      </c>
      <c r="E128" s="412" t="s">
        <v>2292</v>
      </c>
      <c r="F128" s="912">
        <v>4.2173499999999996E-2</v>
      </c>
      <c r="G128" s="480">
        <v>3463.0023344000001</v>
      </c>
      <c r="H128" s="414">
        <v>487.2</v>
      </c>
      <c r="I128" s="413" t="s">
        <v>533</v>
      </c>
      <c r="J128" s="411">
        <v>2</v>
      </c>
      <c r="K128" s="411" t="s">
        <v>557</v>
      </c>
      <c r="L128" s="482">
        <v>348</v>
      </c>
      <c r="M128" s="461" t="s">
        <v>2412</v>
      </c>
      <c r="N128" s="483">
        <v>121.62599999999989</v>
      </c>
      <c r="O128" s="483">
        <v>243.24040000000008</v>
      </c>
      <c r="P128" s="913" t="s">
        <v>2413</v>
      </c>
      <c r="Q128" s="484">
        <v>336.67839999999967</v>
      </c>
      <c r="R128" s="497"/>
    </row>
    <row r="129" spans="1:18" ht="15" customHeight="1">
      <c r="A129" s="411">
        <v>115</v>
      </c>
      <c r="B129" s="413" t="s">
        <v>2480</v>
      </c>
      <c r="C129" s="411">
        <f t="shared" si="3"/>
        <v>115</v>
      </c>
      <c r="D129" s="443" t="s">
        <v>2183</v>
      </c>
      <c r="E129" s="412" t="s">
        <v>2293</v>
      </c>
      <c r="F129" s="912">
        <v>5.2391100000000003E-2</v>
      </c>
      <c r="G129" s="480">
        <v>2538.48</v>
      </c>
      <c r="H129" s="414">
        <v>487.2</v>
      </c>
      <c r="I129" s="413" t="s">
        <v>481</v>
      </c>
      <c r="J129" s="411">
        <v>1</v>
      </c>
      <c r="K129" s="411" t="s">
        <v>558</v>
      </c>
      <c r="L129" s="482">
        <v>348</v>
      </c>
      <c r="M129" s="461" t="s">
        <v>2412</v>
      </c>
      <c r="N129" s="483">
        <v>67.071199999999919</v>
      </c>
      <c r="O129" s="483">
        <v>134.15400000000011</v>
      </c>
      <c r="P129" s="913" t="s">
        <v>2413</v>
      </c>
      <c r="Q129" s="484">
        <v>336.67839999999967</v>
      </c>
      <c r="R129" s="497"/>
    </row>
    <row r="130" spans="1:18" ht="15" customHeight="1">
      <c r="A130" s="411">
        <v>116</v>
      </c>
      <c r="B130" s="413" t="s">
        <v>4257</v>
      </c>
      <c r="C130" s="411">
        <f t="shared" si="3"/>
        <v>116</v>
      </c>
      <c r="D130" s="443" t="s">
        <v>2183</v>
      </c>
      <c r="E130" s="412" t="s">
        <v>4267</v>
      </c>
      <c r="F130" s="912">
        <v>3.7461000000000001E-2</v>
      </c>
      <c r="G130" s="480">
        <v>2538.4744000000001</v>
      </c>
      <c r="H130" s="414">
        <v>487.2</v>
      </c>
      <c r="I130" s="413" t="s">
        <v>481</v>
      </c>
      <c r="J130" s="411">
        <v>1</v>
      </c>
      <c r="K130" s="411" t="s">
        <v>4277</v>
      </c>
      <c r="L130" s="482">
        <v>348</v>
      </c>
      <c r="M130" s="461" t="s">
        <v>2412</v>
      </c>
      <c r="N130" s="483">
        <v>67.071199999999919</v>
      </c>
      <c r="O130" s="483">
        <v>134.15400000000011</v>
      </c>
      <c r="P130" s="913" t="s">
        <v>2413</v>
      </c>
      <c r="Q130" s="484">
        <v>336.67839999999967</v>
      </c>
      <c r="R130" s="497"/>
    </row>
    <row r="131" spans="1:18" ht="15" customHeight="1">
      <c r="A131" s="233">
        <v>117</v>
      </c>
      <c r="B131" s="413" t="s">
        <v>2481</v>
      </c>
      <c r="C131" s="411">
        <f t="shared" si="3"/>
        <v>117</v>
      </c>
      <c r="D131" s="443" t="s">
        <v>2183</v>
      </c>
      <c r="E131" s="412" t="s">
        <v>456</v>
      </c>
      <c r="F131" s="912">
        <v>5.2505999999999997E-2</v>
      </c>
      <c r="G131" s="480">
        <v>2538.4744000000001</v>
      </c>
      <c r="H131" s="414">
        <v>487.2</v>
      </c>
      <c r="I131" s="413" t="s">
        <v>481</v>
      </c>
      <c r="J131" s="411">
        <v>1</v>
      </c>
      <c r="K131" s="411" t="s">
        <v>559</v>
      </c>
      <c r="L131" s="482">
        <v>348</v>
      </c>
      <c r="M131" s="461" t="s">
        <v>2412</v>
      </c>
      <c r="N131" s="483">
        <v>67.071199999999919</v>
      </c>
      <c r="O131" s="483">
        <v>134.15400000000011</v>
      </c>
      <c r="P131" s="913" t="s">
        <v>2413</v>
      </c>
      <c r="Q131" s="484">
        <v>336.67839999999967</v>
      </c>
      <c r="R131" s="497"/>
    </row>
    <row r="132" spans="1:18" ht="15" customHeight="1">
      <c r="A132" s="411">
        <v>118</v>
      </c>
      <c r="B132" s="413" t="s">
        <v>2482</v>
      </c>
      <c r="C132" s="411">
        <f t="shared" si="3"/>
        <v>118</v>
      </c>
      <c r="D132" s="443" t="s">
        <v>2183</v>
      </c>
      <c r="E132" s="412" t="s">
        <v>2294</v>
      </c>
      <c r="F132" s="912">
        <v>3.38204E-2</v>
      </c>
      <c r="G132" s="480">
        <v>3463.0023344000001</v>
      </c>
      <c r="H132" s="414">
        <v>487.2</v>
      </c>
      <c r="I132" s="413" t="s">
        <v>533</v>
      </c>
      <c r="J132" s="411">
        <v>2</v>
      </c>
      <c r="K132" s="411" t="s">
        <v>560</v>
      </c>
      <c r="L132" s="482">
        <v>348</v>
      </c>
      <c r="M132" s="461" t="s">
        <v>2412</v>
      </c>
      <c r="N132" s="483">
        <v>121.62599999999989</v>
      </c>
      <c r="O132" s="483">
        <v>243.24040000000008</v>
      </c>
      <c r="P132" s="913" t="s">
        <v>2413</v>
      </c>
      <c r="Q132" s="484">
        <v>336.67839999999967</v>
      </c>
      <c r="R132" s="497"/>
    </row>
    <row r="133" spans="1:18" ht="15" customHeight="1">
      <c r="A133" s="411">
        <v>119</v>
      </c>
      <c r="B133" s="413" t="s">
        <v>2483</v>
      </c>
      <c r="C133" s="411">
        <f t="shared" si="3"/>
        <v>119</v>
      </c>
      <c r="D133" s="443" t="s">
        <v>2183</v>
      </c>
      <c r="E133" s="412" t="s">
        <v>2295</v>
      </c>
      <c r="F133" s="912">
        <v>4.0833300000000003E-2</v>
      </c>
      <c r="G133" s="480">
        <v>3463.0023344000001</v>
      </c>
      <c r="H133" s="414">
        <v>487.2</v>
      </c>
      <c r="I133" s="413" t="s">
        <v>533</v>
      </c>
      <c r="J133" s="411">
        <v>2</v>
      </c>
      <c r="K133" s="411" t="s">
        <v>561</v>
      </c>
      <c r="L133" s="482">
        <v>348</v>
      </c>
      <c r="M133" s="461" t="s">
        <v>2412</v>
      </c>
      <c r="N133" s="483">
        <v>121.62599999999989</v>
      </c>
      <c r="O133" s="483">
        <v>243.24040000000008</v>
      </c>
      <c r="P133" s="913" t="s">
        <v>2413</v>
      </c>
      <c r="Q133" s="484">
        <v>336.67839999999967</v>
      </c>
      <c r="R133" s="497"/>
    </row>
    <row r="134" spans="1:18" ht="15" customHeight="1">
      <c r="A134" s="233">
        <v>120</v>
      </c>
      <c r="B134" s="413" t="s">
        <v>3343</v>
      </c>
      <c r="C134" s="411">
        <f t="shared" si="3"/>
        <v>120</v>
      </c>
      <c r="D134" s="443" t="s">
        <v>2183</v>
      </c>
      <c r="E134" s="412" t="s">
        <v>3350</v>
      </c>
      <c r="F134" s="912">
        <v>2.8934000000000001E-2</v>
      </c>
      <c r="G134" s="480">
        <v>8154.31</v>
      </c>
      <c r="H134" s="414">
        <v>487.2</v>
      </c>
      <c r="I134" s="413" t="s">
        <v>3620</v>
      </c>
      <c r="J134" s="411">
        <v>3</v>
      </c>
      <c r="K134" s="411" t="s">
        <v>3357</v>
      </c>
      <c r="L134" s="482">
        <v>348</v>
      </c>
      <c r="M134" s="461" t="s">
        <v>2412</v>
      </c>
      <c r="N134" s="483">
        <v>330.29</v>
      </c>
      <c r="O134" s="483">
        <v>660.56</v>
      </c>
      <c r="P134" s="913" t="s">
        <v>2413</v>
      </c>
      <c r="Q134" s="484">
        <v>0</v>
      </c>
      <c r="R134" s="497"/>
    </row>
    <row r="135" spans="1:18" ht="15" customHeight="1">
      <c r="A135" s="411">
        <v>121</v>
      </c>
      <c r="B135" s="413" t="s">
        <v>3344</v>
      </c>
      <c r="C135" s="411">
        <f t="shared" si="3"/>
        <v>121</v>
      </c>
      <c r="D135" s="443" t="s">
        <v>2183</v>
      </c>
      <c r="E135" s="412" t="s">
        <v>3351</v>
      </c>
      <c r="F135" s="912">
        <v>4.0833300000000003E-2</v>
      </c>
      <c r="G135" s="480">
        <v>3463.0023344000001</v>
      </c>
      <c r="H135" s="414">
        <v>487.2</v>
      </c>
      <c r="I135" s="413" t="s">
        <v>533</v>
      </c>
      <c r="J135" s="411">
        <v>2</v>
      </c>
      <c r="K135" s="411" t="s">
        <v>3358</v>
      </c>
      <c r="L135" s="482">
        <v>348</v>
      </c>
      <c r="M135" s="461" t="s">
        <v>2412</v>
      </c>
      <c r="N135" s="483">
        <v>121.62599999999989</v>
      </c>
      <c r="O135" s="483">
        <v>243.24040000000008</v>
      </c>
      <c r="P135" s="913" t="s">
        <v>2413</v>
      </c>
      <c r="Q135" s="484">
        <v>336.67839999999967</v>
      </c>
      <c r="R135" s="497"/>
    </row>
    <row r="136" spans="1:18" ht="15" customHeight="1">
      <c r="A136" s="411">
        <v>122</v>
      </c>
      <c r="B136" s="413" t="s">
        <v>3345</v>
      </c>
      <c r="C136" s="411">
        <f t="shared" si="3"/>
        <v>122</v>
      </c>
      <c r="D136" s="443" t="s">
        <v>2183</v>
      </c>
      <c r="E136" s="412" t="s">
        <v>3352</v>
      </c>
      <c r="F136" s="912">
        <v>4.1638000000000001E-2</v>
      </c>
      <c r="G136" s="480">
        <v>3463.0023344000001</v>
      </c>
      <c r="H136" s="414">
        <v>487.2</v>
      </c>
      <c r="I136" s="413" t="s">
        <v>533</v>
      </c>
      <c r="J136" s="411">
        <v>2</v>
      </c>
      <c r="K136" s="411" t="s">
        <v>3359</v>
      </c>
      <c r="L136" s="482">
        <v>348</v>
      </c>
      <c r="M136" s="461" t="s">
        <v>2412</v>
      </c>
      <c r="N136" s="483">
        <v>121.62599999999989</v>
      </c>
      <c r="O136" s="483">
        <v>243.24040000000008</v>
      </c>
      <c r="P136" s="913" t="s">
        <v>2413</v>
      </c>
      <c r="Q136" s="484">
        <v>336.67839999999967</v>
      </c>
      <c r="R136" s="497"/>
    </row>
    <row r="137" spans="1:18" ht="15" customHeight="1">
      <c r="A137" s="233">
        <v>123</v>
      </c>
      <c r="B137" s="413" t="s">
        <v>3346</v>
      </c>
      <c r="C137" s="411">
        <f t="shared" si="3"/>
        <v>123</v>
      </c>
      <c r="D137" s="443" t="s">
        <v>2183</v>
      </c>
      <c r="E137" s="412" t="s">
        <v>3353</v>
      </c>
      <c r="F137" s="912">
        <v>3.1363000000000002E-2</v>
      </c>
      <c r="G137" s="480">
        <v>7453.37</v>
      </c>
      <c r="H137" s="414">
        <v>487.2</v>
      </c>
      <c r="I137" s="413" t="s">
        <v>3620</v>
      </c>
      <c r="J137" s="411">
        <v>3</v>
      </c>
      <c r="K137" s="411" t="s">
        <v>3360</v>
      </c>
      <c r="L137" s="482">
        <v>348</v>
      </c>
      <c r="M137" s="461" t="s">
        <v>2412</v>
      </c>
      <c r="N137" s="483">
        <v>298.14</v>
      </c>
      <c r="O137" s="483">
        <v>596.29</v>
      </c>
      <c r="P137" s="913" t="s">
        <v>2413</v>
      </c>
      <c r="Q137" s="484">
        <v>0</v>
      </c>
      <c r="R137" s="497"/>
    </row>
    <row r="138" spans="1:18" ht="15" customHeight="1">
      <c r="A138" s="411">
        <v>124</v>
      </c>
      <c r="B138" s="413" t="s">
        <v>3347</v>
      </c>
      <c r="C138" s="411">
        <f t="shared" si="3"/>
        <v>124</v>
      </c>
      <c r="D138" s="443" t="s">
        <v>2183</v>
      </c>
      <c r="E138" s="412" t="s">
        <v>3354</v>
      </c>
      <c r="F138" s="912">
        <v>5.4815199999999994E-2</v>
      </c>
      <c r="G138" s="480">
        <v>2538.48</v>
      </c>
      <c r="H138" s="414">
        <v>487.2</v>
      </c>
      <c r="I138" s="413" t="s">
        <v>481</v>
      </c>
      <c r="J138" s="411">
        <v>1</v>
      </c>
      <c r="K138" s="411" t="s">
        <v>3361</v>
      </c>
      <c r="L138" s="482">
        <v>348</v>
      </c>
      <c r="M138" s="461" t="s">
        <v>2412</v>
      </c>
      <c r="N138" s="483">
        <v>67.071199999999919</v>
      </c>
      <c r="O138" s="483">
        <v>134.15400000000011</v>
      </c>
      <c r="P138" s="913" t="s">
        <v>2413</v>
      </c>
      <c r="Q138" s="484">
        <v>336.67839999999967</v>
      </c>
      <c r="R138" s="497"/>
    </row>
    <row r="139" spans="1:18" ht="15" customHeight="1">
      <c r="A139" s="411">
        <v>125</v>
      </c>
      <c r="B139" s="413" t="s">
        <v>4071</v>
      </c>
      <c r="C139" s="411">
        <f t="shared" si="3"/>
        <v>125</v>
      </c>
      <c r="D139" s="443" t="s">
        <v>2183</v>
      </c>
      <c r="E139" s="412" t="s">
        <v>4072</v>
      </c>
      <c r="F139" s="912">
        <v>5.4815199999999994E-2</v>
      </c>
      <c r="G139" s="480">
        <v>2538.48</v>
      </c>
      <c r="H139" s="414">
        <v>487.2</v>
      </c>
      <c r="I139" s="413" t="s">
        <v>481</v>
      </c>
      <c r="J139" s="411">
        <v>1</v>
      </c>
      <c r="K139" s="411" t="s">
        <v>4073</v>
      </c>
      <c r="L139" s="482">
        <v>348</v>
      </c>
      <c r="M139" s="461" t="s">
        <v>2412</v>
      </c>
      <c r="N139" s="483">
        <v>67.071199999999919</v>
      </c>
      <c r="O139" s="483">
        <v>134.15400000000011</v>
      </c>
      <c r="P139" s="913" t="s">
        <v>2413</v>
      </c>
      <c r="Q139" s="484">
        <v>336.67839999999967</v>
      </c>
      <c r="R139" s="497"/>
    </row>
    <row r="140" spans="1:18" ht="15" customHeight="1">
      <c r="A140" s="233">
        <v>126</v>
      </c>
      <c r="B140" s="413" t="s">
        <v>4074</v>
      </c>
      <c r="C140" s="411">
        <f t="shared" si="3"/>
        <v>126</v>
      </c>
      <c r="D140" s="443" t="s">
        <v>2183</v>
      </c>
      <c r="E140" s="412" t="s">
        <v>4075</v>
      </c>
      <c r="F140" s="912">
        <v>5.4815199999999994E-2</v>
      </c>
      <c r="G140" s="480">
        <v>2538.48</v>
      </c>
      <c r="H140" s="414">
        <v>487.2</v>
      </c>
      <c r="I140" s="413" t="s">
        <v>481</v>
      </c>
      <c r="J140" s="411">
        <v>1</v>
      </c>
      <c r="K140" s="411" t="s">
        <v>4076</v>
      </c>
      <c r="L140" s="482">
        <v>348</v>
      </c>
      <c r="M140" s="461" t="s">
        <v>2412</v>
      </c>
      <c r="N140" s="483">
        <v>67.071199999999919</v>
      </c>
      <c r="O140" s="483">
        <v>134.15400000000011</v>
      </c>
      <c r="P140" s="913" t="s">
        <v>2413</v>
      </c>
      <c r="Q140" s="484">
        <v>336.67839999999967</v>
      </c>
      <c r="R140" s="497"/>
    </row>
    <row r="141" spans="1:18" ht="15" customHeight="1">
      <c r="A141" s="411">
        <v>127</v>
      </c>
      <c r="B141" s="413" t="s">
        <v>3348</v>
      </c>
      <c r="C141" s="411">
        <f t="shared" si="3"/>
        <v>127</v>
      </c>
      <c r="D141" s="443" t="s">
        <v>2183</v>
      </c>
      <c r="E141" s="412" t="s">
        <v>3355</v>
      </c>
      <c r="F141" s="912">
        <v>5.4815199999999994E-2</v>
      </c>
      <c r="G141" s="480">
        <v>2538.48</v>
      </c>
      <c r="H141" s="414">
        <v>487.2</v>
      </c>
      <c r="I141" s="413" t="s">
        <v>481</v>
      </c>
      <c r="J141" s="411">
        <v>1</v>
      </c>
      <c r="K141" s="411" t="s">
        <v>3362</v>
      </c>
      <c r="L141" s="482">
        <v>348</v>
      </c>
      <c r="M141" s="461" t="s">
        <v>2412</v>
      </c>
      <c r="N141" s="483">
        <v>67.071199999999919</v>
      </c>
      <c r="O141" s="483">
        <v>134.15400000000011</v>
      </c>
      <c r="P141" s="913" t="s">
        <v>2413</v>
      </c>
      <c r="Q141" s="484">
        <v>336.67839999999967</v>
      </c>
      <c r="R141" s="497"/>
    </row>
    <row r="142" spans="1:18" ht="15" customHeight="1">
      <c r="A142" s="411">
        <v>128</v>
      </c>
      <c r="B142" s="413" t="s">
        <v>3349</v>
      </c>
      <c r="C142" s="411">
        <f t="shared" si="3"/>
        <v>128</v>
      </c>
      <c r="D142" s="443" t="s">
        <v>2183</v>
      </c>
      <c r="E142" s="412" t="s">
        <v>3356</v>
      </c>
      <c r="F142" s="912">
        <v>5.4815199999999994E-2</v>
      </c>
      <c r="G142" s="480">
        <v>2538.48</v>
      </c>
      <c r="H142" s="414">
        <v>487.2</v>
      </c>
      <c r="I142" s="413" t="s">
        <v>481</v>
      </c>
      <c r="J142" s="411">
        <v>1</v>
      </c>
      <c r="K142" s="411" t="s">
        <v>3363</v>
      </c>
      <c r="L142" s="482">
        <v>348</v>
      </c>
      <c r="M142" s="461" t="s">
        <v>2412</v>
      </c>
      <c r="N142" s="483">
        <v>67.071199999999919</v>
      </c>
      <c r="O142" s="483">
        <v>134.15400000000011</v>
      </c>
      <c r="P142" s="913" t="s">
        <v>2413</v>
      </c>
      <c r="Q142" s="484">
        <v>336.67839999999967</v>
      </c>
      <c r="R142" s="497"/>
    </row>
    <row r="143" spans="1:18" ht="15" customHeight="1">
      <c r="A143" s="233">
        <v>129</v>
      </c>
      <c r="B143" s="413" t="s">
        <v>4077</v>
      </c>
      <c r="C143" s="411">
        <f t="shared" si="3"/>
        <v>129</v>
      </c>
      <c r="D143" s="443" t="s">
        <v>2183</v>
      </c>
      <c r="E143" s="412" t="s">
        <v>4078</v>
      </c>
      <c r="F143" s="912">
        <v>5.4815199999999994E-2</v>
      </c>
      <c r="G143" s="480">
        <v>2538.48</v>
      </c>
      <c r="H143" s="414">
        <v>487.2</v>
      </c>
      <c r="I143" s="413" t="s">
        <v>481</v>
      </c>
      <c r="J143" s="411">
        <v>1</v>
      </c>
      <c r="K143" s="411" t="s">
        <v>4079</v>
      </c>
      <c r="L143" s="482">
        <v>348</v>
      </c>
      <c r="M143" s="461" t="s">
        <v>2412</v>
      </c>
      <c r="N143" s="483">
        <v>67.071199999999919</v>
      </c>
      <c r="O143" s="483">
        <v>134.15400000000011</v>
      </c>
      <c r="P143" s="913" t="s">
        <v>2413</v>
      </c>
      <c r="Q143" s="484">
        <v>336.67839999999967</v>
      </c>
      <c r="R143" s="497"/>
    </row>
    <row r="144" spans="1:18" ht="15" customHeight="1">
      <c r="A144" s="411">
        <v>130</v>
      </c>
      <c r="B144" s="413" t="s">
        <v>2484</v>
      </c>
      <c r="C144" s="411">
        <f t="shared" ref="C144:C207" si="4">A144</f>
        <v>130</v>
      </c>
      <c r="D144" s="443" t="s">
        <v>2183</v>
      </c>
      <c r="E144" s="412" t="s">
        <v>2296</v>
      </c>
      <c r="F144" s="912">
        <v>5.6246099999999993E-2</v>
      </c>
      <c r="G144" s="480">
        <v>2538.48</v>
      </c>
      <c r="H144" s="414">
        <v>487.2</v>
      </c>
      <c r="I144" s="413" t="s">
        <v>481</v>
      </c>
      <c r="J144" s="411">
        <v>1</v>
      </c>
      <c r="K144" s="411" t="s">
        <v>562</v>
      </c>
      <c r="L144" s="482">
        <v>348</v>
      </c>
      <c r="M144" s="461" t="s">
        <v>2412</v>
      </c>
      <c r="N144" s="483">
        <v>67.071199999999919</v>
      </c>
      <c r="O144" s="483">
        <v>134.15400000000011</v>
      </c>
      <c r="P144" s="913" t="s">
        <v>2413</v>
      </c>
      <c r="Q144" s="484">
        <v>336.67839999999967</v>
      </c>
      <c r="R144" s="497"/>
    </row>
    <row r="145" spans="1:18" ht="15" customHeight="1">
      <c r="A145" s="411">
        <v>131</v>
      </c>
      <c r="B145" s="413" t="s">
        <v>2485</v>
      </c>
      <c r="C145" s="411">
        <f t="shared" si="4"/>
        <v>131</v>
      </c>
      <c r="D145" s="443" t="s">
        <v>2183</v>
      </c>
      <c r="E145" s="412" t="s">
        <v>2297</v>
      </c>
      <c r="F145" s="912">
        <v>3.0408000000000001E-2</v>
      </c>
      <c r="G145" s="480">
        <v>2538.4744000000001</v>
      </c>
      <c r="H145" s="414">
        <v>487.2</v>
      </c>
      <c r="I145" s="413" t="s">
        <v>481</v>
      </c>
      <c r="J145" s="411">
        <v>1</v>
      </c>
      <c r="K145" s="411" t="s">
        <v>563</v>
      </c>
      <c r="L145" s="482">
        <v>348</v>
      </c>
      <c r="M145" s="461" t="s">
        <v>2412</v>
      </c>
      <c r="N145" s="483">
        <v>67.071199999999919</v>
      </c>
      <c r="O145" s="483">
        <v>134.15400000000011</v>
      </c>
      <c r="P145" s="913" t="s">
        <v>2413</v>
      </c>
      <c r="Q145" s="484">
        <v>336.67839999999967</v>
      </c>
      <c r="R145" s="497"/>
    </row>
    <row r="146" spans="1:18" ht="15" customHeight="1">
      <c r="A146" s="233">
        <v>132</v>
      </c>
      <c r="B146" s="413" t="s">
        <v>2486</v>
      </c>
      <c r="C146" s="411">
        <f t="shared" si="4"/>
        <v>132</v>
      </c>
      <c r="D146" s="443" t="s">
        <v>2183</v>
      </c>
      <c r="E146" s="412" t="s">
        <v>2298</v>
      </c>
      <c r="F146" s="912">
        <v>5.4815199999999994E-2</v>
      </c>
      <c r="G146" s="480">
        <v>2538.48</v>
      </c>
      <c r="H146" s="414">
        <v>487.2</v>
      </c>
      <c r="I146" s="413" t="s">
        <v>481</v>
      </c>
      <c r="J146" s="411">
        <v>1</v>
      </c>
      <c r="K146" s="411" t="s">
        <v>564</v>
      </c>
      <c r="L146" s="482">
        <v>348</v>
      </c>
      <c r="M146" s="461" t="s">
        <v>2412</v>
      </c>
      <c r="N146" s="483">
        <v>67.071199999999919</v>
      </c>
      <c r="O146" s="483">
        <v>134.15400000000011</v>
      </c>
      <c r="P146" s="913" t="s">
        <v>2413</v>
      </c>
      <c r="Q146" s="484">
        <v>336.67839999999967</v>
      </c>
      <c r="R146" s="497"/>
    </row>
    <row r="147" spans="1:18" ht="15" customHeight="1">
      <c r="A147" s="411">
        <v>133</v>
      </c>
      <c r="B147" s="413" t="s">
        <v>2487</v>
      </c>
      <c r="C147" s="411">
        <f t="shared" si="4"/>
        <v>133</v>
      </c>
      <c r="D147" s="443" t="s">
        <v>2183</v>
      </c>
      <c r="E147" s="412" t="s">
        <v>2299</v>
      </c>
      <c r="F147" s="912">
        <v>5.4815199999999994E-2</v>
      </c>
      <c r="G147" s="480">
        <v>2538.48</v>
      </c>
      <c r="H147" s="414">
        <v>487.2</v>
      </c>
      <c r="I147" s="413" t="s">
        <v>481</v>
      </c>
      <c r="J147" s="411">
        <v>1</v>
      </c>
      <c r="K147" s="411" t="s">
        <v>565</v>
      </c>
      <c r="L147" s="482">
        <v>348</v>
      </c>
      <c r="M147" s="461" t="s">
        <v>2412</v>
      </c>
      <c r="N147" s="483">
        <v>67.071199999999919</v>
      </c>
      <c r="O147" s="483">
        <v>134.15400000000011</v>
      </c>
      <c r="P147" s="913" t="s">
        <v>2413</v>
      </c>
      <c r="Q147" s="484">
        <v>336.67839999999967</v>
      </c>
      <c r="R147" s="497"/>
    </row>
    <row r="148" spans="1:18" ht="15" customHeight="1">
      <c r="A148" s="411">
        <v>134</v>
      </c>
      <c r="B148" s="413" t="s">
        <v>2488</v>
      </c>
      <c r="C148" s="411">
        <f t="shared" si="4"/>
        <v>134</v>
      </c>
      <c r="D148" s="443" t="s">
        <v>2183</v>
      </c>
      <c r="E148" s="412" t="s">
        <v>2300</v>
      </c>
      <c r="F148" s="912">
        <v>4.5277399999999995E-2</v>
      </c>
      <c r="G148" s="480">
        <v>2538.48</v>
      </c>
      <c r="H148" s="414">
        <v>487.2</v>
      </c>
      <c r="I148" s="413" t="s">
        <v>481</v>
      </c>
      <c r="J148" s="411">
        <v>1</v>
      </c>
      <c r="K148" s="411" t="s">
        <v>566</v>
      </c>
      <c r="L148" s="482">
        <v>348</v>
      </c>
      <c r="M148" s="461" t="s">
        <v>2412</v>
      </c>
      <c r="N148" s="483">
        <v>67.071199999999919</v>
      </c>
      <c r="O148" s="483">
        <v>134.15400000000011</v>
      </c>
      <c r="P148" s="913" t="s">
        <v>2413</v>
      </c>
      <c r="Q148" s="484">
        <v>336.67839999999967</v>
      </c>
      <c r="R148" s="497"/>
    </row>
    <row r="149" spans="1:18" ht="15" customHeight="1">
      <c r="A149" s="233">
        <v>135</v>
      </c>
      <c r="B149" s="413" t="s">
        <v>2489</v>
      </c>
      <c r="C149" s="411">
        <f t="shared" si="4"/>
        <v>135</v>
      </c>
      <c r="D149" s="443" t="s">
        <v>2183</v>
      </c>
      <c r="E149" s="412" t="s">
        <v>2301</v>
      </c>
      <c r="F149" s="912">
        <v>4.9218000000000005E-2</v>
      </c>
      <c r="G149" s="480">
        <v>2538.48</v>
      </c>
      <c r="H149" s="414">
        <v>487.2</v>
      </c>
      <c r="I149" s="413" t="s">
        <v>481</v>
      </c>
      <c r="J149" s="411">
        <v>1</v>
      </c>
      <c r="K149" s="411" t="s">
        <v>567</v>
      </c>
      <c r="L149" s="482">
        <v>348</v>
      </c>
      <c r="M149" s="461" t="s">
        <v>2412</v>
      </c>
      <c r="N149" s="483">
        <v>67.071199999999919</v>
      </c>
      <c r="O149" s="483">
        <v>134.15400000000011</v>
      </c>
      <c r="P149" s="913" t="s">
        <v>2413</v>
      </c>
      <c r="Q149" s="484">
        <v>336.67839999999967</v>
      </c>
      <c r="R149" s="497"/>
    </row>
    <row r="150" spans="1:18" ht="15" customHeight="1">
      <c r="A150" s="411">
        <v>136</v>
      </c>
      <c r="B150" s="413" t="s">
        <v>2490</v>
      </c>
      <c r="C150" s="411">
        <f t="shared" si="4"/>
        <v>136</v>
      </c>
      <c r="D150" s="443" t="s">
        <v>2183</v>
      </c>
      <c r="E150" s="412" t="s">
        <v>2302</v>
      </c>
      <c r="F150" s="912">
        <v>4.9589800000000003E-2</v>
      </c>
      <c r="G150" s="480">
        <v>2538.48</v>
      </c>
      <c r="H150" s="414">
        <v>487.2</v>
      </c>
      <c r="I150" s="413" t="s">
        <v>481</v>
      </c>
      <c r="J150" s="411">
        <v>1</v>
      </c>
      <c r="K150" s="411" t="s">
        <v>568</v>
      </c>
      <c r="L150" s="482">
        <v>348</v>
      </c>
      <c r="M150" s="461" t="s">
        <v>2412</v>
      </c>
      <c r="N150" s="483">
        <v>67.071199999999919</v>
      </c>
      <c r="O150" s="483">
        <v>134.15400000000011</v>
      </c>
      <c r="P150" s="913" t="s">
        <v>2413</v>
      </c>
      <c r="Q150" s="484">
        <v>336.67839999999967</v>
      </c>
      <c r="R150" s="497"/>
    </row>
    <row r="151" spans="1:18" ht="15" customHeight="1">
      <c r="A151" s="411">
        <v>137</v>
      </c>
      <c r="B151" s="413" t="s">
        <v>5613</v>
      </c>
      <c r="C151" s="411">
        <f t="shared" si="4"/>
        <v>137</v>
      </c>
      <c r="D151" s="443" t="s">
        <v>2183</v>
      </c>
      <c r="E151" s="412" t="s">
        <v>5662</v>
      </c>
      <c r="F151" s="912">
        <v>4.9590000000000002E-2</v>
      </c>
      <c r="G151" s="480">
        <v>2538.48</v>
      </c>
      <c r="H151" s="414">
        <v>487.2</v>
      </c>
      <c r="I151" s="413" t="s">
        <v>481</v>
      </c>
      <c r="J151" s="411">
        <v>1</v>
      </c>
      <c r="K151" s="411" t="s">
        <v>5709</v>
      </c>
      <c r="L151" s="482">
        <v>348</v>
      </c>
      <c r="M151" s="461" t="s">
        <v>2412</v>
      </c>
      <c r="N151" s="483">
        <v>67.071199999999919</v>
      </c>
      <c r="O151" s="483">
        <v>134.15399999999985</v>
      </c>
      <c r="P151" s="913" t="s">
        <v>2413</v>
      </c>
      <c r="Q151" s="484">
        <v>336.67840000000001</v>
      </c>
      <c r="R151" s="497"/>
    </row>
    <row r="152" spans="1:18" ht="15" customHeight="1">
      <c r="A152" s="233">
        <v>138</v>
      </c>
      <c r="B152" s="413" t="s">
        <v>2491</v>
      </c>
      <c r="C152" s="411">
        <f t="shared" si="4"/>
        <v>138</v>
      </c>
      <c r="D152" s="443" t="s">
        <v>2183</v>
      </c>
      <c r="E152" s="412" t="s">
        <v>2303</v>
      </c>
      <c r="F152" s="912">
        <v>4.9589800000000003E-2</v>
      </c>
      <c r="G152" s="480">
        <v>2538.48</v>
      </c>
      <c r="H152" s="414">
        <v>487.2</v>
      </c>
      <c r="I152" s="413" t="s">
        <v>481</v>
      </c>
      <c r="J152" s="411">
        <v>1</v>
      </c>
      <c r="K152" s="411" t="s">
        <v>569</v>
      </c>
      <c r="L152" s="482">
        <v>348</v>
      </c>
      <c r="M152" s="461" t="s">
        <v>2412</v>
      </c>
      <c r="N152" s="483">
        <v>67.071199999999919</v>
      </c>
      <c r="O152" s="483">
        <v>134.15400000000011</v>
      </c>
      <c r="P152" s="913" t="s">
        <v>2413</v>
      </c>
      <c r="Q152" s="484">
        <v>336.67839999999967</v>
      </c>
      <c r="R152" s="497"/>
    </row>
    <row r="153" spans="1:18" ht="15" customHeight="1">
      <c r="A153" s="411">
        <v>139</v>
      </c>
      <c r="B153" s="413" t="s">
        <v>2492</v>
      </c>
      <c r="C153" s="411">
        <f t="shared" si="4"/>
        <v>139</v>
      </c>
      <c r="D153" s="443" t="s">
        <v>2183</v>
      </c>
      <c r="E153" s="412" t="s">
        <v>2304</v>
      </c>
      <c r="F153" s="912">
        <v>6.2130299999999999E-2</v>
      </c>
      <c r="G153" s="480">
        <v>3463.0023344000001</v>
      </c>
      <c r="H153" s="414">
        <v>487.2</v>
      </c>
      <c r="I153" s="413" t="s">
        <v>533</v>
      </c>
      <c r="J153" s="411">
        <v>2</v>
      </c>
      <c r="K153" s="411" t="s">
        <v>570</v>
      </c>
      <c r="L153" s="482">
        <v>348</v>
      </c>
      <c r="M153" s="461" t="s">
        <v>2412</v>
      </c>
      <c r="N153" s="483">
        <v>121.62599999999989</v>
      </c>
      <c r="O153" s="483">
        <v>243.24040000000008</v>
      </c>
      <c r="P153" s="913" t="s">
        <v>2413</v>
      </c>
      <c r="Q153" s="484">
        <v>336.67839999999967</v>
      </c>
      <c r="R153" s="497"/>
    </row>
    <row r="154" spans="1:18" ht="15" customHeight="1">
      <c r="A154" s="411">
        <v>140</v>
      </c>
      <c r="B154" s="413" t="s">
        <v>11033</v>
      </c>
      <c r="C154" s="411">
        <f t="shared" si="4"/>
        <v>140</v>
      </c>
      <c r="D154" s="443" t="s">
        <v>2183</v>
      </c>
      <c r="E154" s="412" t="s">
        <v>11047</v>
      </c>
      <c r="F154" s="912">
        <v>4.9936000000000001E-2</v>
      </c>
      <c r="G154" s="480">
        <v>2538.48</v>
      </c>
      <c r="H154" s="414">
        <v>487.2</v>
      </c>
      <c r="I154" s="413" t="s">
        <v>481</v>
      </c>
      <c r="J154" s="411">
        <v>1</v>
      </c>
      <c r="K154" s="411" t="s">
        <v>11058</v>
      </c>
      <c r="L154" s="482">
        <v>348</v>
      </c>
      <c r="M154" s="461" t="s">
        <v>2412</v>
      </c>
      <c r="N154" s="483">
        <v>67.071199999999919</v>
      </c>
      <c r="O154" s="483">
        <v>134.15400000000011</v>
      </c>
      <c r="P154" s="913" t="s">
        <v>2413</v>
      </c>
      <c r="Q154" s="484">
        <v>336.67839999999967</v>
      </c>
      <c r="R154" s="497"/>
    </row>
    <row r="155" spans="1:18" ht="15" customHeight="1">
      <c r="A155" s="233">
        <v>141</v>
      </c>
      <c r="B155" s="413" t="s">
        <v>2493</v>
      </c>
      <c r="C155" s="411">
        <f t="shared" si="4"/>
        <v>141</v>
      </c>
      <c r="D155" s="443" t="s">
        <v>2183</v>
      </c>
      <c r="E155" s="412" t="s">
        <v>2305</v>
      </c>
      <c r="F155" s="912">
        <v>6.2130299999999999E-2</v>
      </c>
      <c r="G155" s="480">
        <v>3463.0023344000001</v>
      </c>
      <c r="H155" s="414">
        <v>487.2</v>
      </c>
      <c r="I155" s="413" t="s">
        <v>533</v>
      </c>
      <c r="J155" s="411">
        <v>2</v>
      </c>
      <c r="K155" s="411" t="s">
        <v>571</v>
      </c>
      <c r="L155" s="482">
        <v>348</v>
      </c>
      <c r="M155" s="461" t="s">
        <v>2412</v>
      </c>
      <c r="N155" s="483">
        <v>121.62599999999989</v>
      </c>
      <c r="O155" s="483">
        <v>243.24040000000008</v>
      </c>
      <c r="P155" s="913" t="s">
        <v>2413</v>
      </c>
      <c r="Q155" s="484">
        <v>336.67839999999967</v>
      </c>
      <c r="R155" s="497"/>
    </row>
    <row r="156" spans="1:18" ht="15" customHeight="1">
      <c r="A156" s="411">
        <v>142</v>
      </c>
      <c r="B156" s="413" t="s">
        <v>2494</v>
      </c>
      <c r="C156" s="411">
        <f t="shared" si="4"/>
        <v>142</v>
      </c>
      <c r="D156" s="443" t="s">
        <v>2183</v>
      </c>
      <c r="E156" s="412" t="s">
        <v>2306</v>
      </c>
      <c r="F156" s="912">
        <v>6.2130299999999999E-2</v>
      </c>
      <c r="G156" s="480">
        <v>3463.0023344000001</v>
      </c>
      <c r="H156" s="414">
        <v>487.2</v>
      </c>
      <c r="I156" s="413" t="s">
        <v>533</v>
      </c>
      <c r="J156" s="411">
        <v>2</v>
      </c>
      <c r="K156" s="411" t="s">
        <v>572</v>
      </c>
      <c r="L156" s="482">
        <v>348</v>
      </c>
      <c r="M156" s="461" t="s">
        <v>2412</v>
      </c>
      <c r="N156" s="483">
        <v>121.62599999999989</v>
      </c>
      <c r="O156" s="483">
        <v>243.24040000000008</v>
      </c>
      <c r="P156" s="913" t="s">
        <v>2413</v>
      </c>
      <c r="Q156" s="484">
        <v>336.67839999999967</v>
      </c>
      <c r="R156" s="497"/>
    </row>
    <row r="157" spans="1:18" ht="15" customHeight="1">
      <c r="A157" s="411">
        <v>143</v>
      </c>
      <c r="B157" s="413" t="s">
        <v>2495</v>
      </c>
      <c r="C157" s="411">
        <f t="shared" si="4"/>
        <v>143</v>
      </c>
      <c r="D157" s="443" t="s">
        <v>2183</v>
      </c>
      <c r="E157" s="412" t="s">
        <v>2307</v>
      </c>
      <c r="F157" s="912">
        <v>6.2130299999999999E-2</v>
      </c>
      <c r="G157" s="480">
        <v>3463.0023344000001</v>
      </c>
      <c r="H157" s="414">
        <v>487.2</v>
      </c>
      <c r="I157" s="413" t="s">
        <v>533</v>
      </c>
      <c r="J157" s="411">
        <v>2</v>
      </c>
      <c r="K157" s="411" t="s">
        <v>573</v>
      </c>
      <c r="L157" s="482">
        <v>348</v>
      </c>
      <c r="M157" s="461" t="s">
        <v>2412</v>
      </c>
      <c r="N157" s="483">
        <v>121.62599999999989</v>
      </c>
      <c r="O157" s="483">
        <v>243.24040000000008</v>
      </c>
      <c r="P157" s="913" t="s">
        <v>2413</v>
      </c>
      <c r="Q157" s="484">
        <v>336.67839999999967</v>
      </c>
      <c r="R157" s="497"/>
    </row>
    <row r="158" spans="1:18" ht="15" customHeight="1">
      <c r="A158" s="233">
        <v>144</v>
      </c>
      <c r="B158" s="413" t="s">
        <v>2496</v>
      </c>
      <c r="C158" s="411">
        <f t="shared" si="4"/>
        <v>144</v>
      </c>
      <c r="D158" s="443" t="s">
        <v>2183</v>
      </c>
      <c r="E158" s="412" t="s">
        <v>2308</v>
      </c>
      <c r="F158" s="912">
        <v>4.1638000000000001E-2</v>
      </c>
      <c r="G158" s="480">
        <v>3463.0023344000001</v>
      </c>
      <c r="H158" s="414">
        <v>487.2</v>
      </c>
      <c r="I158" s="413" t="s">
        <v>533</v>
      </c>
      <c r="J158" s="411">
        <v>2</v>
      </c>
      <c r="K158" s="411" t="s">
        <v>574</v>
      </c>
      <c r="L158" s="482">
        <v>348</v>
      </c>
      <c r="M158" s="461" t="s">
        <v>2412</v>
      </c>
      <c r="N158" s="483">
        <v>121.62599999999989</v>
      </c>
      <c r="O158" s="483">
        <v>243.24040000000008</v>
      </c>
      <c r="P158" s="913" t="s">
        <v>2413</v>
      </c>
      <c r="Q158" s="484">
        <v>336.67839999999967</v>
      </c>
      <c r="R158" s="497"/>
    </row>
    <row r="159" spans="1:18" ht="15" customHeight="1">
      <c r="A159" s="411">
        <v>145</v>
      </c>
      <c r="B159" s="413" t="s">
        <v>2497</v>
      </c>
      <c r="C159" s="411">
        <f t="shared" si="4"/>
        <v>145</v>
      </c>
      <c r="D159" s="443" t="s">
        <v>2183</v>
      </c>
      <c r="E159" s="412" t="s">
        <v>2309</v>
      </c>
      <c r="F159" s="912">
        <v>4.1638000000000001E-2</v>
      </c>
      <c r="G159" s="480">
        <v>3463.0023344000001</v>
      </c>
      <c r="H159" s="414">
        <v>487.2</v>
      </c>
      <c r="I159" s="413" t="s">
        <v>533</v>
      </c>
      <c r="J159" s="411">
        <v>2</v>
      </c>
      <c r="K159" s="411" t="s">
        <v>575</v>
      </c>
      <c r="L159" s="482">
        <v>348</v>
      </c>
      <c r="M159" s="461" t="s">
        <v>2412</v>
      </c>
      <c r="N159" s="483">
        <v>121.62599999999989</v>
      </c>
      <c r="O159" s="483">
        <v>243.24040000000008</v>
      </c>
      <c r="P159" s="913" t="s">
        <v>2413</v>
      </c>
      <c r="Q159" s="484">
        <v>336.67839999999967</v>
      </c>
      <c r="R159" s="497"/>
    </row>
    <row r="160" spans="1:18" ht="15" customHeight="1">
      <c r="A160" s="411">
        <v>146</v>
      </c>
      <c r="B160" s="413" t="s">
        <v>2498</v>
      </c>
      <c r="C160" s="411">
        <f t="shared" si="4"/>
        <v>146</v>
      </c>
      <c r="D160" s="443" t="s">
        <v>2183</v>
      </c>
      <c r="E160" s="412" t="s">
        <v>2310</v>
      </c>
      <c r="F160" s="912">
        <v>6.2130299999999999E-2</v>
      </c>
      <c r="G160" s="480">
        <v>3463.0023344000001</v>
      </c>
      <c r="H160" s="414">
        <v>487.2</v>
      </c>
      <c r="I160" s="413" t="s">
        <v>533</v>
      </c>
      <c r="J160" s="411">
        <v>2</v>
      </c>
      <c r="K160" s="411" t="s">
        <v>576</v>
      </c>
      <c r="L160" s="482">
        <v>348</v>
      </c>
      <c r="M160" s="461" t="s">
        <v>2412</v>
      </c>
      <c r="N160" s="483">
        <v>121.62599999999989</v>
      </c>
      <c r="O160" s="483">
        <v>243.24040000000008</v>
      </c>
      <c r="P160" s="913" t="s">
        <v>2413</v>
      </c>
      <c r="Q160" s="484">
        <v>336.67839999999967</v>
      </c>
      <c r="R160" s="497"/>
    </row>
    <row r="161" spans="1:18" ht="15" customHeight="1">
      <c r="A161" s="233">
        <v>147</v>
      </c>
      <c r="B161" s="413" t="s">
        <v>2499</v>
      </c>
      <c r="C161" s="411">
        <f t="shared" si="4"/>
        <v>147</v>
      </c>
      <c r="D161" s="443" t="s">
        <v>2183</v>
      </c>
      <c r="E161" s="412" t="s">
        <v>2311</v>
      </c>
      <c r="F161" s="912">
        <v>6.2130299999999999E-2</v>
      </c>
      <c r="G161" s="480">
        <v>3463.0023344000001</v>
      </c>
      <c r="H161" s="414">
        <v>487.2</v>
      </c>
      <c r="I161" s="413" t="s">
        <v>533</v>
      </c>
      <c r="J161" s="411">
        <v>2</v>
      </c>
      <c r="K161" s="411" t="s">
        <v>577</v>
      </c>
      <c r="L161" s="482">
        <v>348</v>
      </c>
      <c r="M161" s="461" t="s">
        <v>2412</v>
      </c>
      <c r="N161" s="483">
        <v>121.62599999999989</v>
      </c>
      <c r="O161" s="483">
        <v>243.24040000000008</v>
      </c>
      <c r="P161" s="913" t="s">
        <v>2413</v>
      </c>
      <c r="Q161" s="484">
        <v>336.67839999999967</v>
      </c>
      <c r="R161" s="497"/>
    </row>
    <row r="162" spans="1:18" ht="15" customHeight="1">
      <c r="A162" s="411">
        <v>148</v>
      </c>
      <c r="B162" s="413" t="s">
        <v>2500</v>
      </c>
      <c r="C162" s="411">
        <f t="shared" si="4"/>
        <v>148</v>
      </c>
      <c r="D162" s="443" t="s">
        <v>2183</v>
      </c>
      <c r="E162" s="412" t="s">
        <v>2312</v>
      </c>
      <c r="F162" s="912">
        <v>5.5006300000000001E-2</v>
      </c>
      <c r="G162" s="480">
        <v>2538.48</v>
      </c>
      <c r="H162" s="414">
        <v>487.2</v>
      </c>
      <c r="I162" s="413" t="s">
        <v>481</v>
      </c>
      <c r="J162" s="411">
        <v>1</v>
      </c>
      <c r="K162" s="411" t="s">
        <v>578</v>
      </c>
      <c r="L162" s="482">
        <v>348</v>
      </c>
      <c r="M162" s="461" t="s">
        <v>2412</v>
      </c>
      <c r="N162" s="483">
        <v>67.071199999999919</v>
      </c>
      <c r="O162" s="483">
        <v>134.15400000000011</v>
      </c>
      <c r="P162" s="913" t="s">
        <v>2413</v>
      </c>
      <c r="Q162" s="484">
        <v>336.67839999999967</v>
      </c>
      <c r="R162" s="497"/>
    </row>
    <row r="163" spans="1:18" ht="15" customHeight="1">
      <c r="A163" s="411">
        <v>149</v>
      </c>
      <c r="B163" s="413" t="s">
        <v>2501</v>
      </c>
      <c r="C163" s="411">
        <f t="shared" si="4"/>
        <v>149</v>
      </c>
      <c r="D163" s="443" t="s">
        <v>2183</v>
      </c>
      <c r="E163" s="412" t="s">
        <v>2313</v>
      </c>
      <c r="F163" s="912">
        <v>5.5006300000000001E-2</v>
      </c>
      <c r="G163" s="480">
        <v>2538.48</v>
      </c>
      <c r="H163" s="414">
        <v>487.2</v>
      </c>
      <c r="I163" s="413" t="s">
        <v>481</v>
      </c>
      <c r="J163" s="411">
        <v>1</v>
      </c>
      <c r="K163" s="411" t="s">
        <v>579</v>
      </c>
      <c r="L163" s="482">
        <v>348</v>
      </c>
      <c r="M163" s="461" t="s">
        <v>2412</v>
      </c>
      <c r="N163" s="483">
        <v>67.071199999999919</v>
      </c>
      <c r="O163" s="483">
        <v>134.15400000000011</v>
      </c>
      <c r="P163" s="913" t="s">
        <v>2413</v>
      </c>
      <c r="Q163" s="484">
        <v>336.67839999999967</v>
      </c>
      <c r="R163" s="497"/>
    </row>
    <row r="164" spans="1:18" ht="15" customHeight="1">
      <c r="A164" s="233">
        <v>150</v>
      </c>
      <c r="B164" s="413" t="s">
        <v>3237</v>
      </c>
      <c r="C164" s="411">
        <f t="shared" si="4"/>
        <v>150</v>
      </c>
      <c r="D164" s="443" t="s">
        <v>2183</v>
      </c>
      <c r="E164" s="412" t="s">
        <v>3263</v>
      </c>
      <c r="F164" s="912">
        <v>4.2173499999999996E-2</v>
      </c>
      <c r="G164" s="480">
        <v>3463.0023344000001</v>
      </c>
      <c r="H164" s="414">
        <v>487.2</v>
      </c>
      <c r="I164" s="413" t="s">
        <v>533</v>
      </c>
      <c r="J164" s="411">
        <v>2</v>
      </c>
      <c r="K164" s="411" t="s">
        <v>3287</v>
      </c>
      <c r="L164" s="482">
        <v>348</v>
      </c>
      <c r="M164" s="461" t="s">
        <v>2412</v>
      </c>
      <c r="N164" s="483">
        <v>121.62599999999989</v>
      </c>
      <c r="O164" s="483">
        <v>243.24040000000008</v>
      </c>
      <c r="P164" s="913" t="s">
        <v>2413</v>
      </c>
      <c r="Q164" s="484">
        <v>336.67839999999967</v>
      </c>
      <c r="R164" s="497"/>
    </row>
    <row r="165" spans="1:18" ht="15" customHeight="1">
      <c r="A165" s="411">
        <v>151</v>
      </c>
      <c r="B165" s="413" t="s">
        <v>3238</v>
      </c>
      <c r="C165" s="411">
        <f t="shared" si="4"/>
        <v>151</v>
      </c>
      <c r="D165" s="443" t="s">
        <v>2183</v>
      </c>
      <c r="E165" s="412" t="s">
        <v>3264</v>
      </c>
      <c r="F165" s="912">
        <v>4.1797399999999998E-2</v>
      </c>
      <c r="G165" s="480">
        <v>3463.0023344000001</v>
      </c>
      <c r="H165" s="414">
        <v>487.2</v>
      </c>
      <c r="I165" s="413" t="s">
        <v>533</v>
      </c>
      <c r="J165" s="411">
        <v>2</v>
      </c>
      <c r="K165" s="411" t="s">
        <v>3288</v>
      </c>
      <c r="L165" s="482">
        <v>348</v>
      </c>
      <c r="M165" s="461" t="s">
        <v>2412</v>
      </c>
      <c r="N165" s="483">
        <v>121.62599999999989</v>
      </c>
      <c r="O165" s="483">
        <v>243.24040000000008</v>
      </c>
      <c r="P165" s="913" t="s">
        <v>2413</v>
      </c>
      <c r="Q165" s="484">
        <v>336.67839999999967</v>
      </c>
      <c r="R165" s="497"/>
    </row>
    <row r="166" spans="1:18" ht="15" customHeight="1">
      <c r="A166" s="411">
        <v>152</v>
      </c>
      <c r="B166" s="413" t="s">
        <v>3239</v>
      </c>
      <c r="C166" s="411">
        <f t="shared" si="4"/>
        <v>152</v>
      </c>
      <c r="D166" s="443" t="s">
        <v>2183</v>
      </c>
      <c r="E166" s="412" t="s">
        <v>3265</v>
      </c>
      <c r="F166" s="912">
        <v>4.1797399999999998E-2</v>
      </c>
      <c r="G166" s="480">
        <v>3463.0023344000001</v>
      </c>
      <c r="H166" s="414">
        <v>487.2</v>
      </c>
      <c r="I166" s="413" t="s">
        <v>533</v>
      </c>
      <c r="J166" s="411">
        <v>2</v>
      </c>
      <c r="K166" s="411" t="s">
        <v>3289</v>
      </c>
      <c r="L166" s="482">
        <v>348</v>
      </c>
      <c r="M166" s="461" t="s">
        <v>2412</v>
      </c>
      <c r="N166" s="483">
        <v>121.62599999999989</v>
      </c>
      <c r="O166" s="483">
        <v>243.24040000000008</v>
      </c>
      <c r="P166" s="913" t="s">
        <v>2413</v>
      </c>
      <c r="Q166" s="484">
        <v>336.67839999999967</v>
      </c>
      <c r="R166" s="497"/>
    </row>
    <row r="167" spans="1:18" ht="15" customHeight="1">
      <c r="A167" s="233">
        <v>153</v>
      </c>
      <c r="B167" s="413" t="s">
        <v>4258</v>
      </c>
      <c r="C167" s="411">
        <f t="shared" si="4"/>
        <v>153</v>
      </c>
      <c r="D167" s="443" t="s">
        <v>2183</v>
      </c>
      <c r="E167" s="412" t="s">
        <v>4268</v>
      </c>
      <c r="F167" s="912">
        <v>4.1638000000000001E-2</v>
      </c>
      <c r="G167" s="480">
        <v>3463.0023344000001</v>
      </c>
      <c r="H167" s="414">
        <v>487.2</v>
      </c>
      <c r="I167" s="413" t="s">
        <v>533</v>
      </c>
      <c r="J167" s="411">
        <v>2</v>
      </c>
      <c r="K167" s="411" t="s">
        <v>575</v>
      </c>
      <c r="L167" s="482">
        <v>348</v>
      </c>
      <c r="M167" s="461" t="s">
        <v>2412</v>
      </c>
      <c r="N167" s="483">
        <v>121.62599999999989</v>
      </c>
      <c r="O167" s="483">
        <v>243.24040000000008</v>
      </c>
      <c r="P167" s="913" t="s">
        <v>2413</v>
      </c>
      <c r="Q167" s="484">
        <v>336.67839999999967</v>
      </c>
      <c r="R167" s="497"/>
    </row>
    <row r="168" spans="1:18" ht="15" customHeight="1">
      <c r="A168" s="411">
        <v>154</v>
      </c>
      <c r="B168" s="413" t="s">
        <v>3364</v>
      </c>
      <c r="C168" s="411">
        <f t="shared" si="4"/>
        <v>154</v>
      </c>
      <c r="D168" s="443" t="s">
        <v>2183</v>
      </c>
      <c r="E168" s="412" t="s">
        <v>3534</v>
      </c>
      <c r="F168" s="912">
        <v>3.1363000000000002E-2</v>
      </c>
      <c r="G168" s="480">
        <v>7453.37</v>
      </c>
      <c r="H168" s="414">
        <v>487.2</v>
      </c>
      <c r="I168" s="413" t="s">
        <v>3620</v>
      </c>
      <c r="J168" s="411">
        <v>3</v>
      </c>
      <c r="K168" s="411" t="s">
        <v>3446</v>
      </c>
      <c r="L168" s="482">
        <v>348</v>
      </c>
      <c r="M168" s="461" t="s">
        <v>2412</v>
      </c>
      <c r="N168" s="483">
        <v>298.14</v>
      </c>
      <c r="O168" s="483">
        <v>596.29</v>
      </c>
      <c r="P168" s="913" t="s">
        <v>2413</v>
      </c>
      <c r="Q168" s="484">
        <v>0</v>
      </c>
      <c r="R168" s="497"/>
    </row>
    <row r="169" spans="1:18" ht="15" customHeight="1">
      <c r="A169" s="411">
        <v>155</v>
      </c>
      <c r="B169" s="413" t="s">
        <v>4238</v>
      </c>
      <c r="C169" s="411">
        <f t="shared" si="4"/>
        <v>155</v>
      </c>
      <c r="D169" s="443" t="s">
        <v>2183</v>
      </c>
      <c r="E169" s="412" t="s">
        <v>4244</v>
      </c>
      <c r="F169" s="912">
        <v>6.2130299999999999E-2</v>
      </c>
      <c r="G169" s="480">
        <v>3463.0023344000001</v>
      </c>
      <c r="H169" s="414">
        <v>487.2</v>
      </c>
      <c r="I169" s="413" t="s">
        <v>533</v>
      </c>
      <c r="J169" s="411">
        <v>2</v>
      </c>
      <c r="K169" s="411" t="s">
        <v>4250</v>
      </c>
      <c r="L169" s="482">
        <v>348</v>
      </c>
      <c r="M169" s="461" t="s">
        <v>2412</v>
      </c>
      <c r="N169" s="483">
        <v>121.62599999999989</v>
      </c>
      <c r="O169" s="483">
        <v>243.24040000000008</v>
      </c>
      <c r="P169" s="913" t="s">
        <v>2413</v>
      </c>
      <c r="Q169" s="484">
        <v>336.67839999999967</v>
      </c>
      <c r="R169" s="497"/>
    </row>
    <row r="170" spans="1:18" ht="15" customHeight="1">
      <c r="A170" s="233">
        <v>156</v>
      </c>
      <c r="B170" s="413" t="s">
        <v>4239</v>
      </c>
      <c r="C170" s="411">
        <f t="shared" si="4"/>
        <v>156</v>
      </c>
      <c r="D170" s="443" t="s">
        <v>2183</v>
      </c>
      <c r="E170" s="412" t="s">
        <v>4245</v>
      </c>
      <c r="F170" s="912">
        <v>6.2130299999999999E-2</v>
      </c>
      <c r="G170" s="480">
        <v>3463.0023344000001</v>
      </c>
      <c r="H170" s="414">
        <v>487.2</v>
      </c>
      <c r="I170" s="413" t="s">
        <v>533</v>
      </c>
      <c r="J170" s="411">
        <v>2</v>
      </c>
      <c r="K170" s="411" t="s">
        <v>4251</v>
      </c>
      <c r="L170" s="482">
        <v>348</v>
      </c>
      <c r="M170" s="461" t="s">
        <v>2412</v>
      </c>
      <c r="N170" s="483">
        <v>121.62599999999989</v>
      </c>
      <c r="O170" s="483">
        <v>243.24040000000008</v>
      </c>
      <c r="P170" s="913" t="s">
        <v>2413</v>
      </c>
      <c r="Q170" s="484">
        <v>336.67839999999967</v>
      </c>
      <c r="R170" s="497"/>
    </row>
    <row r="171" spans="1:18" ht="15" customHeight="1">
      <c r="A171" s="411">
        <v>157</v>
      </c>
      <c r="B171" s="413" t="s">
        <v>4210</v>
      </c>
      <c r="C171" s="411">
        <f t="shared" si="4"/>
        <v>157</v>
      </c>
      <c r="D171" s="443" t="s">
        <v>2183</v>
      </c>
      <c r="E171" s="412" t="s">
        <v>4213</v>
      </c>
      <c r="F171" s="912">
        <v>6.2130299999999999E-2</v>
      </c>
      <c r="G171" s="480">
        <v>3463.0023344000001</v>
      </c>
      <c r="H171" s="414">
        <v>487.2</v>
      </c>
      <c r="I171" s="413" t="s">
        <v>533</v>
      </c>
      <c r="J171" s="411">
        <v>2</v>
      </c>
      <c r="K171" s="411" t="s">
        <v>4216</v>
      </c>
      <c r="L171" s="482">
        <v>348</v>
      </c>
      <c r="M171" s="461" t="s">
        <v>2412</v>
      </c>
      <c r="N171" s="483">
        <v>121.62599999999989</v>
      </c>
      <c r="O171" s="483">
        <v>243.24040000000008</v>
      </c>
      <c r="P171" s="913" t="s">
        <v>2413</v>
      </c>
      <c r="Q171" s="484">
        <v>336.67839999999967</v>
      </c>
      <c r="R171" s="497"/>
    </row>
    <row r="172" spans="1:18" ht="15" customHeight="1">
      <c r="A172" s="411">
        <v>158</v>
      </c>
      <c r="B172" s="413" t="s">
        <v>4211</v>
      </c>
      <c r="C172" s="411">
        <f t="shared" si="4"/>
        <v>158</v>
      </c>
      <c r="D172" s="443" t="s">
        <v>2183</v>
      </c>
      <c r="E172" s="412" t="s">
        <v>4214</v>
      </c>
      <c r="F172" s="912">
        <v>6.2130299999999999E-2</v>
      </c>
      <c r="G172" s="480">
        <v>3463.0023344000001</v>
      </c>
      <c r="H172" s="414">
        <v>487.2</v>
      </c>
      <c r="I172" s="413" t="s">
        <v>533</v>
      </c>
      <c r="J172" s="411">
        <v>2</v>
      </c>
      <c r="K172" s="411" t="s">
        <v>4217</v>
      </c>
      <c r="L172" s="482">
        <v>348</v>
      </c>
      <c r="M172" s="461" t="s">
        <v>2412</v>
      </c>
      <c r="N172" s="483">
        <v>121.62599999999989</v>
      </c>
      <c r="O172" s="483">
        <v>243.24040000000008</v>
      </c>
      <c r="P172" s="913" t="s">
        <v>2413</v>
      </c>
      <c r="Q172" s="484">
        <v>336.67839999999967</v>
      </c>
      <c r="R172" s="497"/>
    </row>
    <row r="173" spans="1:18" ht="15" customHeight="1">
      <c r="A173" s="233">
        <v>159</v>
      </c>
      <c r="B173" s="413" t="s">
        <v>3365</v>
      </c>
      <c r="C173" s="411">
        <f t="shared" si="4"/>
        <v>159</v>
      </c>
      <c r="D173" s="443" t="s">
        <v>2183</v>
      </c>
      <c r="E173" s="412" t="s">
        <v>3535</v>
      </c>
      <c r="F173" s="912">
        <v>4.2173499999999996E-2</v>
      </c>
      <c r="G173" s="480">
        <v>3463.0023344000001</v>
      </c>
      <c r="H173" s="414">
        <v>487.2</v>
      </c>
      <c r="I173" s="413" t="s">
        <v>533</v>
      </c>
      <c r="J173" s="411">
        <v>2</v>
      </c>
      <c r="K173" s="411" t="s">
        <v>3447</v>
      </c>
      <c r="L173" s="482">
        <v>348</v>
      </c>
      <c r="M173" s="461" t="s">
        <v>2412</v>
      </c>
      <c r="N173" s="483">
        <v>121.62599999999989</v>
      </c>
      <c r="O173" s="483">
        <v>243.24040000000008</v>
      </c>
      <c r="P173" s="913" t="s">
        <v>2413</v>
      </c>
      <c r="Q173" s="484">
        <v>336.67839999999967</v>
      </c>
      <c r="R173" s="497"/>
    </row>
    <row r="174" spans="1:18" ht="15" customHeight="1">
      <c r="A174" s="411">
        <v>160</v>
      </c>
      <c r="B174" s="413" t="s">
        <v>3366</v>
      </c>
      <c r="C174" s="411">
        <f t="shared" si="4"/>
        <v>160</v>
      </c>
      <c r="D174" s="443" t="s">
        <v>2183</v>
      </c>
      <c r="E174" s="412" t="s">
        <v>3536</v>
      </c>
      <c r="F174" s="912">
        <v>4.1797399999999998E-2</v>
      </c>
      <c r="G174" s="480">
        <v>3463.0023344000001</v>
      </c>
      <c r="H174" s="414">
        <v>487.2</v>
      </c>
      <c r="I174" s="413" t="s">
        <v>533</v>
      </c>
      <c r="J174" s="411">
        <v>2</v>
      </c>
      <c r="K174" s="411" t="s">
        <v>3448</v>
      </c>
      <c r="L174" s="482">
        <v>348</v>
      </c>
      <c r="M174" s="461" t="s">
        <v>2412</v>
      </c>
      <c r="N174" s="483">
        <v>121.62599999999989</v>
      </c>
      <c r="O174" s="483">
        <v>243.24040000000008</v>
      </c>
      <c r="P174" s="913" t="s">
        <v>2413</v>
      </c>
      <c r="Q174" s="484">
        <v>336.67839999999967</v>
      </c>
      <c r="R174" s="497"/>
    </row>
    <row r="175" spans="1:18" ht="15" customHeight="1">
      <c r="A175" s="411">
        <v>161</v>
      </c>
      <c r="B175" s="413" t="s">
        <v>2502</v>
      </c>
      <c r="C175" s="411">
        <f t="shared" si="4"/>
        <v>161</v>
      </c>
      <c r="D175" s="443" t="s">
        <v>2183</v>
      </c>
      <c r="E175" s="412" t="s">
        <v>2314</v>
      </c>
      <c r="F175" s="912">
        <v>3.8602999999999998E-2</v>
      </c>
      <c r="G175" s="480">
        <v>2538.4744000000001</v>
      </c>
      <c r="H175" s="414">
        <v>487.2</v>
      </c>
      <c r="I175" s="413" t="s">
        <v>481</v>
      </c>
      <c r="J175" s="411">
        <v>1</v>
      </c>
      <c r="K175" s="411" t="s">
        <v>580</v>
      </c>
      <c r="L175" s="482">
        <v>348</v>
      </c>
      <c r="M175" s="461" t="s">
        <v>2412</v>
      </c>
      <c r="N175" s="483">
        <v>67.071199999999919</v>
      </c>
      <c r="O175" s="483">
        <v>134.15400000000011</v>
      </c>
      <c r="P175" s="913" t="s">
        <v>2413</v>
      </c>
      <c r="Q175" s="484">
        <v>336.67839999999967</v>
      </c>
      <c r="R175" s="497"/>
    </row>
    <row r="176" spans="1:18" ht="15" customHeight="1">
      <c r="A176" s="233">
        <v>162</v>
      </c>
      <c r="B176" s="413" t="s">
        <v>2503</v>
      </c>
      <c r="C176" s="411">
        <f t="shared" si="4"/>
        <v>162</v>
      </c>
      <c r="D176" s="443" t="s">
        <v>2183</v>
      </c>
      <c r="E176" s="412" t="s">
        <v>2315</v>
      </c>
      <c r="F176" s="912">
        <v>3.8602999999999998E-2</v>
      </c>
      <c r="G176" s="480">
        <v>2538.4744000000001</v>
      </c>
      <c r="H176" s="414">
        <v>487.2</v>
      </c>
      <c r="I176" s="413" t="s">
        <v>481</v>
      </c>
      <c r="J176" s="411">
        <v>1</v>
      </c>
      <c r="K176" s="411" t="s">
        <v>581</v>
      </c>
      <c r="L176" s="482">
        <v>348</v>
      </c>
      <c r="M176" s="461" t="s">
        <v>2412</v>
      </c>
      <c r="N176" s="483">
        <v>67.071199999999919</v>
      </c>
      <c r="O176" s="483">
        <v>134.15400000000011</v>
      </c>
      <c r="P176" s="913" t="s">
        <v>2413</v>
      </c>
      <c r="Q176" s="484">
        <v>336.67839999999967</v>
      </c>
      <c r="R176" s="497"/>
    </row>
    <row r="177" spans="1:18" ht="15" customHeight="1">
      <c r="A177" s="411">
        <v>163</v>
      </c>
      <c r="B177" s="413" t="s">
        <v>5614</v>
      </c>
      <c r="C177" s="411">
        <f t="shared" si="4"/>
        <v>163</v>
      </c>
      <c r="D177" s="443" t="s">
        <v>5659</v>
      </c>
      <c r="E177" s="412" t="s">
        <v>5663</v>
      </c>
      <c r="F177" s="912">
        <v>6.2129999999999998E-2</v>
      </c>
      <c r="G177" s="480">
        <v>3463</v>
      </c>
      <c r="H177" s="414">
        <v>488.2</v>
      </c>
      <c r="I177" s="413" t="s">
        <v>533</v>
      </c>
      <c r="J177" s="411">
        <v>2</v>
      </c>
      <c r="K177" s="411" t="s">
        <v>5710</v>
      </c>
      <c r="L177" s="482">
        <v>348</v>
      </c>
      <c r="M177" s="461" t="s">
        <v>2412</v>
      </c>
      <c r="N177" s="483">
        <v>121.62599999999989</v>
      </c>
      <c r="O177" s="483">
        <v>243.24040000000008</v>
      </c>
      <c r="P177" s="913" t="s">
        <v>2413</v>
      </c>
      <c r="Q177" s="484">
        <v>336.67840000000001</v>
      </c>
      <c r="R177" s="497"/>
    </row>
    <row r="178" spans="1:18" ht="15" customHeight="1">
      <c r="A178" s="411">
        <v>164</v>
      </c>
      <c r="B178" s="413" t="s">
        <v>4201</v>
      </c>
      <c r="C178" s="411">
        <f t="shared" si="4"/>
        <v>164</v>
      </c>
      <c r="D178" s="443" t="s">
        <v>4203</v>
      </c>
      <c r="E178" s="412" t="s">
        <v>2344</v>
      </c>
      <c r="F178" s="912">
        <v>5.1864600000000004E-2</v>
      </c>
      <c r="G178" s="480">
        <v>3463.0023344000001</v>
      </c>
      <c r="H178" s="414">
        <v>487.2</v>
      </c>
      <c r="I178" s="413" t="s">
        <v>533</v>
      </c>
      <c r="J178" s="411">
        <v>2</v>
      </c>
      <c r="K178" s="411" t="s">
        <v>4207</v>
      </c>
      <c r="L178" s="482">
        <v>348</v>
      </c>
      <c r="M178" s="461" t="s">
        <v>2412</v>
      </c>
      <c r="N178" s="483">
        <v>121.62599999999989</v>
      </c>
      <c r="O178" s="483">
        <v>243.24040000000008</v>
      </c>
      <c r="P178" s="913" t="s">
        <v>2413</v>
      </c>
      <c r="Q178" s="484">
        <v>336.67839999999967</v>
      </c>
      <c r="R178" s="497"/>
    </row>
    <row r="179" spans="1:18" ht="15" customHeight="1">
      <c r="A179" s="233">
        <v>165</v>
      </c>
      <c r="B179" s="413" t="s">
        <v>2504</v>
      </c>
      <c r="C179" s="411">
        <f t="shared" si="4"/>
        <v>165</v>
      </c>
      <c r="D179" s="443" t="s">
        <v>2184</v>
      </c>
      <c r="E179" s="412" t="s">
        <v>2316</v>
      </c>
      <c r="F179" s="912">
        <v>4.8639700000000001E-2</v>
      </c>
      <c r="G179" s="480">
        <v>3463.0023344000001</v>
      </c>
      <c r="H179" s="414">
        <v>487.2</v>
      </c>
      <c r="I179" s="413" t="s">
        <v>533</v>
      </c>
      <c r="J179" s="411">
        <v>2</v>
      </c>
      <c r="K179" s="411" t="s">
        <v>582</v>
      </c>
      <c r="L179" s="482">
        <v>348</v>
      </c>
      <c r="M179" s="461" t="s">
        <v>2412</v>
      </c>
      <c r="N179" s="483">
        <v>121.62599999999989</v>
      </c>
      <c r="O179" s="483">
        <v>243.24040000000008</v>
      </c>
      <c r="P179" s="913" t="s">
        <v>2413</v>
      </c>
      <c r="Q179" s="484">
        <v>336.67839999999967</v>
      </c>
      <c r="R179" s="497"/>
    </row>
    <row r="180" spans="1:18" ht="15" customHeight="1">
      <c r="A180" s="411">
        <v>166</v>
      </c>
      <c r="B180" s="413" t="s">
        <v>3367</v>
      </c>
      <c r="C180" s="411">
        <f t="shared" si="4"/>
        <v>166</v>
      </c>
      <c r="D180" s="443" t="s">
        <v>2184</v>
      </c>
      <c r="E180" s="412" t="s">
        <v>3537</v>
      </c>
      <c r="F180" s="912">
        <v>4.1875999999999997E-2</v>
      </c>
      <c r="G180" s="480">
        <v>2538.48</v>
      </c>
      <c r="H180" s="414">
        <v>487.2</v>
      </c>
      <c r="I180" s="413" t="s">
        <v>481</v>
      </c>
      <c r="J180" s="411">
        <v>1</v>
      </c>
      <c r="K180" s="411" t="s">
        <v>3449</v>
      </c>
      <c r="L180" s="482">
        <v>348</v>
      </c>
      <c r="M180" s="461" t="s">
        <v>2412</v>
      </c>
      <c r="N180" s="483">
        <v>67.071199999999919</v>
      </c>
      <c r="O180" s="483">
        <v>134.15400000000011</v>
      </c>
      <c r="P180" s="913" t="s">
        <v>2413</v>
      </c>
      <c r="Q180" s="484">
        <v>336.67839999999967</v>
      </c>
      <c r="R180" s="497"/>
    </row>
    <row r="181" spans="1:18" ht="15" customHeight="1">
      <c r="A181" s="411">
        <v>167</v>
      </c>
      <c r="B181" s="413" t="s">
        <v>3368</v>
      </c>
      <c r="C181" s="411">
        <f t="shared" si="4"/>
        <v>167</v>
      </c>
      <c r="D181" s="443" t="s">
        <v>2184</v>
      </c>
      <c r="E181" s="412" t="s">
        <v>3538</v>
      </c>
      <c r="F181" s="912">
        <v>4.1875999999999997E-2</v>
      </c>
      <c r="G181" s="480">
        <v>2538.48</v>
      </c>
      <c r="H181" s="414">
        <v>487.2</v>
      </c>
      <c r="I181" s="413" t="s">
        <v>481</v>
      </c>
      <c r="J181" s="411">
        <v>1</v>
      </c>
      <c r="K181" s="411" t="s">
        <v>3450</v>
      </c>
      <c r="L181" s="482">
        <v>348</v>
      </c>
      <c r="M181" s="461" t="s">
        <v>2412</v>
      </c>
      <c r="N181" s="483">
        <v>67.071199999999919</v>
      </c>
      <c r="O181" s="483">
        <v>134.15400000000011</v>
      </c>
      <c r="P181" s="913" t="s">
        <v>2413</v>
      </c>
      <c r="Q181" s="484">
        <v>336.67839999999967</v>
      </c>
      <c r="R181" s="497"/>
    </row>
    <row r="182" spans="1:18" ht="15" customHeight="1">
      <c r="A182" s="233">
        <v>168</v>
      </c>
      <c r="B182" s="413" t="s">
        <v>3369</v>
      </c>
      <c r="C182" s="411">
        <f t="shared" si="4"/>
        <v>168</v>
      </c>
      <c r="D182" s="443" t="s">
        <v>2184</v>
      </c>
      <c r="E182" s="412" t="s">
        <v>3539</v>
      </c>
      <c r="F182" s="912">
        <v>4.1875999999999997E-2</v>
      </c>
      <c r="G182" s="480">
        <v>2538.48</v>
      </c>
      <c r="H182" s="414">
        <v>487.2</v>
      </c>
      <c r="I182" s="413" t="s">
        <v>481</v>
      </c>
      <c r="J182" s="411">
        <v>1</v>
      </c>
      <c r="K182" s="411" t="s">
        <v>3451</v>
      </c>
      <c r="L182" s="482">
        <v>348</v>
      </c>
      <c r="M182" s="461" t="s">
        <v>2412</v>
      </c>
      <c r="N182" s="483">
        <v>67.071199999999919</v>
      </c>
      <c r="O182" s="483">
        <v>134.15400000000011</v>
      </c>
      <c r="P182" s="913" t="s">
        <v>2413</v>
      </c>
      <c r="Q182" s="484">
        <v>336.67839999999967</v>
      </c>
      <c r="R182" s="497"/>
    </row>
    <row r="183" spans="1:18" ht="15" customHeight="1">
      <c r="A183" s="411">
        <v>169</v>
      </c>
      <c r="B183" s="413" t="s">
        <v>3370</v>
      </c>
      <c r="C183" s="411">
        <f t="shared" si="4"/>
        <v>169</v>
      </c>
      <c r="D183" s="443" t="s">
        <v>2184</v>
      </c>
      <c r="E183" s="412" t="s">
        <v>3540</v>
      </c>
      <c r="F183" s="912">
        <v>4.1875999999999997E-2</v>
      </c>
      <c r="G183" s="480">
        <v>2538.48</v>
      </c>
      <c r="H183" s="414">
        <v>487.2</v>
      </c>
      <c r="I183" s="413" t="s">
        <v>481</v>
      </c>
      <c r="J183" s="411">
        <v>1</v>
      </c>
      <c r="K183" s="411" t="s">
        <v>3452</v>
      </c>
      <c r="L183" s="482">
        <v>348</v>
      </c>
      <c r="M183" s="461" t="s">
        <v>2412</v>
      </c>
      <c r="N183" s="483">
        <v>67.071199999999919</v>
      </c>
      <c r="O183" s="483">
        <v>134.15400000000011</v>
      </c>
      <c r="P183" s="913" t="s">
        <v>2413</v>
      </c>
      <c r="Q183" s="484">
        <v>336.67839999999967</v>
      </c>
      <c r="R183" s="497"/>
    </row>
    <row r="184" spans="1:18" ht="15" customHeight="1">
      <c r="A184" s="411">
        <v>170</v>
      </c>
      <c r="B184" s="413" t="s">
        <v>3371</v>
      </c>
      <c r="C184" s="411">
        <f t="shared" si="4"/>
        <v>170</v>
      </c>
      <c r="D184" s="443" t="s">
        <v>2184</v>
      </c>
      <c r="E184" s="412" t="s">
        <v>3541</v>
      </c>
      <c r="F184" s="912">
        <v>4.1875999999999997E-2</v>
      </c>
      <c r="G184" s="480">
        <v>2538.48</v>
      </c>
      <c r="H184" s="414">
        <v>487.2</v>
      </c>
      <c r="I184" s="413" t="s">
        <v>481</v>
      </c>
      <c r="J184" s="411">
        <v>1</v>
      </c>
      <c r="K184" s="411" t="s">
        <v>3453</v>
      </c>
      <c r="L184" s="482">
        <v>348</v>
      </c>
      <c r="M184" s="461" t="s">
        <v>2412</v>
      </c>
      <c r="N184" s="483">
        <v>67.071199999999919</v>
      </c>
      <c r="O184" s="483">
        <v>134.15400000000011</v>
      </c>
      <c r="P184" s="913" t="s">
        <v>2413</v>
      </c>
      <c r="Q184" s="484">
        <v>336.67839999999967</v>
      </c>
      <c r="R184" s="497"/>
    </row>
    <row r="185" spans="1:18" ht="15" customHeight="1">
      <c r="A185" s="233">
        <v>171</v>
      </c>
      <c r="B185" s="413" t="s">
        <v>5156</v>
      </c>
      <c r="C185" s="411">
        <f t="shared" si="4"/>
        <v>171</v>
      </c>
      <c r="D185" s="443" t="s">
        <v>2184</v>
      </c>
      <c r="E185" s="412" t="s">
        <v>5176</v>
      </c>
      <c r="F185" s="912">
        <v>4.8640000000000003E-2</v>
      </c>
      <c r="G185" s="480">
        <v>3463</v>
      </c>
      <c r="H185" s="414">
        <v>487.2</v>
      </c>
      <c r="I185" s="413" t="s">
        <v>533</v>
      </c>
      <c r="J185" s="411">
        <v>2</v>
      </c>
      <c r="K185" s="411" t="s">
        <v>5197</v>
      </c>
      <c r="L185" s="482">
        <v>348</v>
      </c>
      <c r="M185" s="461" t="s">
        <v>2412</v>
      </c>
      <c r="N185" s="483">
        <v>121.62599999999989</v>
      </c>
      <c r="O185" s="483">
        <v>243.24040000000008</v>
      </c>
      <c r="P185" s="913" t="s">
        <v>2413</v>
      </c>
      <c r="Q185" s="484">
        <v>336.67840000000001</v>
      </c>
      <c r="R185" s="497"/>
    </row>
    <row r="186" spans="1:18" ht="15" customHeight="1">
      <c r="A186" s="411">
        <v>172</v>
      </c>
      <c r="B186" s="413" t="s">
        <v>2505</v>
      </c>
      <c r="C186" s="411">
        <f t="shared" si="4"/>
        <v>172</v>
      </c>
      <c r="D186" s="443" t="s">
        <v>2184</v>
      </c>
      <c r="E186" s="412" t="s">
        <v>2354</v>
      </c>
      <c r="F186" s="912">
        <v>5.0458100000000006E-2</v>
      </c>
      <c r="G186" s="480">
        <v>3463.0023344000001</v>
      </c>
      <c r="H186" s="414">
        <v>487.2</v>
      </c>
      <c r="I186" s="413" t="s">
        <v>533</v>
      </c>
      <c r="J186" s="411">
        <v>2</v>
      </c>
      <c r="K186" s="411" t="s">
        <v>2355</v>
      </c>
      <c r="L186" s="482">
        <v>348</v>
      </c>
      <c r="M186" s="461" t="s">
        <v>2412</v>
      </c>
      <c r="N186" s="483">
        <v>121.62599999999989</v>
      </c>
      <c r="O186" s="483">
        <v>243.24040000000008</v>
      </c>
      <c r="P186" s="913" t="s">
        <v>2413</v>
      </c>
      <c r="Q186" s="484">
        <v>336.67839999999967</v>
      </c>
      <c r="R186" s="497"/>
    </row>
    <row r="187" spans="1:18" ht="15" customHeight="1">
      <c r="A187" s="411">
        <v>173</v>
      </c>
      <c r="B187" s="413" t="s">
        <v>2506</v>
      </c>
      <c r="C187" s="411">
        <f t="shared" si="4"/>
        <v>173</v>
      </c>
      <c r="D187" s="443" t="s">
        <v>2184</v>
      </c>
      <c r="E187" s="412" t="s">
        <v>2317</v>
      </c>
      <c r="F187" s="912">
        <v>5.0458100000000006E-2</v>
      </c>
      <c r="G187" s="480">
        <v>3463.0023344000001</v>
      </c>
      <c r="H187" s="414">
        <v>487.2</v>
      </c>
      <c r="I187" s="413" t="s">
        <v>533</v>
      </c>
      <c r="J187" s="411">
        <v>2</v>
      </c>
      <c r="K187" s="411" t="s">
        <v>583</v>
      </c>
      <c r="L187" s="482">
        <v>348</v>
      </c>
      <c r="M187" s="461" t="s">
        <v>2412</v>
      </c>
      <c r="N187" s="483">
        <v>121.62599999999989</v>
      </c>
      <c r="O187" s="483">
        <v>243.24040000000008</v>
      </c>
      <c r="P187" s="913" t="s">
        <v>2413</v>
      </c>
      <c r="Q187" s="484">
        <v>336.67839999999967</v>
      </c>
      <c r="R187" s="497"/>
    </row>
    <row r="188" spans="1:18" ht="15" customHeight="1">
      <c r="A188" s="233">
        <v>174</v>
      </c>
      <c r="B188" s="413" t="s">
        <v>5157</v>
      </c>
      <c r="C188" s="411">
        <f t="shared" si="4"/>
        <v>174</v>
      </c>
      <c r="D188" s="443" t="s">
        <v>2184</v>
      </c>
      <c r="E188" s="412" t="s">
        <v>5177</v>
      </c>
      <c r="F188" s="912">
        <v>4.5496000000000002E-2</v>
      </c>
      <c r="G188" s="480">
        <v>2538.48</v>
      </c>
      <c r="H188" s="414">
        <v>488.2</v>
      </c>
      <c r="I188" s="413" t="s">
        <v>481</v>
      </c>
      <c r="J188" s="411">
        <v>1</v>
      </c>
      <c r="K188" s="411" t="s">
        <v>5198</v>
      </c>
      <c r="L188" s="482">
        <v>348</v>
      </c>
      <c r="M188" s="461" t="s">
        <v>2412</v>
      </c>
      <c r="N188" s="483">
        <v>67.071199999999919</v>
      </c>
      <c r="O188" s="483">
        <v>134.15399999999985</v>
      </c>
      <c r="P188" s="913" t="s">
        <v>2413</v>
      </c>
      <c r="Q188" s="484">
        <v>336.67840000000001</v>
      </c>
      <c r="R188" s="497"/>
    </row>
    <row r="189" spans="1:18" ht="15" customHeight="1">
      <c r="A189" s="411">
        <v>175</v>
      </c>
      <c r="B189" s="413" t="s">
        <v>3372</v>
      </c>
      <c r="C189" s="411">
        <f t="shared" si="4"/>
        <v>175</v>
      </c>
      <c r="D189" s="443" t="s">
        <v>2184</v>
      </c>
      <c r="E189" s="412" t="s">
        <v>3542</v>
      </c>
      <c r="F189" s="912">
        <v>3.1363000000000002E-2</v>
      </c>
      <c r="G189" s="480">
        <v>7453.37</v>
      </c>
      <c r="H189" s="414">
        <v>487.2</v>
      </c>
      <c r="I189" s="413" t="s">
        <v>3620</v>
      </c>
      <c r="J189" s="411">
        <v>3</v>
      </c>
      <c r="K189" s="411" t="s">
        <v>3454</v>
      </c>
      <c r="L189" s="482">
        <v>348</v>
      </c>
      <c r="M189" s="461" t="s">
        <v>2412</v>
      </c>
      <c r="N189" s="483">
        <v>298.14</v>
      </c>
      <c r="O189" s="483">
        <v>596.29</v>
      </c>
      <c r="P189" s="913" t="s">
        <v>2413</v>
      </c>
      <c r="Q189" s="484">
        <v>0</v>
      </c>
      <c r="R189" s="497"/>
    </row>
    <row r="190" spans="1:18" ht="15" customHeight="1">
      <c r="A190" s="411">
        <v>176</v>
      </c>
      <c r="B190" s="413" t="s">
        <v>3373</v>
      </c>
      <c r="C190" s="411">
        <f t="shared" si="4"/>
        <v>176</v>
      </c>
      <c r="D190" s="443" t="s">
        <v>2184</v>
      </c>
      <c r="E190" s="412" t="s">
        <v>3543</v>
      </c>
      <c r="F190" s="912">
        <v>4.5495799999999996E-2</v>
      </c>
      <c r="G190" s="480">
        <v>2538.48</v>
      </c>
      <c r="H190" s="414">
        <v>487.2</v>
      </c>
      <c r="I190" s="413" t="s">
        <v>481</v>
      </c>
      <c r="J190" s="411">
        <v>1</v>
      </c>
      <c r="K190" s="411" t="s">
        <v>3455</v>
      </c>
      <c r="L190" s="482">
        <v>348</v>
      </c>
      <c r="M190" s="461" t="s">
        <v>2412</v>
      </c>
      <c r="N190" s="483">
        <v>67.071199999999919</v>
      </c>
      <c r="O190" s="483">
        <v>134.15400000000011</v>
      </c>
      <c r="P190" s="913" t="s">
        <v>2413</v>
      </c>
      <c r="Q190" s="484">
        <v>336.67839999999967</v>
      </c>
      <c r="R190" s="497"/>
    </row>
    <row r="191" spans="1:18" ht="15" customHeight="1">
      <c r="A191" s="233">
        <v>177</v>
      </c>
      <c r="B191" s="413" t="s">
        <v>3374</v>
      </c>
      <c r="C191" s="411">
        <f t="shared" si="4"/>
        <v>177</v>
      </c>
      <c r="D191" s="443" t="s">
        <v>2184</v>
      </c>
      <c r="E191" s="412" t="s">
        <v>3544</v>
      </c>
      <c r="F191" s="912">
        <v>5.4547999999999999E-2</v>
      </c>
      <c r="G191" s="480">
        <v>3463.0023344000001</v>
      </c>
      <c r="H191" s="414">
        <v>487.2</v>
      </c>
      <c r="I191" s="413" t="s">
        <v>533</v>
      </c>
      <c r="J191" s="411">
        <v>2</v>
      </c>
      <c r="K191" s="411" t="s">
        <v>3456</v>
      </c>
      <c r="L191" s="482">
        <v>348</v>
      </c>
      <c r="M191" s="461" t="s">
        <v>2412</v>
      </c>
      <c r="N191" s="483">
        <v>121.62599999999989</v>
      </c>
      <c r="O191" s="483">
        <v>243.24</v>
      </c>
      <c r="P191" s="913" t="s">
        <v>2413</v>
      </c>
      <c r="Q191" s="484">
        <v>336.67839999999967</v>
      </c>
      <c r="R191" s="497"/>
    </row>
    <row r="192" spans="1:18" ht="15" customHeight="1">
      <c r="A192" s="411">
        <v>178</v>
      </c>
      <c r="B192" s="413" t="s">
        <v>3375</v>
      </c>
      <c r="C192" s="411">
        <f t="shared" si="4"/>
        <v>178</v>
      </c>
      <c r="D192" s="443" t="s">
        <v>2184</v>
      </c>
      <c r="E192" s="412" t="s">
        <v>3545</v>
      </c>
      <c r="F192" s="912">
        <v>3.1363000000000002E-2</v>
      </c>
      <c r="G192" s="480">
        <v>7453.37</v>
      </c>
      <c r="H192" s="414">
        <v>487.2</v>
      </c>
      <c r="I192" s="413" t="s">
        <v>3620</v>
      </c>
      <c r="J192" s="411">
        <v>3</v>
      </c>
      <c r="K192" s="411" t="s">
        <v>3457</v>
      </c>
      <c r="L192" s="482">
        <v>348</v>
      </c>
      <c r="M192" s="461" t="s">
        <v>2412</v>
      </c>
      <c r="N192" s="483">
        <v>298.14</v>
      </c>
      <c r="O192" s="483">
        <v>596.29</v>
      </c>
      <c r="P192" s="913" t="s">
        <v>2413</v>
      </c>
      <c r="Q192" s="484">
        <v>0</v>
      </c>
      <c r="R192" s="497"/>
    </row>
    <row r="193" spans="1:18" ht="15" customHeight="1">
      <c r="A193" s="411">
        <v>179</v>
      </c>
      <c r="B193" s="413" t="s">
        <v>2507</v>
      </c>
      <c r="C193" s="411">
        <f t="shared" si="4"/>
        <v>179</v>
      </c>
      <c r="D193" s="443" t="s">
        <v>2184</v>
      </c>
      <c r="E193" s="412" t="s">
        <v>2318</v>
      </c>
      <c r="F193" s="912">
        <v>4.5495799999999996E-2</v>
      </c>
      <c r="G193" s="480">
        <v>2538.48</v>
      </c>
      <c r="H193" s="414">
        <v>487.2</v>
      </c>
      <c r="I193" s="413" t="s">
        <v>481</v>
      </c>
      <c r="J193" s="411">
        <v>1</v>
      </c>
      <c r="K193" s="411" t="s">
        <v>584</v>
      </c>
      <c r="L193" s="482">
        <v>348</v>
      </c>
      <c r="M193" s="461" t="s">
        <v>2412</v>
      </c>
      <c r="N193" s="483">
        <v>67.071199999999919</v>
      </c>
      <c r="O193" s="483">
        <v>134.15400000000011</v>
      </c>
      <c r="P193" s="913" t="s">
        <v>2413</v>
      </c>
      <c r="Q193" s="484">
        <v>336.67839999999967</v>
      </c>
      <c r="R193" s="497"/>
    </row>
    <row r="194" spans="1:18" ht="15" customHeight="1">
      <c r="A194" s="233">
        <v>180</v>
      </c>
      <c r="B194" s="413" t="s">
        <v>2508</v>
      </c>
      <c r="C194" s="411">
        <f t="shared" si="4"/>
        <v>180</v>
      </c>
      <c r="D194" s="443" t="s">
        <v>2184</v>
      </c>
      <c r="E194" s="412" t="s">
        <v>2319</v>
      </c>
      <c r="F194" s="912">
        <v>4.8639700000000001E-2</v>
      </c>
      <c r="G194" s="480">
        <v>3463.0023344000001</v>
      </c>
      <c r="H194" s="414">
        <v>487.2</v>
      </c>
      <c r="I194" s="413" t="s">
        <v>533</v>
      </c>
      <c r="J194" s="411">
        <v>2</v>
      </c>
      <c r="K194" s="411" t="s">
        <v>585</v>
      </c>
      <c r="L194" s="482">
        <v>348</v>
      </c>
      <c r="M194" s="461" t="s">
        <v>2412</v>
      </c>
      <c r="N194" s="483">
        <v>121.62599999999989</v>
      </c>
      <c r="O194" s="483">
        <v>243.24040000000008</v>
      </c>
      <c r="P194" s="913" t="s">
        <v>2413</v>
      </c>
      <c r="Q194" s="484">
        <v>336.67839999999967</v>
      </c>
      <c r="R194" s="497"/>
    </row>
    <row r="195" spans="1:18" ht="15" customHeight="1">
      <c r="A195" s="411">
        <v>181</v>
      </c>
      <c r="B195" s="413" t="s">
        <v>2509</v>
      </c>
      <c r="C195" s="411">
        <f t="shared" si="4"/>
        <v>181</v>
      </c>
      <c r="D195" s="443" t="s">
        <v>2184</v>
      </c>
      <c r="E195" s="412" t="s">
        <v>2320</v>
      </c>
      <c r="F195" s="912">
        <v>4.8639700000000001E-2</v>
      </c>
      <c r="G195" s="480">
        <v>3463.0023344000001</v>
      </c>
      <c r="H195" s="414">
        <v>487.2</v>
      </c>
      <c r="I195" s="413" t="s">
        <v>533</v>
      </c>
      <c r="J195" s="411">
        <v>2</v>
      </c>
      <c r="K195" s="411" t="s">
        <v>586</v>
      </c>
      <c r="L195" s="482">
        <v>348</v>
      </c>
      <c r="M195" s="461" t="s">
        <v>2412</v>
      </c>
      <c r="N195" s="483">
        <v>121.62599999999989</v>
      </c>
      <c r="O195" s="483">
        <v>243.24040000000008</v>
      </c>
      <c r="P195" s="913" t="s">
        <v>2413</v>
      </c>
      <c r="Q195" s="484">
        <v>336.67839999999967</v>
      </c>
      <c r="R195" s="497"/>
    </row>
    <row r="196" spans="1:18" ht="15" customHeight="1">
      <c r="A196" s="411">
        <v>182</v>
      </c>
      <c r="B196" s="413" t="s">
        <v>2510</v>
      </c>
      <c r="C196" s="411">
        <f t="shared" si="4"/>
        <v>182</v>
      </c>
      <c r="D196" s="443" t="s">
        <v>2184</v>
      </c>
      <c r="E196" s="412" t="s">
        <v>2321</v>
      </c>
      <c r="F196" s="912">
        <v>4.8565799999999999E-2</v>
      </c>
      <c r="G196" s="480">
        <v>2538.48</v>
      </c>
      <c r="H196" s="414">
        <v>487.2</v>
      </c>
      <c r="I196" s="413" t="s">
        <v>481</v>
      </c>
      <c r="J196" s="411">
        <v>1</v>
      </c>
      <c r="K196" s="411" t="s">
        <v>587</v>
      </c>
      <c r="L196" s="482">
        <v>348</v>
      </c>
      <c r="M196" s="461" t="s">
        <v>2412</v>
      </c>
      <c r="N196" s="483">
        <v>67.071199999999919</v>
      </c>
      <c r="O196" s="483">
        <v>134.15400000000011</v>
      </c>
      <c r="P196" s="913" t="s">
        <v>2413</v>
      </c>
      <c r="Q196" s="484">
        <v>336.67839999999967</v>
      </c>
      <c r="R196" s="497"/>
    </row>
    <row r="197" spans="1:18" ht="15" customHeight="1">
      <c r="A197" s="233">
        <v>183</v>
      </c>
      <c r="B197" s="413" t="s">
        <v>2511</v>
      </c>
      <c r="C197" s="411">
        <f t="shared" si="4"/>
        <v>183</v>
      </c>
      <c r="D197" s="443" t="s">
        <v>2185</v>
      </c>
      <c r="E197" s="412" t="s">
        <v>2185</v>
      </c>
      <c r="F197" s="912">
        <v>4.51984E-2</v>
      </c>
      <c r="G197" s="480">
        <v>2538.48</v>
      </c>
      <c r="H197" s="414">
        <v>487.2</v>
      </c>
      <c r="I197" s="413" t="s">
        <v>481</v>
      </c>
      <c r="J197" s="411">
        <v>1</v>
      </c>
      <c r="K197" s="411" t="s">
        <v>588</v>
      </c>
      <c r="L197" s="482">
        <v>348</v>
      </c>
      <c r="M197" s="461" t="s">
        <v>2412</v>
      </c>
      <c r="N197" s="483">
        <v>67.071199999999919</v>
      </c>
      <c r="O197" s="483">
        <v>134.15400000000011</v>
      </c>
      <c r="P197" s="913" t="s">
        <v>2413</v>
      </c>
      <c r="Q197" s="484">
        <v>336.67839999999967</v>
      </c>
      <c r="R197" s="497"/>
    </row>
    <row r="198" spans="1:18" ht="15" customHeight="1">
      <c r="A198" s="411">
        <v>184</v>
      </c>
      <c r="B198" s="413" t="s">
        <v>2512</v>
      </c>
      <c r="C198" s="411">
        <f t="shared" si="4"/>
        <v>184</v>
      </c>
      <c r="D198" s="443" t="s">
        <v>2186</v>
      </c>
      <c r="E198" s="412" t="s">
        <v>4190</v>
      </c>
      <c r="F198" s="912">
        <v>3.6879200000000001E-2</v>
      </c>
      <c r="G198" s="480">
        <v>2538.48</v>
      </c>
      <c r="H198" s="414">
        <v>487.2</v>
      </c>
      <c r="I198" s="413" t="s">
        <v>481</v>
      </c>
      <c r="J198" s="411">
        <v>1</v>
      </c>
      <c r="K198" s="411" t="s">
        <v>589</v>
      </c>
      <c r="L198" s="482">
        <v>348</v>
      </c>
      <c r="M198" s="461" t="s">
        <v>2412</v>
      </c>
      <c r="N198" s="483">
        <v>67.071199999999919</v>
      </c>
      <c r="O198" s="483">
        <v>134.15400000000011</v>
      </c>
      <c r="P198" s="913" t="s">
        <v>2413</v>
      </c>
      <c r="Q198" s="484">
        <v>336.67839999999967</v>
      </c>
      <c r="R198" s="497"/>
    </row>
    <row r="199" spans="1:18" ht="15" customHeight="1">
      <c r="A199" s="411">
        <v>185</v>
      </c>
      <c r="B199" s="413" t="s">
        <v>2513</v>
      </c>
      <c r="C199" s="411">
        <f t="shared" si="4"/>
        <v>185</v>
      </c>
      <c r="D199" s="443" t="s">
        <v>2186</v>
      </c>
      <c r="E199" s="412" t="s">
        <v>2322</v>
      </c>
      <c r="F199" s="912">
        <v>3.9334799999999996E-2</v>
      </c>
      <c r="G199" s="480">
        <v>2538.48</v>
      </c>
      <c r="H199" s="414">
        <v>487.2</v>
      </c>
      <c r="I199" s="413" t="s">
        <v>481</v>
      </c>
      <c r="J199" s="411">
        <v>1</v>
      </c>
      <c r="K199" s="411" t="s">
        <v>590</v>
      </c>
      <c r="L199" s="482">
        <v>348</v>
      </c>
      <c r="M199" s="461" t="s">
        <v>2412</v>
      </c>
      <c r="N199" s="483">
        <v>67.071199999999919</v>
      </c>
      <c r="O199" s="483">
        <v>134.15400000000011</v>
      </c>
      <c r="P199" s="913" t="s">
        <v>2413</v>
      </c>
      <c r="Q199" s="484">
        <v>336.67839999999967</v>
      </c>
      <c r="R199" s="497"/>
    </row>
    <row r="200" spans="1:18" ht="15" customHeight="1">
      <c r="A200" s="233">
        <v>186</v>
      </c>
      <c r="B200" s="413" t="s">
        <v>2514</v>
      </c>
      <c r="C200" s="411">
        <f t="shared" si="4"/>
        <v>186</v>
      </c>
      <c r="D200" s="443" t="s">
        <v>2186</v>
      </c>
      <c r="E200" s="412" t="s">
        <v>2323</v>
      </c>
      <c r="F200" s="912">
        <v>3.9334799999999996E-2</v>
      </c>
      <c r="G200" s="480">
        <v>2538.48</v>
      </c>
      <c r="H200" s="414">
        <v>487.2</v>
      </c>
      <c r="I200" s="413" t="s">
        <v>481</v>
      </c>
      <c r="J200" s="411">
        <v>1</v>
      </c>
      <c r="K200" s="411" t="s">
        <v>591</v>
      </c>
      <c r="L200" s="482">
        <v>348</v>
      </c>
      <c r="M200" s="461" t="s">
        <v>2412</v>
      </c>
      <c r="N200" s="483">
        <v>67.071199999999919</v>
      </c>
      <c r="O200" s="483">
        <v>134.15400000000011</v>
      </c>
      <c r="P200" s="913" t="s">
        <v>2413</v>
      </c>
      <c r="Q200" s="484">
        <v>336.67839999999967</v>
      </c>
      <c r="R200" s="497"/>
    </row>
    <row r="201" spans="1:18" ht="15" customHeight="1">
      <c r="A201" s="411">
        <v>187</v>
      </c>
      <c r="B201" s="413" t="s">
        <v>2515</v>
      </c>
      <c r="C201" s="411">
        <f t="shared" si="4"/>
        <v>187</v>
      </c>
      <c r="D201" s="443" t="s">
        <v>2186</v>
      </c>
      <c r="E201" s="412" t="s">
        <v>2324</v>
      </c>
      <c r="F201" s="912">
        <v>4.8639700000000001E-2</v>
      </c>
      <c r="G201" s="480">
        <v>3463.0023344000001</v>
      </c>
      <c r="H201" s="414">
        <v>487.2</v>
      </c>
      <c r="I201" s="413" t="s">
        <v>533</v>
      </c>
      <c r="J201" s="411">
        <v>2</v>
      </c>
      <c r="K201" s="411" t="s">
        <v>592</v>
      </c>
      <c r="L201" s="482">
        <v>348</v>
      </c>
      <c r="M201" s="461" t="s">
        <v>2412</v>
      </c>
      <c r="N201" s="483">
        <v>121.62599999999989</v>
      </c>
      <c r="O201" s="483">
        <v>243.24040000000008</v>
      </c>
      <c r="P201" s="913" t="s">
        <v>2413</v>
      </c>
      <c r="Q201" s="484">
        <v>336.67839999999967</v>
      </c>
      <c r="R201" s="497"/>
    </row>
    <row r="202" spans="1:18" ht="15" customHeight="1">
      <c r="A202" s="411">
        <v>188</v>
      </c>
      <c r="B202" s="413" t="s">
        <v>2516</v>
      </c>
      <c r="C202" s="411">
        <f t="shared" si="4"/>
        <v>188</v>
      </c>
      <c r="D202" s="443" t="s">
        <v>2186</v>
      </c>
      <c r="E202" s="412" t="s">
        <v>2325</v>
      </c>
      <c r="F202" s="912">
        <v>4.8639700000000001E-2</v>
      </c>
      <c r="G202" s="480">
        <v>3463.0023344000001</v>
      </c>
      <c r="H202" s="414">
        <v>487.2</v>
      </c>
      <c r="I202" s="413" t="s">
        <v>533</v>
      </c>
      <c r="J202" s="411">
        <v>2</v>
      </c>
      <c r="K202" s="411" t="s">
        <v>593</v>
      </c>
      <c r="L202" s="482">
        <v>348</v>
      </c>
      <c r="M202" s="461" t="s">
        <v>2412</v>
      </c>
      <c r="N202" s="483">
        <v>121.62599999999989</v>
      </c>
      <c r="O202" s="483">
        <v>243.24040000000008</v>
      </c>
      <c r="P202" s="913" t="s">
        <v>2413</v>
      </c>
      <c r="Q202" s="484">
        <v>336.67839999999967</v>
      </c>
      <c r="R202" s="497"/>
    </row>
    <row r="203" spans="1:18" ht="15" customHeight="1">
      <c r="A203" s="233">
        <v>189</v>
      </c>
      <c r="B203" s="413" t="s">
        <v>2517</v>
      </c>
      <c r="C203" s="411">
        <f t="shared" si="4"/>
        <v>189</v>
      </c>
      <c r="D203" s="443" t="s">
        <v>2186</v>
      </c>
      <c r="E203" s="412" t="s">
        <v>2326</v>
      </c>
      <c r="F203" s="912">
        <v>4.2430799999999998E-2</v>
      </c>
      <c r="G203" s="480">
        <v>2538.48</v>
      </c>
      <c r="H203" s="414">
        <v>487.2</v>
      </c>
      <c r="I203" s="413" t="s">
        <v>481</v>
      </c>
      <c r="J203" s="411">
        <v>1</v>
      </c>
      <c r="K203" s="411" t="s">
        <v>594</v>
      </c>
      <c r="L203" s="482">
        <v>348</v>
      </c>
      <c r="M203" s="461" t="s">
        <v>2412</v>
      </c>
      <c r="N203" s="483">
        <v>67.071199999999919</v>
      </c>
      <c r="O203" s="483">
        <v>134.15400000000011</v>
      </c>
      <c r="P203" s="913" t="s">
        <v>2413</v>
      </c>
      <c r="Q203" s="484">
        <v>336.67839999999967</v>
      </c>
      <c r="R203" s="497"/>
    </row>
    <row r="204" spans="1:18" ht="15" customHeight="1">
      <c r="A204" s="411">
        <v>190</v>
      </c>
      <c r="B204" s="413" t="s">
        <v>2518</v>
      </c>
      <c r="C204" s="411">
        <f t="shared" si="4"/>
        <v>190</v>
      </c>
      <c r="D204" s="443" t="s">
        <v>2186</v>
      </c>
      <c r="E204" s="412" t="s">
        <v>2327</v>
      </c>
      <c r="F204" s="912">
        <v>3.9334799999999996E-2</v>
      </c>
      <c r="G204" s="480">
        <v>2538.48</v>
      </c>
      <c r="H204" s="414">
        <v>487.2</v>
      </c>
      <c r="I204" s="413" t="s">
        <v>481</v>
      </c>
      <c r="J204" s="411">
        <v>1</v>
      </c>
      <c r="K204" s="411" t="s">
        <v>595</v>
      </c>
      <c r="L204" s="482">
        <v>348</v>
      </c>
      <c r="M204" s="461" t="s">
        <v>2412</v>
      </c>
      <c r="N204" s="483">
        <v>67.071199999999919</v>
      </c>
      <c r="O204" s="483">
        <v>134.15400000000011</v>
      </c>
      <c r="P204" s="913" t="s">
        <v>2413</v>
      </c>
      <c r="Q204" s="484">
        <v>336.67839999999967</v>
      </c>
      <c r="R204" s="497"/>
    </row>
    <row r="205" spans="1:18" ht="15" customHeight="1">
      <c r="A205" s="411">
        <v>191</v>
      </c>
      <c r="B205" s="413" t="s">
        <v>2519</v>
      </c>
      <c r="C205" s="411">
        <f t="shared" si="4"/>
        <v>191</v>
      </c>
      <c r="D205" s="443" t="s">
        <v>2186</v>
      </c>
      <c r="E205" s="412" t="s">
        <v>2328</v>
      </c>
      <c r="F205" s="912">
        <v>3.9334799999999996E-2</v>
      </c>
      <c r="G205" s="480">
        <v>2538.48</v>
      </c>
      <c r="H205" s="414">
        <v>487.2</v>
      </c>
      <c r="I205" s="413" t="s">
        <v>481</v>
      </c>
      <c r="J205" s="411">
        <v>1</v>
      </c>
      <c r="K205" s="411" t="s">
        <v>596</v>
      </c>
      <c r="L205" s="482">
        <v>348</v>
      </c>
      <c r="M205" s="461" t="s">
        <v>2412</v>
      </c>
      <c r="N205" s="483">
        <v>67.071199999999919</v>
      </c>
      <c r="O205" s="483">
        <v>134.15400000000011</v>
      </c>
      <c r="P205" s="913" t="s">
        <v>2413</v>
      </c>
      <c r="Q205" s="484">
        <v>336.67839999999967</v>
      </c>
      <c r="R205" s="497"/>
    </row>
    <row r="206" spans="1:18" ht="15" customHeight="1">
      <c r="A206" s="233">
        <v>192</v>
      </c>
      <c r="B206" s="413" t="s">
        <v>2520</v>
      </c>
      <c r="C206" s="411">
        <f t="shared" si="4"/>
        <v>192</v>
      </c>
      <c r="D206" s="443" t="s">
        <v>2186</v>
      </c>
      <c r="E206" s="412" t="s">
        <v>2329</v>
      </c>
      <c r="F206" s="912">
        <v>3.9334799999999996E-2</v>
      </c>
      <c r="G206" s="480">
        <v>2538.48</v>
      </c>
      <c r="H206" s="414">
        <v>487.2</v>
      </c>
      <c r="I206" s="413" t="s">
        <v>481</v>
      </c>
      <c r="J206" s="411">
        <v>1</v>
      </c>
      <c r="K206" s="411" t="s">
        <v>597</v>
      </c>
      <c r="L206" s="482">
        <v>348</v>
      </c>
      <c r="M206" s="461" t="s">
        <v>2412</v>
      </c>
      <c r="N206" s="483">
        <v>67.071199999999919</v>
      </c>
      <c r="O206" s="483">
        <v>134.15400000000011</v>
      </c>
      <c r="P206" s="913" t="s">
        <v>2413</v>
      </c>
      <c r="Q206" s="484">
        <v>336.67839999999967</v>
      </c>
      <c r="R206" s="497"/>
    </row>
    <row r="207" spans="1:18" ht="15" customHeight="1">
      <c r="A207" s="411">
        <v>193</v>
      </c>
      <c r="B207" s="413" t="s">
        <v>2521</v>
      </c>
      <c r="C207" s="411">
        <f t="shared" si="4"/>
        <v>193</v>
      </c>
      <c r="D207" s="443" t="s">
        <v>2186</v>
      </c>
      <c r="E207" s="412" t="s">
        <v>2330</v>
      </c>
      <c r="F207" s="912">
        <v>3.9334799999999996E-2</v>
      </c>
      <c r="G207" s="480">
        <v>2538.48</v>
      </c>
      <c r="H207" s="414">
        <v>487.2</v>
      </c>
      <c r="I207" s="413" t="s">
        <v>481</v>
      </c>
      <c r="J207" s="411">
        <v>1</v>
      </c>
      <c r="K207" s="411" t="s">
        <v>598</v>
      </c>
      <c r="L207" s="482">
        <v>348</v>
      </c>
      <c r="M207" s="461" t="s">
        <v>2412</v>
      </c>
      <c r="N207" s="483">
        <v>67.071199999999919</v>
      </c>
      <c r="O207" s="483">
        <v>134.15400000000011</v>
      </c>
      <c r="P207" s="913" t="s">
        <v>2413</v>
      </c>
      <c r="Q207" s="484">
        <v>336.67839999999967</v>
      </c>
      <c r="R207" s="497"/>
    </row>
    <row r="208" spans="1:18" ht="15" customHeight="1">
      <c r="A208" s="411">
        <v>194</v>
      </c>
      <c r="B208" s="413" t="s">
        <v>2522</v>
      </c>
      <c r="C208" s="411">
        <f t="shared" ref="C208:C271" si="5">A208</f>
        <v>194</v>
      </c>
      <c r="D208" s="443" t="s">
        <v>2186</v>
      </c>
      <c r="E208" s="412" t="s">
        <v>2331</v>
      </c>
      <c r="F208" s="912">
        <v>4.2430799999999998E-2</v>
      </c>
      <c r="G208" s="480">
        <v>2538.48</v>
      </c>
      <c r="H208" s="414">
        <v>487.2</v>
      </c>
      <c r="I208" s="413" t="s">
        <v>481</v>
      </c>
      <c r="J208" s="411">
        <v>1</v>
      </c>
      <c r="K208" s="411" t="s">
        <v>599</v>
      </c>
      <c r="L208" s="482">
        <v>348</v>
      </c>
      <c r="M208" s="461" t="s">
        <v>2412</v>
      </c>
      <c r="N208" s="483">
        <v>67.071199999999919</v>
      </c>
      <c r="O208" s="483">
        <v>134.15400000000011</v>
      </c>
      <c r="P208" s="913" t="s">
        <v>2413</v>
      </c>
      <c r="Q208" s="484">
        <v>336.67839999999967</v>
      </c>
      <c r="R208" s="497"/>
    </row>
    <row r="209" spans="1:19" ht="15" customHeight="1">
      <c r="A209" s="233">
        <v>195</v>
      </c>
      <c r="B209" s="413" t="s">
        <v>2523</v>
      </c>
      <c r="C209" s="411">
        <f t="shared" si="5"/>
        <v>195</v>
      </c>
      <c r="D209" s="443" t="s">
        <v>2186</v>
      </c>
      <c r="E209" s="412" t="s">
        <v>2332</v>
      </c>
      <c r="F209" s="912">
        <v>3.4467999999999999E-2</v>
      </c>
      <c r="G209" s="480">
        <v>2538.4744000000001</v>
      </c>
      <c r="H209" s="414">
        <v>487.2</v>
      </c>
      <c r="I209" s="413" t="s">
        <v>481</v>
      </c>
      <c r="J209" s="411">
        <v>1</v>
      </c>
      <c r="K209" s="411" t="s">
        <v>600</v>
      </c>
      <c r="L209" s="482">
        <v>348</v>
      </c>
      <c r="M209" s="461" t="s">
        <v>2412</v>
      </c>
      <c r="N209" s="483">
        <v>67.071199999999919</v>
      </c>
      <c r="O209" s="483">
        <v>134.15400000000011</v>
      </c>
      <c r="P209" s="913" t="s">
        <v>2413</v>
      </c>
      <c r="Q209" s="484">
        <v>336.67839999999967</v>
      </c>
      <c r="R209" s="497"/>
    </row>
    <row r="210" spans="1:19" ht="15" customHeight="1">
      <c r="A210" s="411">
        <v>196</v>
      </c>
      <c r="B210" s="413" t="s">
        <v>2524</v>
      </c>
      <c r="C210" s="411">
        <f t="shared" si="5"/>
        <v>196</v>
      </c>
      <c r="D210" s="443" t="s">
        <v>2186</v>
      </c>
      <c r="E210" s="412" t="s">
        <v>2333</v>
      </c>
      <c r="F210" s="912">
        <v>3.4467999999999999E-2</v>
      </c>
      <c r="G210" s="480">
        <v>2538.4744000000001</v>
      </c>
      <c r="H210" s="414">
        <v>487.2</v>
      </c>
      <c r="I210" s="413" t="s">
        <v>481</v>
      </c>
      <c r="J210" s="411">
        <v>1</v>
      </c>
      <c r="K210" s="411" t="s">
        <v>601</v>
      </c>
      <c r="L210" s="482">
        <v>348</v>
      </c>
      <c r="M210" s="461" t="s">
        <v>2412</v>
      </c>
      <c r="N210" s="483">
        <v>67.071199999999919</v>
      </c>
      <c r="O210" s="483">
        <v>134.15400000000011</v>
      </c>
      <c r="P210" s="913" t="s">
        <v>2413</v>
      </c>
      <c r="Q210" s="484">
        <v>336.67839999999967</v>
      </c>
      <c r="R210" s="497"/>
    </row>
    <row r="211" spans="1:19" ht="15" customHeight="1">
      <c r="A211" s="411">
        <v>197</v>
      </c>
      <c r="B211" s="413" t="s">
        <v>2525</v>
      </c>
      <c r="C211" s="411">
        <f t="shared" si="5"/>
        <v>197</v>
      </c>
      <c r="D211" s="443" t="s">
        <v>2186</v>
      </c>
      <c r="E211" s="412" t="s">
        <v>2334</v>
      </c>
      <c r="F211" s="912">
        <v>3.4467999999999999E-2</v>
      </c>
      <c r="G211" s="480">
        <v>2538.4744000000001</v>
      </c>
      <c r="H211" s="414">
        <v>487.2</v>
      </c>
      <c r="I211" s="413" t="s">
        <v>481</v>
      </c>
      <c r="J211" s="411">
        <v>1</v>
      </c>
      <c r="K211" s="411" t="s">
        <v>602</v>
      </c>
      <c r="L211" s="482">
        <v>348</v>
      </c>
      <c r="M211" s="461" t="s">
        <v>2412</v>
      </c>
      <c r="N211" s="483">
        <v>67.071199999999919</v>
      </c>
      <c r="O211" s="483">
        <v>134.15400000000011</v>
      </c>
      <c r="P211" s="913" t="s">
        <v>2413</v>
      </c>
      <c r="Q211" s="484">
        <v>336.67839999999967</v>
      </c>
      <c r="R211" s="497"/>
    </row>
    <row r="212" spans="1:19" ht="15" customHeight="1">
      <c r="A212" s="233">
        <v>198</v>
      </c>
      <c r="B212" s="413" t="s">
        <v>2526</v>
      </c>
      <c r="C212" s="411">
        <f t="shared" si="5"/>
        <v>198</v>
      </c>
      <c r="D212" s="443" t="s">
        <v>2186</v>
      </c>
      <c r="E212" s="412" t="s">
        <v>2335</v>
      </c>
      <c r="F212" s="912">
        <v>3.9334799999999996E-2</v>
      </c>
      <c r="G212" s="480">
        <v>2538.48</v>
      </c>
      <c r="H212" s="414">
        <v>487.2</v>
      </c>
      <c r="I212" s="413" t="s">
        <v>481</v>
      </c>
      <c r="J212" s="411">
        <v>1</v>
      </c>
      <c r="K212" s="411" t="s">
        <v>603</v>
      </c>
      <c r="L212" s="482">
        <v>348</v>
      </c>
      <c r="M212" s="461" t="s">
        <v>2412</v>
      </c>
      <c r="N212" s="483">
        <v>67.071199999999919</v>
      </c>
      <c r="O212" s="483">
        <v>134.15400000000011</v>
      </c>
      <c r="P212" s="913" t="s">
        <v>2413</v>
      </c>
      <c r="Q212" s="484">
        <v>336.67839999999967</v>
      </c>
      <c r="R212" s="497"/>
    </row>
    <row r="213" spans="1:19" s="295" customFormat="1" ht="15" customHeight="1">
      <c r="A213" s="411">
        <v>199</v>
      </c>
      <c r="B213" s="413" t="s">
        <v>2527</v>
      </c>
      <c r="C213" s="411">
        <f t="shared" si="5"/>
        <v>199</v>
      </c>
      <c r="D213" s="443" t="s">
        <v>2186</v>
      </c>
      <c r="E213" s="412" t="s">
        <v>2336</v>
      </c>
      <c r="F213" s="912">
        <v>3.9334799999999996E-2</v>
      </c>
      <c r="G213" s="480">
        <v>2538.48</v>
      </c>
      <c r="H213" s="414">
        <v>487.2</v>
      </c>
      <c r="I213" s="413" t="s">
        <v>481</v>
      </c>
      <c r="J213" s="411">
        <v>1</v>
      </c>
      <c r="K213" s="411" t="s">
        <v>604</v>
      </c>
      <c r="L213" s="482">
        <v>348</v>
      </c>
      <c r="M213" s="461" t="s">
        <v>2412</v>
      </c>
      <c r="N213" s="483">
        <v>67.071199999999919</v>
      </c>
      <c r="O213" s="483">
        <v>134.15400000000011</v>
      </c>
      <c r="P213" s="913" t="s">
        <v>2413</v>
      </c>
      <c r="Q213" s="484">
        <v>336.67839999999967</v>
      </c>
      <c r="R213" s="497"/>
      <c r="S213" s="415"/>
    </row>
    <row r="214" spans="1:19" ht="15" customHeight="1">
      <c r="A214" s="411">
        <v>200</v>
      </c>
      <c r="B214" s="413" t="s">
        <v>2528</v>
      </c>
      <c r="C214" s="411">
        <f t="shared" si="5"/>
        <v>200</v>
      </c>
      <c r="D214" s="443" t="s">
        <v>2186</v>
      </c>
      <c r="E214" s="412" t="s">
        <v>2337</v>
      </c>
      <c r="F214" s="912">
        <v>5.1864600000000004E-2</v>
      </c>
      <c r="G214" s="480">
        <v>3463.0023344000001</v>
      </c>
      <c r="H214" s="414">
        <v>487.2</v>
      </c>
      <c r="I214" s="413" t="s">
        <v>533</v>
      </c>
      <c r="J214" s="411">
        <v>2</v>
      </c>
      <c r="K214" s="411" t="s">
        <v>605</v>
      </c>
      <c r="L214" s="482">
        <v>348</v>
      </c>
      <c r="M214" s="461" t="s">
        <v>2412</v>
      </c>
      <c r="N214" s="483">
        <v>121.62599999999989</v>
      </c>
      <c r="O214" s="483">
        <v>243.24040000000008</v>
      </c>
      <c r="P214" s="913" t="s">
        <v>2413</v>
      </c>
      <c r="Q214" s="484">
        <v>336.67839999999967</v>
      </c>
      <c r="R214" s="497"/>
    </row>
    <row r="215" spans="1:19" ht="15" customHeight="1">
      <c r="A215" s="233">
        <v>201</v>
      </c>
      <c r="B215" s="413" t="s">
        <v>2529</v>
      </c>
      <c r="C215" s="411">
        <f t="shared" si="5"/>
        <v>201</v>
      </c>
      <c r="D215" s="443" t="s">
        <v>2186</v>
      </c>
      <c r="E215" s="412" t="s">
        <v>2338</v>
      </c>
      <c r="F215" s="912">
        <v>5.1864600000000004E-2</v>
      </c>
      <c r="G215" s="480">
        <v>3463.0023344000001</v>
      </c>
      <c r="H215" s="414">
        <v>487.2</v>
      </c>
      <c r="I215" s="413" t="s">
        <v>533</v>
      </c>
      <c r="J215" s="411">
        <v>2</v>
      </c>
      <c r="K215" s="411" t="s">
        <v>606</v>
      </c>
      <c r="L215" s="482">
        <v>348</v>
      </c>
      <c r="M215" s="461" t="s">
        <v>2412</v>
      </c>
      <c r="N215" s="483">
        <v>121.62599999999989</v>
      </c>
      <c r="O215" s="483">
        <v>243.24040000000008</v>
      </c>
      <c r="P215" s="913" t="s">
        <v>2413</v>
      </c>
      <c r="Q215" s="484">
        <v>336.67839999999967</v>
      </c>
      <c r="R215" s="497"/>
    </row>
    <row r="216" spans="1:19" ht="15" customHeight="1">
      <c r="A216" s="411">
        <v>202</v>
      </c>
      <c r="B216" s="413" t="s">
        <v>3178</v>
      </c>
      <c r="C216" s="411">
        <f t="shared" si="5"/>
        <v>202</v>
      </c>
      <c r="D216" s="443" t="s">
        <v>2186</v>
      </c>
      <c r="E216" s="412" t="s">
        <v>3193</v>
      </c>
      <c r="F216" s="912">
        <v>3.4903099999999999E-2</v>
      </c>
      <c r="G216" s="480">
        <v>2538.48</v>
      </c>
      <c r="H216" s="414">
        <v>487.2</v>
      </c>
      <c r="I216" s="413" t="s">
        <v>481</v>
      </c>
      <c r="J216" s="411">
        <v>1</v>
      </c>
      <c r="K216" s="411" t="s">
        <v>3183</v>
      </c>
      <c r="L216" s="482">
        <v>348</v>
      </c>
      <c r="M216" s="461" t="s">
        <v>2412</v>
      </c>
      <c r="N216" s="483">
        <v>67.071199999999919</v>
      </c>
      <c r="O216" s="483">
        <v>134.15400000000011</v>
      </c>
      <c r="P216" s="913" t="s">
        <v>2413</v>
      </c>
      <c r="Q216" s="484">
        <v>336.67839999999967</v>
      </c>
      <c r="R216" s="497"/>
    </row>
    <row r="217" spans="1:19" ht="15" customHeight="1">
      <c r="A217" s="411">
        <v>203</v>
      </c>
      <c r="B217" s="413" t="s">
        <v>3376</v>
      </c>
      <c r="C217" s="411">
        <f t="shared" si="5"/>
        <v>203</v>
      </c>
      <c r="D217" s="443" t="s">
        <v>3546</v>
      </c>
      <c r="E217" s="412" t="s">
        <v>3547</v>
      </c>
      <c r="F217" s="912">
        <v>3.4204199999999997E-2</v>
      </c>
      <c r="G217" s="480">
        <v>2538.48</v>
      </c>
      <c r="H217" s="414">
        <v>487.2</v>
      </c>
      <c r="I217" s="413" t="s">
        <v>481</v>
      </c>
      <c r="J217" s="411">
        <v>1</v>
      </c>
      <c r="K217" s="411" t="s">
        <v>3458</v>
      </c>
      <c r="L217" s="482">
        <v>348</v>
      </c>
      <c r="M217" s="461" t="s">
        <v>2412</v>
      </c>
      <c r="N217" s="483">
        <v>67.071199999999919</v>
      </c>
      <c r="O217" s="483">
        <v>134.154</v>
      </c>
      <c r="P217" s="913" t="s">
        <v>2413</v>
      </c>
      <c r="Q217" s="484">
        <v>336.67839999999967</v>
      </c>
      <c r="R217" s="497"/>
    </row>
    <row r="218" spans="1:19" ht="15" customHeight="1">
      <c r="A218" s="233">
        <v>204</v>
      </c>
      <c r="B218" s="413" t="s">
        <v>3377</v>
      </c>
      <c r="C218" s="411">
        <f t="shared" si="5"/>
        <v>204</v>
      </c>
      <c r="D218" s="443" t="s">
        <v>3546</v>
      </c>
      <c r="E218" s="412" t="s">
        <v>3548</v>
      </c>
      <c r="F218" s="912">
        <v>3.4204199999999997E-2</v>
      </c>
      <c r="G218" s="480">
        <v>2538.48</v>
      </c>
      <c r="H218" s="414">
        <v>487.2</v>
      </c>
      <c r="I218" s="413" t="s">
        <v>481</v>
      </c>
      <c r="J218" s="411">
        <v>1</v>
      </c>
      <c r="K218" s="411" t="s">
        <v>3459</v>
      </c>
      <c r="L218" s="482">
        <v>348</v>
      </c>
      <c r="M218" s="461" t="s">
        <v>2412</v>
      </c>
      <c r="N218" s="483">
        <v>67.071199999999919</v>
      </c>
      <c r="O218" s="483">
        <v>134.154</v>
      </c>
      <c r="P218" s="913" t="s">
        <v>2413</v>
      </c>
      <c r="Q218" s="484">
        <v>336.67839999999967</v>
      </c>
      <c r="R218" s="497"/>
    </row>
    <row r="219" spans="1:19" s="295" customFormat="1" ht="15" customHeight="1">
      <c r="A219" s="411">
        <v>205</v>
      </c>
      <c r="B219" s="413" t="s">
        <v>3378</v>
      </c>
      <c r="C219" s="411">
        <f t="shared" si="5"/>
        <v>205</v>
      </c>
      <c r="D219" s="443" t="s">
        <v>3546</v>
      </c>
      <c r="E219" s="412" t="s">
        <v>3549</v>
      </c>
      <c r="F219" s="912">
        <v>4.98392E-2</v>
      </c>
      <c r="G219" s="480">
        <v>3463.0023344000001</v>
      </c>
      <c r="H219" s="414">
        <v>487.2</v>
      </c>
      <c r="I219" s="413" t="s">
        <v>533</v>
      </c>
      <c r="J219" s="411">
        <v>2</v>
      </c>
      <c r="K219" s="411" t="s">
        <v>3460</v>
      </c>
      <c r="L219" s="482">
        <v>348</v>
      </c>
      <c r="M219" s="461" t="s">
        <v>2412</v>
      </c>
      <c r="N219" s="483">
        <v>121.62599999999989</v>
      </c>
      <c r="O219" s="483">
        <v>243.24039999999999</v>
      </c>
      <c r="P219" s="913" t="s">
        <v>2413</v>
      </c>
      <c r="Q219" s="484">
        <v>336.67839999999967</v>
      </c>
      <c r="R219" s="497"/>
      <c r="S219" s="415"/>
    </row>
    <row r="220" spans="1:19" s="295" customFormat="1" ht="15" customHeight="1">
      <c r="A220" s="411">
        <v>206</v>
      </c>
      <c r="B220" s="413" t="s">
        <v>3379</v>
      </c>
      <c r="C220" s="411">
        <f t="shared" si="5"/>
        <v>206</v>
      </c>
      <c r="D220" s="443" t="s">
        <v>3546</v>
      </c>
      <c r="E220" s="412" t="s">
        <v>3550</v>
      </c>
      <c r="F220" s="912">
        <v>4.5890199999999999E-2</v>
      </c>
      <c r="G220" s="480">
        <v>2538.48</v>
      </c>
      <c r="H220" s="414">
        <v>487.2</v>
      </c>
      <c r="I220" s="413" t="s">
        <v>481</v>
      </c>
      <c r="J220" s="411">
        <v>1</v>
      </c>
      <c r="K220" s="411" t="s">
        <v>3461</v>
      </c>
      <c r="L220" s="482">
        <v>348</v>
      </c>
      <c r="M220" s="461" t="s">
        <v>2412</v>
      </c>
      <c r="N220" s="483">
        <v>67.071199999999919</v>
      </c>
      <c r="O220" s="483">
        <v>134.154</v>
      </c>
      <c r="P220" s="913" t="s">
        <v>2413</v>
      </c>
      <c r="Q220" s="484">
        <v>336.67839999999967</v>
      </c>
      <c r="R220" s="497"/>
      <c r="S220" s="415"/>
    </row>
    <row r="221" spans="1:19" ht="15" customHeight="1">
      <c r="A221" s="233">
        <v>207</v>
      </c>
      <c r="B221" s="413" t="s">
        <v>3380</v>
      </c>
      <c r="C221" s="411">
        <f t="shared" si="5"/>
        <v>207</v>
      </c>
      <c r="D221" s="443" t="s">
        <v>3546</v>
      </c>
      <c r="E221" s="412" t="s">
        <v>3551</v>
      </c>
      <c r="F221" s="912">
        <v>3.3017999999999999E-2</v>
      </c>
      <c r="G221" s="480">
        <v>2538.4744000000001</v>
      </c>
      <c r="H221" s="414">
        <v>487.2</v>
      </c>
      <c r="I221" s="413" t="s">
        <v>481</v>
      </c>
      <c r="J221" s="411">
        <v>1</v>
      </c>
      <c r="K221" s="411" t="s">
        <v>3462</v>
      </c>
      <c r="L221" s="482">
        <v>348</v>
      </c>
      <c r="M221" s="461" t="s">
        <v>2412</v>
      </c>
      <c r="N221" s="483">
        <v>67.071199999999919</v>
      </c>
      <c r="O221" s="483">
        <v>134.154</v>
      </c>
      <c r="P221" s="913" t="s">
        <v>2413</v>
      </c>
      <c r="Q221" s="484">
        <v>336.67839999999967</v>
      </c>
      <c r="R221" s="497"/>
    </row>
    <row r="222" spans="1:19" ht="15" customHeight="1">
      <c r="A222" s="411">
        <v>208</v>
      </c>
      <c r="B222" s="413" t="s">
        <v>3381</v>
      </c>
      <c r="C222" s="411">
        <f t="shared" si="5"/>
        <v>208</v>
      </c>
      <c r="D222" s="443" t="s">
        <v>3546</v>
      </c>
      <c r="E222" s="412" t="s">
        <v>3552</v>
      </c>
      <c r="F222" s="912">
        <v>5.3913900000000001E-2</v>
      </c>
      <c r="G222" s="480">
        <v>2538.48</v>
      </c>
      <c r="H222" s="414">
        <v>487.2</v>
      </c>
      <c r="I222" s="413" t="s">
        <v>481</v>
      </c>
      <c r="J222" s="411">
        <v>1</v>
      </c>
      <c r="K222" s="411" t="s">
        <v>3463</v>
      </c>
      <c r="L222" s="482">
        <v>348</v>
      </c>
      <c r="M222" s="461" t="s">
        <v>2412</v>
      </c>
      <c r="N222" s="483">
        <v>67.071199999999919</v>
      </c>
      <c r="O222" s="483">
        <v>134.154</v>
      </c>
      <c r="P222" s="913" t="s">
        <v>2413</v>
      </c>
      <c r="Q222" s="484">
        <v>336.67839999999967</v>
      </c>
      <c r="R222" s="497"/>
    </row>
    <row r="223" spans="1:19" ht="15" customHeight="1">
      <c r="A223" s="411">
        <v>209</v>
      </c>
      <c r="B223" s="413" t="s">
        <v>3382</v>
      </c>
      <c r="C223" s="411">
        <f t="shared" si="5"/>
        <v>209</v>
      </c>
      <c r="D223" s="443" t="s">
        <v>3546</v>
      </c>
      <c r="E223" s="412" t="s">
        <v>3553</v>
      </c>
      <c r="F223" s="912">
        <v>4.0682999999999997E-2</v>
      </c>
      <c r="G223" s="480">
        <v>2538.4744000000001</v>
      </c>
      <c r="H223" s="414">
        <v>487.2</v>
      </c>
      <c r="I223" s="413" t="s">
        <v>481</v>
      </c>
      <c r="J223" s="411">
        <v>1</v>
      </c>
      <c r="K223" s="411" t="s">
        <v>3464</v>
      </c>
      <c r="L223" s="482">
        <v>348</v>
      </c>
      <c r="M223" s="461" t="s">
        <v>2412</v>
      </c>
      <c r="N223" s="483">
        <v>67.071199999999919</v>
      </c>
      <c r="O223" s="483">
        <v>134.154</v>
      </c>
      <c r="P223" s="913" t="s">
        <v>2413</v>
      </c>
      <c r="Q223" s="484">
        <v>336.67839999999967</v>
      </c>
      <c r="R223" s="497"/>
    </row>
    <row r="224" spans="1:19" ht="15" customHeight="1">
      <c r="A224" s="233">
        <v>210</v>
      </c>
      <c r="B224" s="413" t="s">
        <v>3383</v>
      </c>
      <c r="C224" s="411">
        <f t="shared" si="5"/>
        <v>210</v>
      </c>
      <c r="D224" s="443" t="s">
        <v>3546</v>
      </c>
      <c r="E224" s="412" t="s">
        <v>3554</v>
      </c>
      <c r="F224" s="912">
        <v>4.4738499999999994E-2</v>
      </c>
      <c r="G224" s="480">
        <v>2538.48</v>
      </c>
      <c r="H224" s="414">
        <v>487.2</v>
      </c>
      <c r="I224" s="413" t="s">
        <v>481</v>
      </c>
      <c r="J224" s="411">
        <v>1</v>
      </c>
      <c r="K224" s="411" t="s">
        <v>3465</v>
      </c>
      <c r="L224" s="482">
        <v>348</v>
      </c>
      <c r="M224" s="461" t="s">
        <v>2412</v>
      </c>
      <c r="N224" s="483">
        <v>67.071199999999919</v>
      </c>
      <c r="O224" s="483">
        <v>134.154</v>
      </c>
      <c r="P224" s="913" t="s">
        <v>2413</v>
      </c>
      <c r="Q224" s="484">
        <v>336.67839999999967</v>
      </c>
      <c r="R224" s="497"/>
    </row>
    <row r="225" spans="1:19" ht="15" customHeight="1">
      <c r="A225" s="411">
        <v>211</v>
      </c>
      <c r="B225" s="413" t="s">
        <v>3384</v>
      </c>
      <c r="C225" s="411">
        <f t="shared" si="5"/>
        <v>211</v>
      </c>
      <c r="D225" s="443" t="s">
        <v>3546</v>
      </c>
      <c r="E225" s="412" t="s">
        <v>3555</v>
      </c>
      <c r="F225" s="912">
        <v>4.7998700000000005E-2</v>
      </c>
      <c r="G225" s="480">
        <v>3463.0023344000001</v>
      </c>
      <c r="H225" s="414">
        <v>487.2</v>
      </c>
      <c r="I225" s="413" t="s">
        <v>533</v>
      </c>
      <c r="J225" s="411">
        <v>2</v>
      </c>
      <c r="K225" s="411" t="s">
        <v>3466</v>
      </c>
      <c r="L225" s="482">
        <v>348</v>
      </c>
      <c r="M225" s="461" t="s">
        <v>2412</v>
      </c>
      <c r="N225" s="483">
        <v>121.62599999999989</v>
      </c>
      <c r="O225" s="483">
        <v>243.24039999999999</v>
      </c>
      <c r="P225" s="913" t="s">
        <v>2413</v>
      </c>
      <c r="Q225" s="484">
        <v>336.67839999999967</v>
      </c>
      <c r="R225" s="497"/>
    </row>
    <row r="226" spans="1:19" ht="15" customHeight="1">
      <c r="A226" s="411">
        <v>212</v>
      </c>
      <c r="B226" s="413" t="s">
        <v>3385</v>
      </c>
      <c r="C226" s="411">
        <f t="shared" si="5"/>
        <v>212</v>
      </c>
      <c r="D226" s="443" t="s">
        <v>3546</v>
      </c>
      <c r="E226" s="412" t="s">
        <v>3556</v>
      </c>
      <c r="F226" s="912">
        <v>4.3541200000000002E-2</v>
      </c>
      <c r="G226" s="480">
        <v>2538.48</v>
      </c>
      <c r="H226" s="414">
        <v>487.2</v>
      </c>
      <c r="I226" s="413" t="s">
        <v>481</v>
      </c>
      <c r="J226" s="411">
        <v>1</v>
      </c>
      <c r="K226" s="411" t="s">
        <v>3467</v>
      </c>
      <c r="L226" s="482">
        <v>348</v>
      </c>
      <c r="M226" s="461" t="s">
        <v>2412</v>
      </c>
      <c r="N226" s="483">
        <v>67.071199999999919</v>
      </c>
      <c r="O226" s="483">
        <v>134.154</v>
      </c>
      <c r="P226" s="913" t="s">
        <v>2413</v>
      </c>
      <c r="Q226" s="484">
        <v>336.67839999999967</v>
      </c>
      <c r="R226" s="497"/>
    </row>
    <row r="227" spans="1:19" ht="15" customHeight="1">
      <c r="A227" s="233">
        <v>213</v>
      </c>
      <c r="B227" s="413" t="s">
        <v>5158</v>
      </c>
      <c r="C227" s="411">
        <f t="shared" si="5"/>
        <v>213</v>
      </c>
      <c r="D227" s="443" t="s">
        <v>3546</v>
      </c>
      <c r="E227" s="412" t="s">
        <v>5178</v>
      </c>
      <c r="F227" s="912">
        <v>3.9162000000000002E-2</v>
      </c>
      <c r="G227" s="480">
        <v>2538.4744000000001</v>
      </c>
      <c r="H227" s="414">
        <v>492.2</v>
      </c>
      <c r="I227" s="413" t="s">
        <v>481</v>
      </c>
      <c r="J227" s="411">
        <v>1</v>
      </c>
      <c r="K227" s="411" t="s">
        <v>5199</v>
      </c>
      <c r="L227" s="482">
        <v>348</v>
      </c>
      <c r="M227" s="461" t="s">
        <v>2412</v>
      </c>
      <c r="N227" s="483">
        <v>67.071199999999919</v>
      </c>
      <c r="O227" s="483">
        <v>134.15399999999985</v>
      </c>
      <c r="P227" s="913" t="s">
        <v>2413</v>
      </c>
      <c r="Q227" s="484">
        <v>336.67840000000001</v>
      </c>
      <c r="R227" s="497"/>
    </row>
    <row r="228" spans="1:19" ht="15" customHeight="1">
      <c r="A228" s="411">
        <v>214</v>
      </c>
      <c r="B228" s="413" t="s">
        <v>3386</v>
      </c>
      <c r="C228" s="411">
        <f t="shared" si="5"/>
        <v>214</v>
      </c>
      <c r="D228" s="443" t="s">
        <v>3546</v>
      </c>
      <c r="E228" s="412" t="s">
        <v>3557</v>
      </c>
      <c r="F228" s="912">
        <v>4.2483599999999996E-2</v>
      </c>
      <c r="G228" s="480">
        <v>2538.48</v>
      </c>
      <c r="H228" s="414">
        <v>487.2</v>
      </c>
      <c r="I228" s="413" t="s">
        <v>481</v>
      </c>
      <c r="J228" s="411">
        <v>1</v>
      </c>
      <c r="K228" s="411" t="s">
        <v>3468</v>
      </c>
      <c r="L228" s="482">
        <v>348</v>
      </c>
      <c r="M228" s="461" t="s">
        <v>2412</v>
      </c>
      <c r="N228" s="483">
        <v>67.071199999999919</v>
      </c>
      <c r="O228" s="483">
        <v>134.154</v>
      </c>
      <c r="P228" s="913" t="s">
        <v>2413</v>
      </c>
      <c r="Q228" s="484">
        <v>336.67839999999967</v>
      </c>
      <c r="R228" s="497"/>
    </row>
    <row r="229" spans="1:19" ht="15" customHeight="1">
      <c r="A229" s="411">
        <v>215</v>
      </c>
      <c r="B229" s="413" t="s">
        <v>3387</v>
      </c>
      <c r="C229" s="411">
        <f t="shared" si="5"/>
        <v>215</v>
      </c>
      <c r="D229" s="443" t="s">
        <v>3546</v>
      </c>
      <c r="E229" s="412" t="s">
        <v>3558</v>
      </c>
      <c r="F229" s="912">
        <v>4.761E-2</v>
      </c>
      <c r="G229" s="480">
        <v>2538.48</v>
      </c>
      <c r="H229" s="414">
        <v>487.2</v>
      </c>
      <c r="I229" s="413" t="s">
        <v>481</v>
      </c>
      <c r="J229" s="411">
        <v>1</v>
      </c>
      <c r="K229" s="411" t="s">
        <v>3469</v>
      </c>
      <c r="L229" s="482">
        <v>348</v>
      </c>
      <c r="M229" s="461" t="s">
        <v>2412</v>
      </c>
      <c r="N229" s="483">
        <v>67.071199999999919</v>
      </c>
      <c r="O229" s="483">
        <v>134.154</v>
      </c>
      <c r="P229" s="913" t="s">
        <v>2413</v>
      </c>
      <c r="Q229" s="484">
        <v>336.67839999999967</v>
      </c>
      <c r="R229" s="497"/>
    </row>
    <row r="230" spans="1:19" ht="15" customHeight="1">
      <c r="A230" s="233">
        <v>216</v>
      </c>
      <c r="B230" s="413" t="s">
        <v>3388</v>
      </c>
      <c r="C230" s="411">
        <f t="shared" si="5"/>
        <v>216</v>
      </c>
      <c r="D230" s="443" t="s">
        <v>3546</v>
      </c>
      <c r="E230" s="412" t="s">
        <v>3559</v>
      </c>
      <c r="F230" s="912">
        <v>3.5355999999999999E-2</v>
      </c>
      <c r="G230" s="480">
        <v>2538.4744000000001</v>
      </c>
      <c r="H230" s="414">
        <v>487.2</v>
      </c>
      <c r="I230" s="413" t="s">
        <v>481</v>
      </c>
      <c r="J230" s="411">
        <v>1</v>
      </c>
      <c r="K230" s="411" t="s">
        <v>3470</v>
      </c>
      <c r="L230" s="482">
        <v>348</v>
      </c>
      <c r="M230" s="461" t="s">
        <v>2412</v>
      </c>
      <c r="N230" s="483">
        <v>67.071199999999919</v>
      </c>
      <c r="O230" s="483">
        <v>134.154</v>
      </c>
      <c r="P230" s="913" t="s">
        <v>2413</v>
      </c>
      <c r="Q230" s="484">
        <v>336.67839999999967</v>
      </c>
      <c r="R230" s="497"/>
    </row>
    <row r="231" spans="1:19" ht="15" customHeight="1">
      <c r="A231" s="411">
        <v>217</v>
      </c>
      <c r="B231" s="413" t="s">
        <v>3389</v>
      </c>
      <c r="C231" s="411">
        <f t="shared" si="5"/>
        <v>217</v>
      </c>
      <c r="D231" s="443" t="s">
        <v>3546</v>
      </c>
      <c r="E231" s="412" t="s">
        <v>3560</v>
      </c>
      <c r="F231" s="912">
        <v>5.13751E-2</v>
      </c>
      <c r="G231" s="480">
        <v>2538.48</v>
      </c>
      <c r="H231" s="414">
        <v>487.2</v>
      </c>
      <c r="I231" s="413" t="s">
        <v>481</v>
      </c>
      <c r="J231" s="411">
        <v>1</v>
      </c>
      <c r="K231" s="411" t="s">
        <v>3471</v>
      </c>
      <c r="L231" s="482">
        <v>348</v>
      </c>
      <c r="M231" s="461" t="s">
        <v>2412</v>
      </c>
      <c r="N231" s="483">
        <v>67.071199999999919</v>
      </c>
      <c r="O231" s="483">
        <v>134.154</v>
      </c>
      <c r="P231" s="913" t="s">
        <v>2413</v>
      </c>
      <c r="Q231" s="484">
        <v>336.67839999999967</v>
      </c>
      <c r="R231" s="497"/>
    </row>
    <row r="232" spans="1:19" ht="15" customHeight="1">
      <c r="A232" s="411">
        <v>218</v>
      </c>
      <c r="B232" s="413" t="s">
        <v>4259</v>
      </c>
      <c r="C232" s="411">
        <f t="shared" si="5"/>
        <v>218</v>
      </c>
      <c r="D232" s="443" t="s">
        <v>3546</v>
      </c>
      <c r="E232" s="412" t="s">
        <v>4269</v>
      </c>
      <c r="F232" s="912">
        <v>4.7998700000000005E-2</v>
      </c>
      <c r="G232" s="480">
        <v>3463.0023344000001</v>
      </c>
      <c r="H232" s="414">
        <v>487.2</v>
      </c>
      <c r="I232" s="413" t="s">
        <v>533</v>
      </c>
      <c r="J232" s="411">
        <v>2</v>
      </c>
      <c r="K232" s="411" t="s">
        <v>4278</v>
      </c>
      <c r="L232" s="482">
        <v>348</v>
      </c>
      <c r="M232" s="461" t="s">
        <v>2412</v>
      </c>
      <c r="N232" s="483">
        <v>121.62599999999989</v>
      </c>
      <c r="O232" s="483">
        <v>243.24039999999999</v>
      </c>
      <c r="P232" s="913" t="s">
        <v>2413</v>
      </c>
      <c r="Q232" s="484">
        <v>336.67839999999967</v>
      </c>
      <c r="R232" s="497"/>
    </row>
    <row r="233" spans="1:19" ht="15" customHeight="1">
      <c r="A233" s="233">
        <v>219</v>
      </c>
      <c r="B233" s="413" t="s">
        <v>3390</v>
      </c>
      <c r="C233" s="411">
        <f t="shared" si="5"/>
        <v>219</v>
      </c>
      <c r="D233" s="443" t="s">
        <v>3546</v>
      </c>
      <c r="E233" s="412" t="s">
        <v>3561</v>
      </c>
      <c r="F233" s="912">
        <v>5.6226599999999995E-2</v>
      </c>
      <c r="G233" s="480">
        <v>2538.48</v>
      </c>
      <c r="H233" s="414">
        <v>487.2</v>
      </c>
      <c r="I233" s="413" t="s">
        <v>481</v>
      </c>
      <c r="J233" s="411">
        <v>1</v>
      </c>
      <c r="K233" s="411" t="s">
        <v>3472</v>
      </c>
      <c r="L233" s="482">
        <v>348</v>
      </c>
      <c r="M233" s="461" t="s">
        <v>2412</v>
      </c>
      <c r="N233" s="483">
        <v>67.071199999999919</v>
      </c>
      <c r="O233" s="483">
        <v>134.154</v>
      </c>
      <c r="P233" s="913" t="s">
        <v>2413</v>
      </c>
      <c r="Q233" s="484">
        <v>336.67839999999967</v>
      </c>
      <c r="R233" s="497"/>
    </row>
    <row r="234" spans="1:19" ht="15" customHeight="1">
      <c r="A234" s="411">
        <v>220</v>
      </c>
      <c r="B234" s="413" t="s">
        <v>3391</v>
      </c>
      <c r="C234" s="411">
        <f t="shared" si="5"/>
        <v>220</v>
      </c>
      <c r="D234" s="443" t="s">
        <v>3546</v>
      </c>
      <c r="E234" s="412" t="s">
        <v>3562</v>
      </c>
      <c r="F234" s="912">
        <v>4.7143199999999996E-2</v>
      </c>
      <c r="G234" s="480">
        <v>2538.48</v>
      </c>
      <c r="H234" s="414">
        <v>487.2</v>
      </c>
      <c r="I234" s="413" t="s">
        <v>481</v>
      </c>
      <c r="J234" s="411">
        <v>1</v>
      </c>
      <c r="K234" s="411" t="s">
        <v>3473</v>
      </c>
      <c r="L234" s="482">
        <v>348</v>
      </c>
      <c r="M234" s="461" t="s">
        <v>2412</v>
      </c>
      <c r="N234" s="483">
        <v>67.071199999999919</v>
      </c>
      <c r="O234" s="483">
        <v>134.154</v>
      </c>
      <c r="P234" s="913" t="s">
        <v>2413</v>
      </c>
      <c r="Q234" s="484">
        <v>336.67839999999967</v>
      </c>
      <c r="R234" s="497"/>
    </row>
    <row r="235" spans="1:19" ht="15" customHeight="1">
      <c r="A235" s="411">
        <v>221</v>
      </c>
      <c r="B235" s="413" t="s">
        <v>3392</v>
      </c>
      <c r="C235" s="411">
        <f t="shared" si="5"/>
        <v>221</v>
      </c>
      <c r="D235" s="443" t="s">
        <v>3546</v>
      </c>
      <c r="E235" s="412" t="s">
        <v>3563</v>
      </c>
      <c r="F235" s="912">
        <v>6.7184999999999995E-2</v>
      </c>
      <c r="G235" s="480">
        <v>2538.4744000000001</v>
      </c>
      <c r="H235" s="414">
        <v>487.2</v>
      </c>
      <c r="I235" s="413" t="s">
        <v>481</v>
      </c>
      <c r="J235" s="411">
        <v>1</v>
      </c>
      <c r="K235" s="411" t="s">
        <v>3474</v>
      </c>
      <c r="L235" s="482">
        <v>348</v>
      </c>
      <c r="M235" s="461" t="s">
        <v>2412</v>
      </c>
      <c r="N235" s="483">
        <v>67.071199999999919</v>
      </c>
      <c r="O235" s="483">
        <v>134.154</v>
      </c>
      <c r="P235" s="913" t="s">
        <v>2413</v>
      </c>
      <c r="Q235" s="484">
        <v>336.67839999999967</v>
      </c>
      <c r="R235" s="497"/>
    </row>
    <row r="236" spans="1:19" ht="15" customHeight="1">
      <c r="A236" s="233">
        <v>222</v>
      </c>
      <c r="B236" s="413" t="s">
        <v>11034</v>
      </c>
      <c r="C236" s="411">
        <f t="shared" si="5"/>
        <v>222</v>
      </c>
      <c r="D236" s="443" t="s">
        <v>3546</v>
      </c>
      <c r="E236" s="412" t="s">
        <v>11048</v>
      </c>
      <c r="F236" s="912">
        <v>6.7184999999999995E-2</v>
      </c>
      <c r="G236" s="480">
        <v>2538.4744000000001</v>
      </c>
      <c r="H236" s="414">
        <v>487.2</v>
      </c>
      <c r="I236" s="413" t="s">
        <v>481</v>
      </c>
      <c r="J236" s="411">
        <v>1</v>
      </c>
      <c r="K236" s="411" t="s">
        <v>11059</v>
      </c>
      <c r="L236" s="482">
        <v>348</v>
      </c>
      <c r="M236" s="461" t="s">
        <v>2412</v>
      </c>
      <c r="N236" s="483">
        <v>67.071200000000005</v>
      </c>
      <c r="O236" s="483">
        <v>134.154</v>
      </c>
      <c r="P236" s="913" t="s">
        <v>2413</v>
      </c>
      <c r="Q236" s="484">
        <v>336.67840000000001</v>
      </c>
      <c r="R236" s="497"/>
    </row>
    <row r="237" spans="1:19" s="295" customFormat="1" ht="15" customHeight="1">
      <c r="A237" s="411">
        <v>223</v>
      </c>
      <c r="B237" s="413" t="s">
        <v>3393</v>
      </c>
      <c r="C237" s="411">
        <f t="shared" si="5"/>
        <v>223</v>
      </c>
      <c r="D237" s="443" t="s">
        <v>3546</v>
      </c>
      <c r="E237" s="412" t="s">
        <v>3564</v>
      </c>
      <c r="F237" s="912">
        <v>6.7184999999999995E-2</v>
      </c>
      <c r="G237" s="480">
        <v>2538.4744000000001</v>
      </c>
      <c r="H237" s="414">
        <v>487.2</v>
      </c>
      <c r="I237" s="413" t="s">
        <v>481</v>
      </c>
      <c r="J237" s="411">
        <v>1</v>
      </c>
      <c r="K237" s="411" t="s">
        <v>3475</v>
      </c>
      <c r="L237" s="482">
        <v>348</v>
      </c>
      <c r="M237" s="461" t="s">
        <v>2412</v>
      </c>
      <c r="N237" s="483">
        <v>67.071199999999919</v>
      </c>
      <c r="O237" s="483">
        <v>134.154</v>
      </c>
      <c r="P237" s="913" t="s">
        <v>2413</v>
      </c>
      <c r="Q237" s="484">
        <v>336.67839999999967</v>
      </c>
      <c r="R237" s="497"/>
      <c r="S237" s="415"/>
    </row>
    <row r="238" spans="1:19" ht="15" customHeight="1">
      <c r="A238" s="411">
        <v>224</v>
      </c>
      <c r="B238" s="413" t="s">
        <v>3394</v>
      </c>
      <c r="C238" s="411">
        <f t="shared" si="5"/>
        <v>224</v>
      </c>
      <c r="D238" s="443" t="s">
        <v>3546</v>
      </c>
      <c r="E238" s="412" t="s">
        <v>3565</v>
      </c>
      <c r="F238" s="912">
        <v>4.73815E-2</v>
      </c>
      <c r="G238" s="480">
        <v>3463.0023344000001</v>
      </c>
      <c r="H238" s="414">
        <v>487.2</v>
      </c>
      <c r="I238" s="413" t="s">
        <v>533</v>
      </c>
      <c r="J238" s="411">
        <v>2</v>
      </c>
      <c r="K238" s="411" t="s">
        <v>3476</v>
      </c>
      <c r="L238" s="482">
        <v>348</v>
      </c>
      <c r="M238" s="461" t="s">
        <v>2412</v>
      </c>
      <c r="N238" s="483">
        <v>121.62599999999989</v>
      </c>
      <c r="O238" s="483">
        <v>243.24039999999999</v>
      </c>
      <c r="P238" s="913" t="s">
        <v>2413</v>
      </c>
      <c r="Q238" s="484">
        <v>336.67839999999967</v>
      </c>
      <c r="R238" s="497"/>
    </row>
    <row r="239" spans="1:19" ht="15" customHeight="1">
      <c r="A239" s="233">
        <v>225</v>
      </c>
      <c r="B239" s="413" t="s">
        <v>3395</v>
      </c>
      <c r="C239" s="411">
        <f t="shared" si="5"/>
        <v>225</v>
      </c>
      <c r="D239" s="443" t="s">
        <v>3546</v>
      </c>
      <c r="E239" s="412" t="s">
        <v>2339</v>
      </c>
      <c r="F239" s="912">
        <v>4.7998700000000005E-2</v>
      </c>
      <c r="G239" s="480">
        <v>3463.0023344000001</v>
      </c>
      <c r="H239" s="414">
        <v>487.2</v>
      </c>
      <c r="I239" s="413" t="s">
        <v>533</v>
      </c>
      <c r="J239" s="411">
        <v>2</v>
      </c>
      <c r="K239" s="411" t="s">
        <v>3477</v>
      </c>
      <c r="L239" s="482">
        <v>348</v>
      </c>
      <c r="M239" s="461" t="s">
        <v>2412</v>
      </c>
      <c r="N239" s="483">
        <v>121.62599999999989</v>
      </c>
      <c r="O239" s="483">
        <v>243.24039999999999</v>
      </c>
      <c r="P239" s="913" t="s">
        <v>2413</v>
      </c>
      <c r="Q239" s="484">
        <v>336.67839999999967</v>
      </c>
      <c r="R239" s="497"/>
    </row>
    <row r="240" spans="1:19" ht="15" customHeight="1">
      <c r="A240" s="411">
        <v>226</v>
      </c>
      <c r="B240" s="413" t="s">
        <v>3396</v>
      </c>
      <c r="C240" s="411">
        <f t="shared" si="5"/>
        <v>226</v>
      </c>
      <c r="D240" s="443" t="s">
        <v>3546</v>
      </c>
      <c r="E240" s="412" t="s">
        <v>3566</v>
      </c>
      <c r="F240" s="912">
        <v>4.73815E-2</v>
      </c>
      <c r="G240" s="480">
        <v>3463.0023344000001</v>
      </c>
      <c r="H240" s="414">
        <v>487.2</v>
      </c>
      <c r="I240" s="413" t="s">
        <v>533</v>
      </c>
      <c r="J240" s="411">
        <v>2</v>
      </c>
      <c r="K240" s="411" t="s">
        <v>3478</v>
      </c>
      <c r="L240" s="482">
        <v>348</v>
      </c>
      <c r="M240" s="461" t="s">
        <v>2412</v>
      </c>
      <c r="N240" s="483">
        <v>121.62599999999989</v>
      </c>
      <c r="O240" s="483">
        <v>243.24039999999999</v>
      </c>
      <c r="P240" s="913" t="s">
        <v>2413</v>
      </c>
      <c r="Q240" s="484">
        <v>336.67839999999967</v>
      </c>
      <c r="R240" s="497"/>
    </row>
    <row r="241" spans="1:18" ht="15" customHeight="1">
      <c r="A241" s="411">
        <v>227</v>
      </c>
      <c r="B241" s="413" t="s">
        <v>3397</v>
      </c>
      <c r="C241" s="411">
        <f t="shared" si="5"/>
        <v>227</v>
      </c>
      <c r="D241" s="443" t="s">
        <v>3546</v>
      </c>
      <c r="E241" s="412" t="s">
        <v>3567</v>
      </c>
      <c r="F241" s="912">
        <v>4.73815E-2</v>
      </c>
      <c r="G241" s="480">
        <v>3463.0023344000001</v>
      </c>
      <c r="H241" s="414">
        <v>487.2</v>
      </c>
      <c r="I241" s="413" t="s">
        <v>533</v>
      </c>
      <c r="J241" s="411">
        <v>2</v>
      </c>
      <c r="K241" s="411" t="s">
        <v>3479</v>
      </c>
      <c r="L241" s="482">
        <v>348</v>
      </c>
      <c r="M241" s="461" t="s">
        <v>2412</v>
      </c>
      <c r="N241" s="483">
        <v>121.62599999999989</v>
      </c>
      <c r="O241" s="483">
        <v>243.24039999999999</v>
      </c>
      <c r="P241" s="913" t="s">
        <v>2413</v>
      </c>
      <c r="Q241" s="484">
        <v>336.67839999999967</v>
      </c>
      <c r="R241" s="497"/>
    </row>
    <row r="242" spans="1:18" ht="15" customHeight="1">
      <c r="A242" s="233">
        <v>228</v>
      </c>
      <c r="B242" s="413" t="s">
        <v>3398</v>
      </c>
      <c r="C242" s="411">
        <f t="shared" si="5"/>
        <v>228</v>
      </c>
      <c r="D242" s="443" t="s">
        <v>3546</v>
      </c>
      <c r="E242" s="412" t="s">
        <v>3568</v>
      </c>
      <c r="F242" s="912">
        <v>4.73815E-2</v>
      </c>
      <c r="G242" s="480">
        <v>3463.0023344000001</v>
      </c>
      <c r="H242" s="414">
        <v>487.2</v>
      </c>
      <c r="I242" s="413" t="s">
        <v>533</v>
      </c>
      <c r="J242" s="411">
        <v>2</v>
      </c>
      <c r="K242" s="411" t="s">
        <v>3480</v>
      </c>
      <c r="L242" s="482">
        <v>348</v>
      </c>
      <c r="M242" s="461" t="s">
        <v>2412</v>
      </c>
      <c r="N242" s="483">
        <v>121.62599999999989</v>
      </c>
      <c r="O242" s="483">
        <v>243.24039999999999</v>
      </c>
      <c r="P242" s="913" t="s">
        <v>2413</v>
      </c>
      <c r="Q242" s="484">
        <v>336.67839999999967</v>
      </c>
      <c r="R242" s="497"/>
    </row>
    <row r="243" spans="1:18" s="460" customFormat="1" ht="15" customHeight="1">
      <c r="A243" s="411">
        <v>229</v>
      </c>
      <c r="B243" s="413" t="s">
        <v>5159</v>
      </c>
      <c r="C243" s="411">
        <f t="shared" si="5"/>
        <v>229</v>
      </c>
      <c r="D243" s="443" t="s">
        <v>3546</v>
      </c>
      <c r="E243" s="412" t="s">
        <v>5179</v>
      </c>
      <c r="F243" s="912">
        <v>4.73815E-2</v>
      </c>
      <c r="G243" s="480">
        <v>3463.0023344000001</v>
      </c>
      <c r="H243" s="414">
        <v>487.2</v>
      </c>
      <c r="I243" s="413" t="s">
        <v>533</v>
      </c>
      <c r="J243" s="411">
        <v>2</v>
      </c>
      <c r="K243" s="411" t="s">
        <v>4813</v>
      </c>
      <c r="L243" s="482">
        <v>348</v>
      </c>
      <c r="M243" s="461" t="s">
        <v>2412</v>
      </c>
      <c r="N243" s="483">
        <v>121.62599999999989</v>
      </c>
      <c r="O243" s="483">
        <v>243.24040000000008</v>
      </c>
      <c r="P243" s="913" t="s">
        <v>2413</v>
      </c>
      <c r="Q243" s="484">
        <v>336.67839999999967</v>
      </c>
      <c r="R243" s="804"/>
    </row>
    <row r="244" spans="1:18" ht="15" customHeight="1">
      <c r="A244" s="411">
        <v>230</v>
      </c>
      <c r="B244" s="413" t="s">
        <v>3399</v>
      </c>
      <c r="C244" s="411">
        <f t="shared" si="5"/>
        <v>230</v>
      </c>
      <c r="D244" s="443" t="s">
        <v>3546</v>
      </c>
      <c r="E244" s="412" t="s">
        <v>3569</v>
      </c>
      <c r="F244" s="912">
        <v>4.3264899999999995E-2</v>
      </c>
      <c r="G244" s="480">
        <v>3463.0023344000001</v>
      </c>
      <c r="H244" s="414">
        <v>487.2</v>
      </c>
      <c r="I244" s="413" t="s">
        <v>533</v>
      </c>
      <c r="J244" s="411">
        <v>2</v>
      </c>
      <c r="K244" s="411" t="s">
        <v>3481</v>
      </c>
      <c r="L244" s="482">
        <v>348</v>
      </c>
      <c r="M244" s="461" t="s">
        <v>2412</v>
      </c>
      <c r="N244" s="483">
        <v>121.62599999999989</v>
      </c>
      <c r="O244" s="483">
        <v>243.24039999999999</v>
      </c>
      <c r="P244" s="913" t="s">
        <v>2413</v>
      </c>
      <c r="Q244" s="484">
        <v>336.67839999999967</v>
      </c>
      <c r="R244" s="497"/>
    </row>
    <row r="245" spans="1:18" ht="15" customHeight="1">
      <c r="A245" s="233">
        <v>231</v>
      </c>
      <c r="B245" s="413" t="s">
        <v>3400</v>
      </c>
      <c r="C245" s="411">
        <f t="shared" si="5"/>
        <v>231</v>
      </c>
      <c r="D245" s="443" t="s">
        <v>3546</v>
      </c>
      <c r="E245" s="412" t="s">
        <v>3570</v>
      </c>
      <c r="F245" s="912">
        <v>4.73815E-2</v>
      </c>
      <c r="G245" s="480">
        <v>3463.0023344000001</v>
      </c>
      <c r="H245" s="414">
        <v>487.2</v>
      </c>
      <c r="I245" s="413" t="s">
        <v>533</v>
      </c>
      <c r="J245" s="411">
        <v>2</v>
      </c>
      <c r="K245" s="411" t="s">
        <v>3482</v>
      </c>
      <c r="L245" s="482">
        <v>348</v>
      </c>
      <c r="M245" s="461" t="s">
        <v>2412</v>
      </c>
      <c r="N245" s="483">
        <v>121.62599999999989</v>
      </c>
      <c r="O245" s="483">
        <v>243.24039999999999</v>
      </c>
      <c r="P245" s="913" t="s">
        <v>2413</v>
      </c>
      <c r="Q245" s="484">
        <v>336.67839999999967</v>
      </c>
      <c r="R245" s="497"/>
    </row>
    <row r="246" spans="1:18" ht="15" customHeight="1">
      <c r="A246" s="411">
        <v>232</v>
      </c>
      <c r="B246" s="413" t="s">
        <v>3401</v>
      </c>
      <c r="C246" s="411">
        <f t="shared" si="5"/>
        <v>232</v>
      </c>
      <c r="D246" s="443" t="s">
        <v>3546</v>
      </c>
      <c r="E246" s="412" t="s">
        <v>3571</v>
      </c>
      <c r="F246" s="912">
        <v>4.3264899999999995E-2</v>
      </c>
      <c r="G246" s="480">
        <v>3463.0023344000001</v>
      </c>
      <c r="H246" s="414">
        <v>487.2</v>
      </c>
      <c r="I246" s="413" t="s">
        <v>533</v>
      </c>
      <c r="J246" s="411">
        <v>2</v>
      </c>
      <c r="K246" s="411" t="s">
        <v>3483</v>
      </c>
      <c r="L246" s="482">
        <v>348</v>
      </c>
      <c r="M246" s="461" t="s">
        <v>2412</v>
      </c>
      <c r="N246" s="483">
        <v>121.62599999999989</v>
      </c>
      <c r="O246" s="483">
        <v>243.24039999999999</v>
      </c>
      <c r="P246" s="913" t="s">
        <v>2413</v>
      </c>
      <c r="Q246" s="484">
        <v>336.67839999999967</v>
      </c>
      <c r="R246" s="497"/>
    </row>
    <row r="247" spans="1:18" ht="15" customHeight="1">
      <c r="A247" s="411">
        <v>233</v>
      </c>
      <c r="B247" s="413" t="s">
        <v>3402</v>
      </c>
      <c r="C247" s="411">
        <f t="shared" si="5"/>
        <v>233</v>
      </c>
      <c r="D247" s="443" t="s">
        <v>3546</v>
      </c>
      <c r="E247" s="412" t="s">
        <v>3572</v>
      </c>
      <c r="F247" s="912">
        <v>4.3264899999999995E-2</v>
      </c>
      <c r="G247" s="480">
        <v>3463.0023344000001</v>
      </c>
      <c r="H247" s="414">
        <v>487.2</v>
      </c>
      <c r="I247" s="413" t="s">
        <v>533</v>
      </c>
      <c r="J247" s="411">
        <v>2</v>
      </c>
      <c r="K247" s="411" t="s">
        <v>3484</v>
      </c>
      <c r="L247" s="482">
        <v>348</v>
      </c>
      <c r="M247" s="461" t="s">
        <v>2412</v>
      </c>
      <c r="N247" s="483">
        <v>121.62599999999989</v>
      </c>
      <c r="O247" s="483">
        <v>243.24039999999999</v>
      </c>
      <c r="P247" s="913" t="s">
        <v>2413</v>
      </c>
      <c r="Q247" s="484">
        <v>336.67839999999967</v>
      </c>
      <c r="R247" s="497"/>
    </row>
    <row r="248" spans="1:18" s="460" customFormat="1" ht="15" customHeight="1">
      <c r="A248" s="233">
        <v>234</v>
      </c>
      <c r="B248" s="413" t="s">
        <v>3403</v>
      </c>
      <c r="C248" s="411">
        <f t="shared" si="5"/>
        <v>234</v>
      </c>
      <c r="D248" s="443" t="s">
        <v>3546</v>
      </c>
      <c r="E248" s="412" t="s">
        <v>3573</v>
      </c>
      <c r="F248" s="912">
        <v>5.0015700000000003E-2</v>
      </c>
      <c r="G248" s="480">
        <v>3463.0023344000001</v>
      </c>
      <c r="H248" s="414">
        <v>487.2</v>
      </c>
      <c r="I248" s="413" t="s">
        <v>533</v>
      </c>
      <c r="J248" s="411">
        <v>2</v>
      </c>
      <c r="K248" s="411" t="s">
        <v>3485</v>
      </c>
      <c r="L248" s="482">
        <v>348</v>
      </c>
      <c r="M248" s="461" t="s">
        <v>2412</v>
      </c>
      <c r="N248" s="483">
        <v>121.62599999999989</v>
      </c>
      <c r="O248" s="483">
        <v>243.24039999999999</v>
      </c>
      <c r="P248" s="913" t="s">
        <v>2413</v>
      </c>
      <c r="Q248" s="484">
        <v>336.67839999999967</v>
      </c>
      <c r="R248" s="804"/>
    </row>
    <row r="249" spans="1:18" ht="15" customHeight="1">
      <c r="A249" s="411">
        <v>235</v>
      </c>
      <c r="B249" s="413" t="s">
        <v>3404</v>
      </c>
      <c r="C249" s="411">
        <f t="shared" si="5"/>
        <v>235</v>
      </c>
      <c r="D249" s="443" t="s">
        <v>3546</v>
      </c>
      <c r="E249" s="412" t="s">
        <v>3574</v>
      </c>
      <c r="F249" s="912">
        <v>5.0015700000000003E-2</v>
      </c>
      <c r="G249" s="480">
        <v>3463.0023344000001</v>
      </c>
      <c r="H249" s="414">
        <v>487.2</v>
      </c>
      <c r="I249" s="413" t="s">
        <v>533</v>
      </c>
      <c r="J249" s="411">
        <v>2</v>
      </c>
      <c r="K249" s="411" t="s">
        <v>3486</v>
      </c>
      <c r="L249" s="482">
        <v>348</v>
      </c>
      <c r="M249" s="461" t="s">
        <v>2412</v>
      </c>
      <c r="N249" s="483">
        <v>121.62599999999989</v>
      </c>
      <c r="O249" s="483">
        <v>243.24039999999999</v>
      </c>
      <c r="P249" s="913" t="s">
        <v>2413</v>
      </c>
      <c r="Q249" s="484">
        <v>336.67839999999967</v>
      </c>
      <c r="R249" s="497"/>
    </row>
    <row r="250" spans="1:18" ht="15" customHeight="1">
      <c r="A250" s="411">
        <v>236</v>
      </c>
      <c r="B250" s="413" t="s">
        <v>3405</v>
      </c>
      <c r="C250" s="411">
        <f t="shared" si="5"/>
        <v>236</v>
      </c>
      <c r="D250" s="443" t="s">
        <v>3546</v>
      </c>
      <c r="E250" s="412" t="s">
        <v>3575</v>
      </c>
      <c r="F250" s="912">
        <v>5.0015700000000003E-2</v>
      </c>
      <c r="G250" s="480">
        <v>3463.0023344000001</v>
      </c>
      <c r="H250" s="414">
        <v>487.2</v>
      </c>
      <c r="I250" s="413" t="s">
        <v>533</v>
      </c>
      <c r="J250" s="411">
        <v>2</v>
      </c>
      <c r="K250" s="411" t="s">
        <v>3487</v>
      </c>
      <c r="L250" s="482">
        <v>348</v>
      </c>
      <c r="M250" s="461" t="s">
        <v>2412</v>
      </c>
      <c r="N250" s="483">
        <v>121.62599999999989</v>
      </c>
      <c r="O250" s="483">
        <v>243.24039999999999</v>
      </c>
      <c r="P250" s="913" t="s">
        <v>2413</v>
      </c>
      <c r="Q250" s="484">
        <v>336.67839999999967</v>
      </c>
      <c r="R250" s="497"/>
    </row>
    <row r="251" spans="1:18" ht="15" customHeight="1">
      <c r="A251" s="233">
        <v>237</v>
      </c>
      <c r="B251" s="413" t="s">
        <v>3406</v>
      </c>
      <c r="C251" s="411">
        <f t="shared" si="5"/>
        <v>237</v>
      </c>
      <c r="D251" s="443" t="s">
        <v>3546</v>
      </c>
      <c r="E251" s="412" t="s">
        <v>3576</v>
      </c>
      <c r="F251" s="912">
        <v>4.7998700000000005E-2</v>
      </c>
      <c r="G251" s="480">
        <v>3463.0023344000001</v>
      </c>
      <c r="H251" s="414">
        <v>487.2</v>
      </c>
      <c r="I251" s="413" t="s">
        <v>533</v>
      </c>
      <c r="J251" s="411">
        <v>2</v>
      </c>
      <c r="K251" s="411" t="s">
        <v>3488</v>
      </c>
      <c r="L251" s="482">
        <v>348</v>
      </c>
      <c r="M251" s="461" t="s">
        <v>2412</v>
      </c>
      <c r="N251" s="483">
        <v>121.62599999999989</v>
      </c>
      <c r="O251" s="483">
        <v>243.24039999999999</v>
      </c>
      <c r="P251" s="913" t="s">
        <v>2413</v>
      </c>
      <c r="Q251" s="484">
        <v>336.67839999999967</v>
      </c>
      <c r="R251" s="497"/>
    </row>
    <row r="252" spans="1:18" ht="15" customHeight="1">
      <c r="A252" s="411">
        <v>238</v>
      </c>
      <c r="B252" s="413" t="s">
        <v>3407</v>
      </c>
      <c r="C252" s="411">
        <f t="shared" si="5"/>
        <v>238</v>
      </c>
      <c r="D252" s="443" t="s">
        <v>3546</v>
      </c>
      <c r="E252" s="412" t="s">
        <v>2340</v>
      </c>
      <c r="F252" s="912">
        <v>4.73815E-2</v>
      </c>
      <c r="G252" s="480">
        <v>3463.0023344000001</v>
      </c>
      <c r="H252" s="414">
        <v>487.2</v>
      </c>
      <c r="I252" s="413" t="s">
        <v>533</v>
      </c>
      <c r="J252" s="411">
        <v>2</v>
      </c>
      <c r="K252" s="411" t="s">
        <v>3489</v>
      </c>
      <c r="L252" s="482">
        <v>348</v>
      </c>
      <c r="M252" s="461" t="s">
        <v>2412</v>
      </c>
      <c r="N252" s="483">
        <v>121.62599999999989</v>
      </c>
      <c r="O252" s="483">
        <v>243.24039999999999</v>
      </c>
      <c r="P252" s="913" t="s">
        <v>2413</v>
      </c>
      <c r="Q252" s="484">
        <v>336.67839999999967</v>
      </c>
      <c r="R252" s="497"/>
    </row>
    <row r="253" spans="1:18" ht="15" customHeight="1">
      <c r="A253" s="411">
        <v>239</v>
      </c>
      <c r="B253" s="413" t="s">
        <v>3408</v>
      </c>
      <c r="C253" s="411">
        <f t="shared" si="5"/>
        <v>239</v>
      </c>
      <c r="D253" s="443" t="s">
        <v>3546</v>
      </c>
      <c r="E253" s="412" t="s">
        <v>3577</v>
      </c>
      <c r="F253" s="912">
        <v>4.7998700000000005E-2</v>
      </c>
      <c r="G253" s="480">
        <v>3463.0023344000001</v>
      </c>
      <c r="H253" s="414">
        <v>487.2</v>
      </c>
      <c r="I253" s="413" t="s">
        <v>533</v>
      </c>
      <c r="J253" s="411">
        <v>2</v>
      </c>
      <c r="K253" s="411" t="s">
        <v>3490</v>
      </c>
      <c r="L253" s="482">
        <v>348</v>
      </c>
      <c r="M253" s="461" t="s">
        <v>2412</v>
      </c>
      <c r="N253" s="483">
        <v>121.62599999999989</v>
      </c>
      <c r="O253" s="483">
        <v>243.24039999999999</v>
      </c>
      <c r="P253" s="913" t="s">
        <v>2413</v>
      </c>
      <c r="Q253" s="484">
        <v>336.67839999999967</v>
      </c>
      <c r="R253" s="497"/>
    </row>
    <row r="254" spans="1:18" ht="15" customHeight="1">
      <c r="A254" s="233">
        <v>240</v>
      </c>
      <c r="B254" s="413" t="s">
        <v>3409</v>
      </c>
      <c r="C254" s="411">
        <f t="shared" si="5"/>
        <v>240</v>
      </c>
      <c r="D254" s="443" t="s">
        <v>3546</v>
      </c>
      <c r="E254" s="412" t="s">
        <v>3578</v>
      </c>
      <c r="F254" s="912">
        <v>4.7998700000000005E-2</v>
      </c>
      <c r="G254" s="480">
        <v>3463.0023344000001</v>
      </c>
      <c r="H254" s="414">
        <v>487.2</v>
      </c>
      <c r="I254" s="413" t="s">
        <v>533</v>
      </c>
      <c r="J254" s="411">
        <v>2</v>
      </c>
      <c r="K254" s="411" t="s">
        <v>3491</v>
      </c>
      <c r="L254" s="482">
        <v>348</v>
      </c>
      <c r="M254" s="461" t="s">
        <v>2412</v>
      </c>
      <c r="N254" s="483">
        <v>121.62599999999989</v>
      </c>
      <c r="O254" s="483">
        <v>243.24039999999999</v>
      </c>
      <c r="P254" s="913" t="s">
        <v>2413</v>
      </c>
      <c r="Q254" s="484">
        <v>336.67839999999967</v>
      </c>
      <c r="R254" s="497"/>
    </row>
    <row r="255" spans="1:18" ht="15" customHeight="1">
      <c r="A255" s="411">
        <v>241</v>
      </c>
      <c r="B255" s="413" t="s">
        <v>3410</v>
      </c>
      <c r="C255" s="411">
        <f t="shared" si="5"/>
        <v>241</v>
      </c>
      <c r="D255" s="443" t="s">
        <v>3546</v>
      </c>
      <c r="E255" s="412" t="s">
        <v>3579</v>
      </c>
      <c r="F255" s="912">
        <v>4.7998700000000005E-2</v>
      </c>
      <c r="G255" s="480">
        <v>3463.0023344000001</v>
      </c>
      <c r="H255" s="414">
        <v>487.2</v>
      </c>
      <c r="I255" s="413" t="s">
        <v>533</v>
      </c>
      <c r="J255" s="411">
        <v>2</v>
      </c>
      <c r="K255" s="411" t="s">
        <v>3492</v>
      </c>
      <c r="L255" s="482">
        <v>348</v>
      </c>
      <c r="M255" s="461" t="s">
        <v>2412</v>
      </c>
      <c r="N255" s="483">
        <v>121.62599999999989</v>
      </c>
      <c r="O255" s="483">
        <v>243.24039999999999</v>
      </c>
      <c r="P255" s="913" t="s">
        <v>2413</v>
      </c>
      <c r="Q255" s="484">
        <v>336.67839999999967</v>
      </c>
      <c r="R255" s="497"/>
    </row>
    <row r="256" spans="1:18" ht="15" customHeight="1">
      <c r="A256" s="411">
        <v>242</v>
      </c>
      <c r="B256" s="413" t="s">
        <v>3411</v>
      </c>
      <c r="C256" s="411">
        <f t="shared" si="5"/>
        <v>242</v>
      </c>
      <c r="D256" s="443" t="s">
        <v>3546</v>
      </c>
      <c r="E256" s="412" t="s">
        <v>3580</v>
      </c>
      <c r="F256" s="912">
        <v>4.7998700000000005E-2</v>
      </c>
      <c r="G256" s="480">
        <v>3463.0023344000001</v>
      </c>
      <c r="H256" s="414">
        <v>487.2</v>
      </c>
      <c r="I256" s="413" t="s">
        <v>533</v>
      </c>
      <c r="J256" s="411">
        <v>2</v>
      </c>
      <c r="K256" s="411" t="s">
        <v>3493</v>
      </c>
      <c r="L256" s="482">
        <v>348</v>
      </c>
      <c r="M256" s="461" t="s">
        <v>2412</v>
      </c>
      <c r="N256" s="483">
        <v>121.62599999999989</v>
      </c>
      <c r="O256" s="483">
        <v>243.24039999999999</v>
      </c>
      <c r="P256" s="913" t="s">
        <v>2413</v>
      </c>
      <c r="Q256" s="484">
        <v>336.67839999999967</v>
      </c>
      <c r="R256" s="497"/>
    </row>
    <row r="257" spans="1:19" s="296" customFormat="1" ht="15" customHeight="1">
      <c r="A257" s="233">
        <v>243</v>
      </c>
      <c r="B257" s="413" t="s">
        <v>3412</v>
      </c>
      <c r="C257" s="411">
        <f t="shared" si="5"/>
        <v>243</v>
      </c>
      <c r="D257" s="443" t="s">
        <v>3546</v>
      </c>
      <c r="E257" s="412" t="s">
        <v>3581</v>
      </c>
      <c r="F257" s="912">
        <v>4.7998700000000005E-2</v>
      </c>
      <c r="G257" s="480">
        <v>3463.0023344000001</v>
      </c>
      <c r="H257" s="414">
        <v>487.2</v>
      </c>
      <c r="I257" s="413" t="s">
        <v>533</v>
      </c>
      <c r="J257" s="411">
        <v>2</v>
      </c>
      <c r="K257" s="411" t="s">
        <v>3494</v>
      </c>
      <c r="L257" s="482">
        <v>348</v>
      </c>
      <c r="M257" s="461" t="s">
        <v>2412</v>
      </c>
      <c r="N257" s="483">
        <v>121.62599999999989</v>
      </c>
      <c r="O257" s="483">
        <v>243.24039999999999</v>
      </c>
      <c r="P257" s="913" t="s">
        <v>2413</v>
      </c>
      <c r="Q257" s="484">
        <v>336.67839999999967</v>
      </c>
      <c r="R257" s="497"/>
      <c r="S257" s="415"/>
    </row>
    <row r="258" spans="1:19" s="296" customFormat="1" ht="15" customHeight="1">
      <c r="A258" s="411">
        <v>244</v>
      </c>
      <c r="B258" s="413" t="s">
        <v>3413</v>
      </c>
      <c r="C258" s="411">
        <f t="shared" si="5"/>
        <v>244</v>
      </c>
      <c r="D258" s="443" t="s">
        <v>3546</v>
      </c>
      <c r="E258" s="412" t="s">
        <v>3582</v>
      </c>
      <c r="F258" s="912">
        <v>4.7998700000000005E-2</v>
      </c>
      <c r="G258" s="480">
        <v>3463.0023344000001</v>
      </c>
      <c r="H258" s="414">
        <v>487.2</v>
      </c>
      <c r="I258" s="413" t="s">
        <v>533</v>
      </c>
      <c r="J258" s="411">
        <v>2</v>
      </c>
      <c r="K258" s="411" t="s">
        <v>3495</v>
      </c>
      <c r="L258" s="482">
        <v>348</v>
      </c>
      <c r="M258" s="461" t="s">
        <v>2412</v>
      </c>
      <c r="N258" s="483">
        <v>121.62599999999989</v>
      </c>
      <c r="O258" s="483">
        <v>243.24039999999999</v>
      </c>
      <c r="P258" s="913" t="s">
        <v>2413</v>
      </c>
      <c r="Q258" s="484">
        <v>336.67839999999967</v>
      </c>
      <c r="R258" s="497"/>
      <c r="S258" s="415"/>
    </row>
    <row r="259" spans="1:19" s="296" customFormat="1" ht="15" customHeight="1">
      <c r="A259" s="411">
        <v>245</v>
      </c>
      <c r="B259" s="413" t="s">
        <v>3414</v>
      </c>
      <c r="C259" s="411">
        <f t="shared" si="5"/>
        <v>245</v>
      </c>
      <c r="D259" s="443" t="s">
        <v>3546</v>
      </c>
      <c r="E259" s="412" t="s">
        <v>3583</v>
      </c>
      <c r="F259" s="912">
        <v>4.7998700000000005E-2</v>
      </c>
      <c r="G259" s="480">
        <v>3463.0023344000001</v>
      </c>
      <c r="H259" s="414">
        <v>487.2</v>
      </c>
      <c r="I259" s="413" t="s">
        <v>533</v>
      </c>
      <c r="J259" s="411">
        <v>2</v>
      </c>
      <c r="K259" s="411" t="s">
        <v>3496</v>
      </c>
      <c r="L259" s="482">
        <v>348</v>
      </c>
      <c r="M259" s="461" t="s">
        <v>2412</v>
      </c>
      <c r="N259" s="483">
        <v>121.62599999999989</v>
      </c>
      <c r="O259" s="483">
        <v>243.24039999999999</v>
      </c>
      <c r="P259" s="913" t="s">
        <v>2413</v>
      </c>
      <c r="Q259" s="484">
        <v>336.67839999999967</v>
      </c>
      <c r="R259" s="497"/>
      <c r="S259" s="415"/>
    </row>
    <row r="260" spans="1:19" s="296" customFormat="1" ht="15" customHeight="1">
      <c r="A260" s="233">
        <v>246</v>
      </c>
      <c r="B260" s="413" t="s">
        <v>4099</v>
      </c>
      <c r="C260" s="411">
        <f t="shared" si="5"/>
        <v>246</v>
      </c>
      <c r="D260" s="443" t="s">
        <v>3546</v>
      </c>
      <c r="E260" s="412" t="s">
        <v>4100</v>
      </c>
      <c r="F260" s="912">
        <v>4.4601699999999994E-2</v>
      </c>
      <c r="G260" s="480">
        <v>2538.48</v>
      </c>
      <c r="H260" s="414">
        <v>487.2</v>
      </c>
      <c r="I260" s="413" t="s">
        <v>481</v>
      </c>
      <c r="J260" s="411">
        <v>1</v>
      </c>
      <c r="K260" s="411" t="s">
        <v>5140</v>
      </c>
      <c r="L260" s="482">
        <v>348</v>
      </c>
      <c r="M260" s="461" t="s">
        <v>2412</v>
      </c>
      <c r="N260" s="483">
        <v>67.071199999999919</v>
      </c>
      <c r="O260" s="483">
        <v>134.15400000000011</v>
      </c>
      <c r="P260" s="913" t="s">
        <v>2413</v>
      </c>
      <c r="Q260" s="484">
        <v>336.67839999999967</v>
      </c>
      <c r="R260" s="497"/>
      <c r="S260" s="415"/>
    </row>
    <row r="261" spans="1:19" s="296" customFormat="1" ht="15" customHeight="1">
      <c r="A261" s="411">
        <v>247</v>
      </c>
      <c r="B261" s="413" t="s">
        <v>3415</v>
      </c>
      <c r="C261" s="411">
        <f t="shared" si="5"/>
        <v>247</v>
      </c>
      <c r="D261" s="443" t="s">
        <v>3546</v>
      </c>
      <c r="E261" s="412" t="s">
        <v>3584</v>
      </c>
      <c r="F261" s="912">
        <v>4.73815E-2</v>
      </c>
      <c r="G261" s="480">
        <v>3463.0023344000001</v>
      </c>
      <c r="H261" s="414">
        <v>487.2</v>
      </c>
      <c r="I261" s="413" t="s">
        <v>533</v>
      </c>
      <c r="J261" s="411">
        <v>2</v>
      </c>
      <c r="K261" s="411" t="s">
        <v>3497</v>
      </c>
      <c r="L261" s="482">
        <v>348</v>
      </c>
      <c r="M261" s="461" t="s">
        <v>2412</v>
      </c>
      <c r="N261" s="483">
        <v>121.62599999999989</v>
      </c>
      <c r="O261" s="483">
        <v>243.24039999999999</v>
      </c>
      <c r="P261" s="913" t="s">
        <v>2413</v>
      </c>
      <c r="Q261" s="484">
        <v>336.67839999999967</v>
      </c>
      <c r="R261" s="497"/>
      <c r="S261" s="415"/>
    </row>
    <row r="262" spans="1:19" s="296" customFormat="1" ht="15" customHeight="1">
      <c r="A262" s="411">
        <v>248</v>
      </c>
      <c r="B262" s="413" t="s">
        <v>3416</v>
      </c>
      <c r="C262" s="411">
        <f t="shared" si="5"/>
        <v>248</v>
      </c>
      <c r="D262" s="443" t="s">
        <v>3546</v>
      </c>
      <c r="E262" s="412" t="s">
        <v>3585</v>
      </c>
      <c r="F262" s="912">
        <v>4.00282E-2</v>
      </c>
      <c r="G262" s="480">
        <v>3463.0023344000001</v>
      </c>
      <c r="H262" s="414">
        <v>487.2</v>
      </c>
      <c r="I262" s="413" t="s">
        <v>533</v>
      </c>
      <c r="J262" s="411">
        <v>2</v>
      </c>
      <c r="K262" s="411" t="s">
        <v>3498</v>
      </c>
      <c r="L262" s="482">
        <v>348</v>
      </c>
      <c r="M262" s="461" t="s">
        <v>2412</v>
      </c>
      <c r="N262" s="483">
        <v>121.62599999999989</v>
      </c>
      <c r="O262" s="483">
        <v>243.24039999999999</v>
      </c>
      <c r="P262" s="913" t="s">
        <v>2413</v>
      </c>
      <c r="Q262" s="484">
        <v>336.67839999999967</v>
      </c>
      <c r="R262" s="497"/>
      <c r="S262" s="415"/>
    </row>
    <row r="263" spans="1:19" s="296" customFormat="1" ht="15" customHeight="1">
      <c r="A263" s="233">
        <v>249</v>
      </c>
      <c r="B263" s="413" t="s">
        <v>3417</v>
      </c>
      <c r="C263" s="411">
        <f t="shared" si="5"/>
        <v>249</v>
      </c>
      <c r="D263" s="443" t="s">
        <v>3546</v>
      </c>
      <c r="E263" s="412" t="s">
        <v>3586</v>
      </c>
      <c r="F263" s="912">
        <v>4.00282E-2</v>
      </c>
      <c r="G263" s="480">
        <v>3463.0023344000001</v>
      </c>
      <c r="H263" s="414">
        <v>487.2</v>
      </c>
      <c r="I263" s="413" t="s">
        <v>533</v>
      </c>
      <c r="J263" s="411">
        <v>2</v>
      </c>
      <c r="K263" s="411" t="s">
        <v>3499</v>
      </c>
      <c r="L263" s="482">
        <v>348</v>
      </c>
      <c r="M263" s="461" t="s">
        <v>2412</v>
      </c>
      <c r="N263" s="483">
        <v>121.62599999999989</v>
      </c>
      <c r="O263" s="483">
        <v>243.24039999999999</v>
      </c>
      <c r="P263" s="913" t="s">
        <v>2413</v>
      </c>
      <c r="Q263" s="484">
        <v>336.67839999999967</v>
      </c>
      <c r="R263" s="804"/>
      <c r="S263" s="415"/>
    </row>
    <row r="264" spans="1:19" s="296" customFormat="1" ht="15" customHeight="1">
      <c r="A264" s="411">
        <v>250</v>
      </c>
      <c r="B264" s="413" t="s">
        <v>3418</v>
      </c>
      <c r="C264" s="411">
        <f t="shared" si="5"/>
        <v>250</v>
      </c>
      <c r="D264" s="443" t="s">
        <v>3546</v>
      </c>
      <c r="E264" s="412" t="s">
        <v>3587</v>
      </c>
      <c r="F264" s="912">
        <v>4.00282E-2</v>
      </c>
      <c r="G264" s="480">
        <v>3463.0023344000001</v>
      </c>
      <c r="H264" s="414">
        <v>487.2</v>
      </c>
      <c r="I264" s="413" t="s">
        <v>533</v>
      </c>
      <c r="J264" s="411">
        <v>2</v>
      </c>
      <c r="K264" s="411" t="s">
        <v>3500</v>
      </c>
      <c r="L264" s="482">
        <v>348</v>
      </c>
      <c r="M264" s="461" t="s">
        <v>2412</v>
      </c>
      <c r="N264" s="483">
        <v>121.62599999999989</v>
      </c>
      <c r="O264" s="483">
        <v>243.24039999999999</v>
      </c>
      <c r="P264" s="913" t="s">
        <v>2413</v>
      </c>
      <c r="Q264" s="484">
        <v>336.67839999999967</v>
      </c>
      <c r="R264" s="804"/>
      <c r="S264" s="415"/>
    </row>
    <row r="265" spans="1:19" s="296" customFormat="1" ht="15" customHeight="1">
      <c r="A265" s="411">
        <v>251</v>
      </c>
      <c r="B265" s="413" t="s">
        <v>4849</v>
      </c>
      <c r="C265" s="411">
        <f t="shared" si="5"/>
        <v>251</v>
      </c>
      <c r="D265" s="443" t="s">
        <v>3546</v>
      </c>
      <c r="E265" s="412" t="s">
        <v>4878</v>
      </c>
      <c r="F265" s="912">
        <v>4.0028000000000001E-2</v>
      </c>
      <c r="G265" s="480">
        <v>3463</v>
      </c>
      <c r="H265" s="414">
        <v>487.2</v>
      </c>
      <c r="I265" s="413" t="s">
        <v>533</v>
      </c>
      <c r="J265" s="411">
        <v>2</v>
      </c>
      <c r="K265" s="411" t="s">
        <v>4909</v>
      </c>
      <c r="L265" s="482">
        <v>348</v>
      </c>
      <c r="M265" s="461" t="s">
        <v>2412</v>
      </c>
      <c r="N265" s="483">
        <v>121.62599999999989</v>
      </c>
      <c r="O265" s="483">
        <v>243.24040000000008</v>
      </c>
      <c r="P265" s="913" t="s">
        <v>2413</v>
      </c>
      <c r="Q265" s="484">
        <v>336.67840000000001</v>
      </c>
      <c r="R265" s="804"/>
      <c r="S265" s="415"/>
    </row>
    <row r="266" spans="1:19" s="296" customFormat="1" ht="15" customHeight="1">
      <c r="A266" s="233">
        <v>252</v>
      </c>
      <c r="B266" s="413" t="s">
        <v>5615</v>
      </c>
      <c r="C266" s="411">
        <f t="shared" si="5"/>
        <v>252</v>
      </c>
      <c r="D266" s="443" t="s">
        <v>3546</v>
      </c>
      <c r="E266" s="412" t="s">
        <v>5664</v>
      </c>
      <c r="F266" s="912">
        <v>4.0028000000000001E-2</v>
      </c>
      <c r="G266" s="480">
        <v>3463</v>
      </c>
      <c r="H266" s="414">
        <v>487.2</v>
      </c>
      <c r="I266" s="413" t="s">
        <v>533</v>
      </c>
      <c r="J266" s="411">
        <v>2</v>
      </c>
      <c r="K266" s="411" t="s">
        <v>5711</v>
      </c>
      <c r="L266" s="482">
        <v>348</v>
      </c>
      <c r="M266" s="461" t="s">
        <v>2412</v>
      </c>
      <c r="N266" s="483">
        <v>121.62599999999989</v>
      </c>
      <c r="O266" s="483">
        <v>243.24040000000008</v>
      </c>
      <c r="P266" s="913" t="s">
        <v>2413</v>
      </c>
      <c r="Q266" s="484">
        <v>336.67840000000001</v>
      </c>
      <c r="R266" s="804"/>
      <c r="S266" s="415"/>
    </row>
    <row r="267" spans="1:19" s="296" customFormat="1" ht="15" customHeight="1">
      <c r="A267" s="411">
        <v>253</v>
      </c>
      <c r="B267" s="413" t="s">
        <v>4260</v>
      </c>
      <c r="C267" s="411">
        <f t="shared" si="5"/>
        <v>253</v>
      </c>
      <c r="D267" s="443" t="s">
        <v>3546</v>
      </c>
      <c r="E267" s="412" t="s">
        <v>4270</v>
      </c>
      <c r="F267" s="912">
        <v>3.2575E-2</v>
      </c>
      <c r="G267" s="480">
        <v>2538.4744000000001</v>
      </c>
      <c r="H267" s="414">
        <v>487.2</v>
      </c>
      <c r="I267" s="413" t="s">
        <v>481</v>
      </c>
      <c r="J267" s="411">
        <v>1</v>
      </c>
      <c r="K267" s="411" t="s">
        <v>4279</v>
      </c>
      <c r="L267" s="482">
        <v>348</v>
      </c>
      <c r="M267" s="461" t="s">
        <v>2412</v>
      </c>
      <c r="N267" s="483">
        <v>67.071199999999919</v>
      </c>
      <c r="O267" s="483">
        <v>134.154</v>
      </c>
      <c r="P267" s="913" t="s">
        <v>2413</v>
      </c>
      <c r="Q267" s="484">
        <v>336.67839999999967</v>
      </c>
      <c r="R267" s="804"/>
      <c r="S267" s="415"/>
    </row>
    <row r="268" spans="1:19" s="296" customFormat="1" ht="15" customHeight="1">
      <c r="A268" s="411">
        <v>254</v>
      </c>
      <c r="B268" s="413" t="s">
        <v>11035</v>
      </c>
      <c r="C268" s="411">
        <f t="shared" si="5"/>
        <v>254</v>
      </c>
      <c r="D268" s="443" t="s">
        <v>3546</v>
      </c>
      <c r="E268" s="412" t="s">
        <v>11049</v>
      </c>
      <c r="F268" s="912">
        <v>3.9222E-2</v>
      </c>
      <c r="G268" s="480">
        <v>2538.4744000000001</v>
      </c>
      <c r="H268" s="414">
        <v>487.2</v>
      </c>
      <c r="I268" s="413" t="s">
        <v>481</v>
      </c>
      <c r="J268" s="411">
        <v>1</v>
      </c>
      <c r="K268" s="411" t="s">
        <v>11060</v>
      </c>
      <c r="L268" s="482">
        <v>348</v>
      </c>
      <c r="M268" s="461" t="s">
        <v>2412</v>
      </c>
      <c r="N268" s="483">
        <v>67.071200000000005</v>
      </c>
      <c r="O268" s="483">
        <v>134.154</v>
      </c>
      <c r="P268" s="913" t="s">
        <v>2413</v>
      </c>
      <c r="Q268" s="484">
        <v>336.67840000000001</v>
      </c>
      <c r="R268" s="804"/>
      <c r="S268" s="415"/>
    </row>
    <row r="269" spans="1:19" s="296" customFormat="1" ht="15" customHeight="1">
      <c r="A269" s="233">
        <v>255</v>
      </c>
      <c r="B269" s="413" t="s">
        <v>3419</v>
      </c>
      <c r="C269" s="411">
        <f t="shared" si="5"/>
        <v>255</v>
      </c>
      <c r="D269" s="443" t="s">
        <v>3546</v>
      </c>
      <c r="E269" s="412" t="s">
        <v>3588</v>
      </c>
      <c r="F269" s="912">
        <v>5.0000499999999996E-2</v>
      </c>
      <c r="G269" s="480">
        <v>3463.0023344000001</v>
      </c>
      <c r="H269" s="414">
        <v>487.2</v>
      </c>
      <c r="I269" s="413" t="s">
        <v>533</v>
      </c>
      <c r="J269" s="411">
        <v>2</v>
      </c>
      <c r="K269" s="411" t="s">
        <v>3501</v>
      </c>
      <c r="L269" s="482">
        <v>348</v>
      </c>
      <c r="M269" s="461" t="s">
        <v>2412</v>
      </c>
      <c r="N269" s="483">
        <v>121.62599999999989</v>
      </c>
      <c r="O269" s="483">
        <v>243.24039999999999</v>
      </c>
      <c r="P269" s="913" t="s">
        <v>2413</v>
      </c>
      <c r="Q269" s="484">
        <v>336.67839999999967</v>
      </c>
      <c r="R269" s="804"/>
      <c r="S269" s="415"/>
    </row>
    <row r="270" spans="1:19" s="296" customFormat="1" ht="15" customHeight="1">
      <c r="A270" s="411">
        <v>256</v>
      </c>
      <c r="B270" s="413" t="s">
        <v>3420</v>
      </c>
      <c r="C270" s="411">
        <f t="shared" si="5"/>
        <v>256</v>
      </c>
      <c r="D270" s="443" t="s">
        <v>3546</v>
      </c>
      <c r="E270" s="412" t="s">
        <v>3589</v>
      </c>
      <c r="F270" s="912">
        <v>4.98392E-2</v>
      </c>
      <c r="G270" s="480">
        <v>3463.0023344000001</v>
      </c>
      <c r="H270" s="414">
        <v>487.2</v>
      </c>
      <c r="I270" s="413" t="s">
        <v>533</v>
      </c>
      <c r="J270" s="411">
        <v>2</v>
      </c>
      <c r="K270" s="411" t="s">
        <v>3502</v>
      </c>
      <c r="L270" s="482">
        <v>348</v>
      </c>
      <c r="M270" s="461" t="s">
        <v>2412</v>
      </c>
      <c r="N270" s="483">
        <v>121.62599999999989</v>
      </c>
      <c r="O270" s="483">
        <v>243.24039999999999</v>
      </c>
      <c r="P270" s="913" t="s">
        <v>2413</v>
      </c>
      <c r="Q270" s="484">
        <v>336.67839999999967</v>
      </c>
      <c r="R270" s="804"/>
      <c r="S270" s="415"/>
    </row>
    <row r="271" spans="1:19" s="296" customFormat="1" ht="15" customHeight="1">
      <c r="A271" s="411">
        <v>257</v>
      </c>
      <c r="B271" s="413" t="s">
        <v>3421</v>
      </c>
      <c r="C271" s="411">
        <f t="shared" si="5"/>
        <v>257</v>
      </c>
      <c r="D271" s="443" t="s">
        <v>3546</v>
      </c>
      <c r="E271" s="412" t="s">
        <v>3590</v>
      </c>
      <c r="F271" s="912">
        <v>3.9222E-2</v>
      </c>
      <c r="G271" s="480">
        <v>2538.4744000000001</v>
      </c>
      <c r="H271" s="414">
        <v>487.2</v>
      </c>
      <c r="I271" s="413" t="s">
        <v>481</v>
      </c>
      <c r="J271" s="411">
        <v>1</v>
      </c>
      <c r="K271" s="411" t="s">
        <v>3503</v>
      </c>
      <c r="L271" s="482">
        <v>348</v>
      </c>
      <c r="M271" s="461" t="s">
        <v>2412</v>
      </c>
      <c r="N271" s="483">
        <v>67.071199999999919</v>
      </c>
      <c r="O271" s="483">
        <v>134.154</v>
      </c>
      <c r="P271" s="913" t="s">
        <v>2413</v>
      </c>
      <c r="Q271" s="484">
        <v>336.67839999999967</v>
      </c>
      <c r="R271" s="804"/>
      <c r="S271" s="415"/>
    </row>
    <row r="272" spans="1:19" s="296" customFormat="1" ht="15" customHeight="1">
      <c r="A272" s="233">
        <v>258</v>
      </c>
      <c r="B272" s="413" t="s">
        <v>3422</v>
      </c>
      <c r="C272" s="411">
        <f t="shared" ref="C272:C335" si="6">A272</f>
        <v>258</v>
      </c>
      <c r="D272" s="443" t="s">
        <v>3546</v>
      </c>
      <c r="E272" s="412" t="s">
        <v>3591</v>
      </c>
      <c r="F272" s="912">
        <v>4.98392E-2</v>
      </c>
      <c r="G272" s="480">
        <v>3463.0023344000001</v>
      </c>
      <c r="H272" s="414">
        <v>487.2</v>
      </c>
      <c r="I272" s="413" t="s">
        <v>533</v>
      </c>
      <c r="J272" s="411">
        <v>2</v>
      </c>
      <c r="K272" s="411" t="s">
        <v>3504</v>
      </c>
      <c r="L272" s="482">
        <v>348</v>
      </c>
      <c r="M272" s="461" t="s">
        <v>2412</v>
      </c>
      <c r="N272" s="483">
        <v>121.62599999999989</v>
      </c>
      <c r="O272" s="483">
        <v>243.24039999999999</v>
      </c>
      <c r="P272" s="913" t="s">
        <v>2413</v>
      </c>
      <c r="Q272" s="484">
        <v>336.67839999999967</v>
      </c>
      <c r="R272" s="804"/>
      <c r="S272" s="415"/>
    </row>
    <row r="273" spans="1:19" s="296" customFormat="1" ht="15" customHeight="1">
      <c r="A273" s="411">
        <v>259</v>
      </c>
      <c r="B273" s="413" t="s">
        <v>3423</v>
      </c>
      <c r="C273" s="411">
        <f t="shared" si="6"/>
        <v>259</v>
      </c>
      <c r="D273" s="443" t="s">
        <v>3546</v>
      </c>
      <c r="E273" s="412" t="s">
        <v>3592</v>
      </c>
      <c r="F273" s="912">
        <v>3.9222E-2</v>
      </c>
      <c r="G273" s="480">
        <v>2538.4744000000001</v>
      </c>
      <c r="H273" s="414">
        <v>487.2</v>
      </c>
      <c r="I273" s="413" t="s">
        <v>481</v>
      </c>
      <c r="J273" s="411">
        <v>1</v>
      </c>
      <c r="K273" s="411" t="s">
        <v>3505</v>
      </c>
      <c r="L273" s="482">
        <v>348</v>
      </c>
      <c r="M273" s="461" t="s">
        <v>2412</v>
      </c>
      <c r="N273" s="483">
        <v>67.071199999999919</v>
      </c>
      <c r="O273" s="483">
        <v>134.154</v>
      </c>
      <c r="P273" s="913" t="s">
        <v>2413</v>
      </c>
      <c r="Q273" s="484">
        <v>336.67839999999967</v>
      </c>
      <c r="R273" s="804"/>
      <c r="S273" s="415"/>
    </row>
    <row r="274" spans="1:19" s="296" customFormat="1" ht="15" customHeight="1">
      <c r="A274" s="411">
        <v>260</v>
      </c>
      <c r="B274" s="413" t="s">
        <v>4850</v>
      </c>
      <c r="C274" s="411">
        <f t="shared" si="6"/>
        <v>260</v>
      </c>
      <c r="D274" s="443" t="s">
        <v>2187</v>
      </c>
      <c r="E274" s="412" t="s">
        <v>4879</v>
      </c>
      <c r="F274" s="912">
        <v>2.8934000000000001E-2</v>
      </c>
      <c r="G274" s="480">
        <v>8154.3127999999997</v>
      </c>
      <c r="H274" s="414">
        <v>487.2</v>
      </c>
      <c r="I274" s="413" t="s">
        <v>3620</v>
      </c>
      <c r="J274" s="411">
        <v>3</v>
      </c>
      <c r="K274" s="411" t="s">
        <v>4910</v>
      </c>
      <c r="L274" s="482">
        <v>348</v>
      </c>
      <c r="M274" s="461" t="s">
        <v>2412</v>
      </c>
      <c r="N274" s="483">
        <v>330.29</v>
      </c>
      <c r="O274" s="483">
        <v>660.56200000000001</v>
      </c>
      <c r="P274" s="913" t="s">
        <v>2413</v>
      </c>
      <c r="Q274" s="484">
        <v>0</v>
      </c>
      <c r="R274" s="497"/>
      <c r="S274" s="415"/>
    </row>
    <row r="275" spans="1:19" s="296" customFormat="1" ht="15" customHeight="1">
      <c r="A275" s="233">
        <v>261</v>
      </c>
      <c r="B275" s="413" t="s">
        <v>4851</v>
      </c>
      <c r="C275" s="411">
        <f t="shared" si="6"/>
        <v>261</v>
      </c>
      <c r="D275" s="443" t="s">
        <v>2187</v>
      </c>
      <c r="E275" s="412" t="s">
        <v>4880</v>
      </c>
      <c r="F275" s="912">
        <v>2.6136E-2</v>
      </c>
      <c r="G275" s="480">
        <v>8691.4159999999993</v>
      </c>
      <c r="H275" s="414">
        <v>487.2</v>
      </c>
      <c r="I275" s="413" t="s">
        <v>3620</v>
      </c>
      <c r="J275" s="411">
        <v>3</v>
      </c>
      <c r="K275" s="411" t="s">
        <v>4911</v>
      </c>
      <c r="L275" s="482">
        <v>348</v>
      </c>
      <c r="M275" s="461" t="s">
        <v>2412</v>
      </c>
      <c r="N275" s="483">
        <v>354.90199999999999</v>
      </c>
      <c r="O275" s="483">
        <v>709.80399999999997</v>
      </c>
      <c r="P275" s="913" t="s">
        <v>2413</v>
      </c>
      <c r="Q275" s="484">
        <v>0</v>
      </c>
      <c r="R275" s="497"/>
      <c r="S275" s="415"/>
    </row>
    <row r="276" spans="1:19" s="296" customFormat="1" ht="15" customHeight="1">
      <c r="A276" s="411">
        <v>262</v>
      </c>
      <c r="B276" s="413" t="s">
        <v>3424</v>
      </c>
      <c r="C276" s="411">
        <f t="shared" si="6"/>
        <v>262</v>
      </c>
      <c r="D276" s="443" t="s">
        <v>2187</v>
      </c>
      <c r="E276" s="412" t="s">
        <v>3593</v>
      </c>
      <c r="F276" s="912">
        <v>5.0578399999999996E-2</v>
      </c>
      <c r="G276" s="480">
        <v>3463.0023344000001</v>
      </c>
      <c r="H276" s="414">
        <v>487.2</v>
      </c>
      <c r="I276" s="413" t="s">
        <v>533</v>
      </c>
      <c r="J276" s="411">
        <v>2</v>
      </c>
      <c r="K276" s="411" t="s">
        <v>3506</v>
      </c>
      <c r="L276" s="482">
        <v>348</v>
      </c>
      <c r="M276" s="461" t="s">
        <v>2412</v>
      </c>
      <c r="N276" s="483">
        <v>121.62599999999989</v>
      </c>
      <c r="O276" s="483">
        <v>243.24040000000008</v>
      </c>
      <c r="P276" s="913" t="s">
        <v>2413</v>
      </c>
      <c r="Q276" s="484">
        <v>336.67839999999967</v>
      </c>
      <c r="R276" s="497"/>
      <c r="S276" s="415"/>
    </row>
    <row r="277" spans="1:19" s="296" customFormat="1" ht="15" customHeight="1">
      <c r="A277" s="411">
        <v>263</v>
      </c>
      <c r="B277" s="413" t="s">
        <v>3425</v>
      </c>
      <c r="C277" s="411">
        <f t="shared" si="6"/>
        <v>263</v>
      </c>
      <c r="D277" s="443" t="s">
        <v>2187</v>
      </c>
      <c r="E277" s="412" t="s">
        <v>3594</v>
      </c>
      <c r="F277" s="912">
        <v>5.0578399999999996E-2</v>
      </c>
      <c r="G277" s="480">
        <v>3463.0023344000001</v>
      </c>
      <c r="H277" s="414">
        <v>487.2</v>
      </c>
      <c r="I277" s="413" t="s">
        <v>533</v>
      </c>
      <c r="J277" s="411">
        <v>2</v>
      </c>
      <c r="K277" s="411" t="s">
        <v>3507</v>
      </c>
      <c r="L277" s="482">
        <v>348</v>
      </c>
      <c r="M277" s="461" t="s">
        <v>2412</v>
      </c>
      <c r="N277" s="483">
        <v>121.62599999999989</v>
      </c>
      <c r="O277" s="483">
        <v>243.24040000000008</v>
      </c>
      <c r="P277" s="913" t="s">
        <v>2413</v>
      </c>
      <c r="Q277" s="484">
        <v>336.67839999999967</v>
      </c>
      <c r="R277" s="497"/>
      <c r="S277" s="415"/>
    </row>
    <row r="278" spans="1:19" s="296" customFormat="1" ht="15" customHeight="1">
      <c r="A278" s="233">
        <v>264</v>
      </c>
      <c r="B278" s="413" t="s">
        <v>3426</v>
      </c>
      <c r="C278" s="411">
        <f t="shared" si="6"/>
        <v>264</v>
      </c>
      <c r="D278" s="443" t="s">
        <v>2187</v>
      </c>
      <c r="E278" s="412" t="s">
        <v>3595</v>
      </c>
      <c r="F278" s="912">
        <v>5.0578399999999996E-2</v>
      </c>
      <c r="G278" s="480">
        <v>3463.0023344000001</v>
      </c>
      <c r="H278" s="414">
        <v>487.2</v>
      </c>
      <c r="I278" s="413" t="s">
        <v>533</v>
      </c>
      <c r="J278" s="411">
        <v>2</v>
      </c>
      <c r="K278" s="411" t="s">
        <v>3508</v>
      </c>
      <c r="L278" s="482">
        <v>348</v>
      </c>
      <c r="M278" s="461" t="s">
        <v>2412</v>
      </c>
      <c r="N278" s="483">
        <v>121.62599999999989</v>
      </c>
      <c r="O278" s="483">
        <v>243.24040000000008</v>
      </c>
      <c r="P278" s="913" t="s">
        <v>2413</v>
      </c>
      <c r="Q278" s="484">
        <v>336.67839999999967</v>
      </c>
      <c r="R278" s="497"/>
      <c r="S278" s="415"/>
    </row>
    <row r="279" spans="1:19" s="296" customFormat="1" ht="15" customHeight="1">
      <c r="A279" s="411">
        <v>265</v>
      </c>
      <c r="B279" s="413" t="s">
        <v>2530</v>
      </c>
      <c r="C279" s="411">
        <f t="shared" si="6"/>
        <v>265</v>
      </c>
      <c r="D279" s="443" t="s">
        <v>2187</v>
      </c>
      <c r="E279" s="412" t="s">
        <v>2341</v>
      </c>
      <c r="F279" s="912">
        <v>5.0578399999999996E-2</v>
      </c>
      <c r="G279" s="480">
        <v>3463.0023344000001</v>
      </c>
      <c r="H279" s="414">
        <v>487.2</v>
      </c>
      <c r="I279" s="413" t="s">
        <v>533</v>
      </c>
      <c r="J279" s="411">
        <v>2</v>
      </c>
      <c r="K279" s="411" t="s">
        <v>607</v>
      </c>
      <c r="L279" s="482">
        <v>348</v>
      </c>
      <c r="M279" s="461" t="s">
        <v>2412</v>
      </c>
      <c r="N279" s="483">
        <v>121.62599999999989</v>
      </c>
      <c r="O279" s="483">
        <v>243.24040000000008</v>
      </c>
      <c r="P279" s="913" t="s">
        <v>2413</v>
      </c>
      <c r="Q279" s="484">
        <v>336.67839999999967</v>
      </c>
      <c r="R279" s="497"/>
      <c r="S279" s="415"/>
    </row>
    <row r="280" spans="1:19" s="296" customFormat="1" ht="15" customHeight="1">
      <c r="A280" s="411">
        <v>266</v>
      </c>
      <c r="B280" s="413" t="s">
        <v>4102</v>
      </c>
      <c r="C280" s="411">
        <f t="shared" si="6"/>
        <v>266</v>
      </c>
      <c r="D280" s="443" t="s">
        <v>2187</v>
      </c>
      <c r="E280" s="412" t="s">
        <v>4103</v>
      </c>
      <c r="F280" s="912">
        <v>4.8639700000000001E-2</v>
      </c>
      <c r="G280" s="480">
        <v>3463.0023344000001</v>
      </c>
      <c r="H280" s="414">
        <v>487.2</v>
      </c>
      <c r="I280" s="413" t="s">
        <v>533</v>
      </c>
      <c r="J280" s="411">
        <v>2</v>
      </c>
      <c r="K280" s="411" t="s">
        <v>4104</v>
      </c>
      <c r="L280" s="482">
        <v>348</v>
      </c>
      <c r="M280" s="461" t="s">
        <v>2412</v>
      </c>
      <c r="N280" s="483">
        <v>121.62599999999989</v>
      </c>
      <c r="O280" s="483">
        <v>243.24040000000008</v>
      </c>
      <c r="P280" s="913" t="s">
        <v>2413</v>
      </c>
      <c r="Q280" s="484">
        <v>336.67839999999967</v>
      </c>
      <c r="R280" s="497"/>
      <c r="S280" s="415"/>
    </row>
    <row r="281" spans="1:19" s="296" customFormat="1" ht="15" customHeight="1">
      <c r="A281" s="233">
        <v>267</v>
      </c>
      <c r="B281" s="413" t="s">
        <v>2542</v>
      </c>
      <c r="C281" s="411">
        <f t="shared" si="6"/>
        <v>267</v>
      </c>
      <c r="D281" s="443" t="s">
        <v>2187</v>
      </c>
      <c r="E281" s="412" t="s">
        <v>2342</v>
      </c>
      <c r="F281" s="912">
        <v>5.0578399999999996E-2</v>
      </c>
      <c r="G281" s="480">
        <v>3463.0023344000001</v>
      </c>
      <c r="H281" s="414">
        <v>487.2</v>
      </c>
      <c r="I281" s="413" t="s">
        <v>533</v>
      </c>
      <c r="J281" s="411">
        <v>2</v>
      </c>
      <c r="K281" s="411" t="s">
        <v>608</v>
      </c>
      <c r="L281" s="482">
        <v>348</v>
      </c>
      <c r="M281" s="461" t="s">
        <v>2412</v>
      </c>
      <c r="N281" s="483">
        <v>121.62599999999989</v>
      </c>
      <c r="O281" s="483">
        <v>243.24040000000008</v>
      </c>
      <c r="P281" s="913" t="s">
        <v>2413</v>
      </c>
      <c r="Q281" s="484">
        <v>336.67839999999967</v>
      </c>
      <c r="R281" s="497"/>
      <c r="S281" s="415"/>
    </row>
    <row r="282" spans="1:19" s="296" customFormat="1" ht="15" customHeight="1">
      <c r="A282" s="411">
        <v>268</v>
      </c>
      <c r="B282" s="413" t="s">
        <v>2531</v>
      </c>
      <c r="C282" s="411">
        <f t="shared" si="6"/>
        <v>268</v>
      </c>
      <c r="D282" s="443" t="s">
        <v>2187</v>
      </c>
      <c r="E282" s="412" t="s">
        <v>2356</v>
      </c>
      <c r="F282" s="912">
        <v>5.0578399999999996E-2</v>
      </c>
      <c r="G282" s="480">
        <v>3463.0023344000001</v>
      </c>
      <c r="H282" s="414">
        <v>487.2</v>
      </c>
      <c r="I282" s="413" t="s">
        <v>533</v>
      </c>
      <c r="J282" s="411">
        <v>2</v>
      </c>
      <c r="K282" s="411" t="s">
        <v>2357</v>
      </c>
      <c r="L282" s="482">
        <v>348</v>
      </c>
      <c r="M282" s="461" t="s">
        <v>2412</v>
      </c>
      <c r="N282" s="483">
        <v>121.62599999999989</v>
      </c>
      <c r="O282" s="483">
        <v>243.24040000000008</v>
      </c>
      <c r="P282" s="913" t="s">
        <v>2413</v>
      </c>
      <c r="Q282" s="484">
        <v>336.67839999999967</v>
      </c>
      <c r="R282" s="497"/>
      <c r="S282" s="415"/>
    </row>
    <row r="283" spans="1:19" s="296" customFormat="1" ht="15" customHeight="1">
      <c r="A283" s="411">
        <v>269</v>
      </c>
      <c r="B283" s="413" t="s">
        <v>2532</v>
      </c>
      <c r="C283" s="411">
        <f t="shared" si="6"/>
        <v>269</v>
      </c>
      <c r="D283" s="443" t="s">
        <v>2187</v>
      </c>
      <c r="E283" s="412" t="s">
        <v>2358</v>
      </c>
      <c r="F283" s="912">
        <v>5.0578399999999996E-2</v>
      </c>
      <c r="G283" s="480">
        <v>3463.0023344000001</v>
      </c>
      <c r="H283" s="414">
        <v>487.2</v>
      </c>
      <c r="I283" s="413" t="s">
        <v>533</v>
      </c>
      <c r="J283" s="411">
        <v>2</v>
      </c>
      <c r="K283" s="411" t="s">
        <v>2359</v>
      </c>
      <c r="L283" s="482">
        <v>348</v>
      </c>
      <c r="M283" s="461" t="s">
        <v>2412</v>
      </c>
      <c r="N283" s="483">
        <v>121.62599999999989</v>
      </c>
      <c r="O283" s="483">
        <v>243.24040000000008</v>
      </c>
      <c r="P283" s="913" t="s">
        <v>2413</v>
      </c>
      <c r="Q283" s="484">
        <v>336.67839999999967</v>
      </c>
      <c r="R283" s="497"/>
      <c r="S283" s="415"/>
    </row>
    <row r="284" spans="1:19" s="296" customFormat="1" ht="15" customHeight="1">
      <c r="A284" s="233">
        <v>270</v>
      </c>
      <c r="B284" s="413" t="s">
        <v>3179</v>
      </c>
      <c r="C284" s="411">
        <f t="shared" si="6"/>
        <v>270</v>
      </c>
      <c r="D284" s="443" t="s">
        <v>2187</v>
      </c>
      <c r="E284" s="412" t="s">
        <v>3192</v>
      </c>
      <c r="F284" s="912">
        <v>5.0578399999999996E-2</v>
      </c>
      <c r="G284" s="480">
        <v>3463.0023344000001</v>
      </c>
      <c r="H284" s="414">
        <v>487.2</v>
      </c>
      <c r="I284" s="413" t="s">
        <v>533</v>
      </c>
      <c r="J284" s="411">
        <v>2</v>
      </c>
      <c r="K284" s="411" t="s">
        <v>3184</v>
      </c>
      <c r="L284" s="482">
        <v>348</v>
      </c>
      <c r="M284" s="461" t="s">
        <v>2412</v>
      </c>
      <c r="N284" s="483">
        <v>121.62599999999989</v>
      </c>
      <c r="O284" s="483">
        <v>243.24040000000008</v>
      </c>
      <c r="P284" s="913" t="s">
        <v>2413</v>
      </c>
      <c r="Q284" s="484">
        <v>336.67839999999967</v>
      </c>
      <c r="R284" s="497"/>
      <c r="S284" s="415"/>
    </row>
    <row r="285" spans="1:19" s="296" customFormat="1" ht="15" customHeight="1">
      <c r="A285" s="411">
        <v>271</v>
      </c>
      <c r="B285" s="413" t="s">
        <v>2533</v>
      </c>
      <c r="C285" s="411">
        <f t="shared" si="6"/>
        <v>271</v>
      </c>
      <c r="D285" s="443" t="s">
        <v>2187</v>
      </c>
      <c r="E285" s="412" t="s">
        <v>2534</v>
      </c>
      <c r="F285" s="912">
        <v>5.0578399999999996E-2</v>
      </c>
      <c r="G285" s="480">
        <v>3463.0023344000001</v>
      </c>
      <c r="H285" s="414">
        <v>487.2</v>
      </c>
      <c r="I285" s="413" t="s">
        <v>533</v>
      </c>
      <c r="J285" s="411">
        <v>2</v>
      </c>
      <c r="K285" s="411" t="s">
        <v>2535</v>
      </c>
      <c r="L285" s="482">
        <v>348</v>
      </c>
      <c r="M285" s="461" t="s">
        <v>2412</v>
      </c>
      <c r="N285" s="483">
        <v>121.62599999999989</v>
      </c>
      <c r="O285" s="483">
        <v>243.24040000000008</v>
      </c>
      <c r="P285" s="913" t="s">
        <v>2413</v>
      </c>
      <c r="Q285" s="484">
        <v>336.67839999999967</v>
      </c>
      <c r="R285" s="497"/>
      <c r="S285" s="415"/>
    </row>
    <row r="286" spans="1:19" s="296" customFormat="1" ht="15" customHeight="1">
      <c r="A286" s="411">
        <v>272</v>
      </c>
      <c r="B286" s="413" t="s">
        <v>2536</v>
      </c>
      <c r="C286" s="411">
        <f t="shared" si="6"/>
        <v>272</v>
      </c>
      <c r="D286" s="443" t="s">
        <v>2187</v>
      </c>
      <c r="E286" s="412" t="s">
        <v>2537</v>
      </c>
      <c r="F286" s="912">
        <v>5.0578399999999996E-2</v>
      </c>
      <c r="G286" s="480">
        <v>3463.0023344000001</v>
      </c>
      <c r="H286" s="414">
        <v>487.2</v>
      </c>
      <c r="I286" s="413" t="s">
        <v>533</v>
      </c>
      <c r="J286" s="411">
        <v>2</v>
      </c>
      <c r="K286" s="411" t="s">
        <v>2538</v>
      </c>
      <c r="L286" s="482">
        <v>348</v>
      </c>
      <c r="M286" s="461" t="s">
        <v>2412</v>
      </c>
      <c r="N286" s="483">
        <v>121.62599999999989</v>
      </c>
      <c r="O286" s="483">
        <v>243.24040000000008</v>
      </c>
      <c r="P286" s="913" t="s">
        <v>2413</v>
      </c>
      <c r="Q286" s="484">
        <v>336.67839999999967</v>
      </c>
      <c r="R286" s="497"/>
      <c r="S286" s="415"/>
    </row>
    <row r="287" spans="1:19" s="296" customFormat="1" ht="15" customHeight="1">
      <c r="A287" s="233">
        <v>273</v>
      </c>
      <c r="B287" s="413" t="s">
        <v>2539</v>
      </c>
      <c r="C287" s="411">
        <f t="shared" si="6"/>
        <v>273</v>
      </c>
      <c r="D287" s="443" t="s">
        <v>2187</v>
      </c>
      <c r="E287" s="412" t="s">
        <v>2540</v>
      </c>
      <c r="F287" s="912">
        <v>5.0578399999999996E-2</v>
      </c>
      <c r="G287" s="480">
        <v>3463.0023344000001</v>
      </c>
      <c r="H287" s="414">
        <v>487.2</v>
      </c>
      <c r="I287" s="413" t="s">
        <v>533</v>
      </c>
      <c r="J287" s="411">
        <v>2</v>
      </c>
      <c r="K287" s="411" t="s">
        <v>2541</v>
      </c>
      <c r="L287" s="482">
        <v>348</v>
      </c>
      <c r="M287" s="461" t="s">
        <v>2412</v>
      </c>
      <c r="N287" s="483">
        <v>121.62599999999989</v>
      </c>
      <c r="O287" s="483">
        <v>243.24040000000008</v>
      </c>
      <c r="P287" s="913" t="s">
        <v>2413</v>
      </c>
      <c r="Q287" s="484">
        <v>336.67839999999967</v>
      </c>
      <c r="R287" s="497"/>
      <c r="S287" s="415"/>
    </row>
    <row r="288" spans="1:19" s="296" customFormat="1" ht="15" customHeight="1">
      <c r="A288" s="411">
        <v>274</v>
      </c>
      <c r="B288" s="413" t="s">
        <v>4795</v>
      </c>
      <c r="C288" s="411">
        <f t="shared" si="6"/>
        <v>274</v>
      </c>
      <c r="D288" s="443" t="s">
        <v>3596</v>
      </c>
      <c r="E288" s="412" t="s">
        <v>4804</v>
      </c>
      <c r="F288" s="912">
        <v>4.7321000000000002E-2</v>
      </c>
      <c r="G288" s="480">
        <v>11870.23</v>
      </c>
      <c r="H288" s="414">
        <v>487.2</v>
      </c>
      <c r="I288" s="413" t="s">
        <v>3620</v>
      </c>
      <c r="J288" s="411">
        <v>3</v>
      </c>
      <c r="K288" s="411" t="s">
        <v>4814</v>
      </c>
      <c r="L288" s="482">
        <v>348</v>
      </c>
      <c r="M288" s="461" t="s">
        <v>2412</v>
      </c>
      <c r="N288" s="483">
        <v>415.31500000000051</v>
      </c>
      <c r="O288" s="483">
        <v>830.63000000000102</v>
      </c>
      <c r="P288" s="913" t="s">
        <v>2413</v>
      </c>
      <c r="Q288" s="484">
        <v>0</v>
      </c>
      <c r="R288" s="497"/>
      <c r="S288" s="415"/>
    </row>
    <row r="289" spans="1:19" s="296" customFormat="1" ht="15" customHeight="1">
      <c r="A289" s="411">
        <v>275</v>
      </c>
      <c r="B289" s="413" t="s">
        <v>5160</v>
      </c>
      <c r="C289" s="411">
        <f t="shared" si="6"/>
        <v>275</v>
      </c>
      <c r="D289" s="443" t="s">
        <v>3596</v>
      </c>
      <c r="E289" s="412" t="s">
        <v>5180</v>
      </c>
      <c r="F289" s="912">
        <v>4.7321000000000002E-2</v>
      </c>
      <c r="G289" s="480">
        <v>11870.23</v>
      </c>
      <c r="H289" s="414">
        <v>487.2</v>
      </c>
      <c r="I289" s="413" t="s">
        <v>3620</v>
      </c>
      <c r="J289" s="411">
        <v>3</v>
      </c>
      <c r="K289" s="411" t="s">
        <v>5200</v>
      </c>
      <c r="L289" s="482">
        <v>348</v>
      </c>
      <c r="M289" s="461" t="s">
        <v>2412</v>
      </c>
      <c r="N289" s="483">
        <v>481.76540000000057</v>
      </c>
      <c r="O289" s="483">
        <v>963.53080000000114</v>
      </c>
      <c r="P289" s="913" t="s">
        <v>2413</v>
      </c>
      <c r="Q289" s="484">
        <v>0</v>
      </c>
      <c r="R289" s="497"/>
      <c r="S289" s="415"/>
    </row>
    <row r="290" spans="1:19" s="296" customFormat="1" ht="15" customHeight="1">
      <c r="A290" s="233">
        <v>276</v>
      </c>
      <c r="B290" s="413" t="s">
        <v>4852</v>
      </c>
      <c r="C290" s="411">
        <f t="shared" si="6"/>
        <v>276</v>
      </c>
      <c r="D290" s="443" t="s">
        <v>3596</v>
      </c>
      <c r="E290" s="412" t="s">
        <v>4881</v>
      </c>
      <c r="F290" s="912">
        <v>3.1363000000000002E-2</v>
      </c>
      <c r="G290" s="480">
        <v>7453.37</v>
      </c>
      <c r="H290" s="414">
        <v>487.2</v>
      </c>
      <c r="I290" s="413" t="s">
        <v>3620</v>
      </c>
      <c r="J290" s="411">
        <v>3</v>
      </c>
      <c r="K290" s="411" t="s">
        <v>3509</v>
      </c>
      <c r="L290" s="482">
        <v>348</v>
      </c>
      <c r="M290" s="461" t="s">
        <v>2412</v>
      </c>
      <c r="N290" s="483">
        <v>298.14</v>
      </c>
      <c r="O290" s="483">
        <v>596.29</v>
      </c>
      <c r="P290" s="913" t="s">
        <v>2413</v>
      </c>
      <c r="Q290" s="484">
        <v>0</v>
      </c>
      <c r="R290" s="497"/>
      <c r="S290" s="415"/>
    </row>
    <row r="291" spans="1:19" s="296" customFormat="1" ht="15" customHeight="1">
      <c r="A291" s="411">
        <v>277</v>
      </c>
      <c r="B291" s="413" t="s">
        <v>4223</v>
      </c>
      <c r="C291" s="411">
        <f t="shared" si="6"/>
        <v>277</v>
      </c>
      <c r="D291" s="443" t="s">
        <v>3596</v>
      </c>
      <c r="E291" s="412" t="s">
        <v>4228</v>
      </c>
      <c r="F291" s="912">
        <v>2.8934000000000001E-2</v>
      </c>
      <c r="G291" s="480">
        <v>8154.31</v>
      </c>
      <c r="H291" s="414">
        <v>487.2</v>
      </c>
      <c r="I291" s="413" t="s">
        <v>3620</v>
      </c>
      <c r="J291" s="411">
        <v>3</v>
      </c>
      <c r="K291" s="411" t="s">
        <v>4233</v>
      </c>
      <c r="L291" s="482">
        <v>348</v>
      </c>
      <c r="M291" s="461" t="s">
        <v>2412</v>
      </c>
      <c r="N291" s="483">
        <v>330.29</v>
      </c>
      <c r="O291" s="483">
        <v>660.56</v>
      </c>
      <c r="P291" s="913" t="s">
        <v>2413</v>
      </c>
      <c r="Q291" s="484">
        <v>0</v>
      </c>
      <c r="R291" s="497"/>
      <c r="S291" s="415"/>
    </row>
    <row r="292" spans="1:19" s="296" customFormat="1" ht="15" customHeight="1">
      <c r="A292" s="411">
        <v>278</v>
      </c>
      <c r="B292" s="413" t="s">
        <v>4853</v>
      </c>
      <c r="C292" s="411">
        <f t="shared" si="6"/>
        <v>278</v>
      </c>
      <c r="D292" s="443" t="s">
        <v>3596</v>
      </c>
      <c r="E292" s="412" t="s">
        <v>4882</v>
      </c>
      <c r="F292" s="912">
        <v>2.6136E-2</v>
      </c>
      <c r="G292" s="480">
        <v>8691.42</v>
      </c>
      <c r="H292" s="414">
        <v>487.2</v>
      </c>
      <c r="I292" s="413" t="s">
        <v>3620</v>
      </c>
      <c r="J292" s="411">
        <v>3</v>
      </c>
      <c r="K292" s="411" t="s">
        <v>4912</v>
      </c>
      <c r="L292" s="482">
        <v>348</v>
      </c>
      <c r="M292" s="461" t="s">
        <v>2412</v>
      </c>
      <c r="N292" s="483">
        <v>354.90200000000084</v>
      </c>
      <c r="O292" s="483">
        <v>709.80400000000066</v>
      </c>
      <c r="P292" s="913" t="s">
        <v>2413</v>
      </c>
      <c r="Q292" s="484">
        <v>0</v>
      </c>
      <c r="R292" s="497"/>
      <c r="S292" s="415"/>
    </row>
    <row r="293" spans="1:19" s="296" customFormat="1" ht="15" customHeight="1">
      <c r="A293" s="233">
        <v>279</v>
      </c>
      <c r="B293" s="413" t="s">
        <v>4105</v>
      </c>
      <c r="C293" s="411">
        <f t="shared" si="6"/>
        <v>279</v>
      </c>
      <c r="D293" s="443" t="s">
        <v>3596</v>
      </c>
      <c r="E293" s="412" t="s">
        <v>4106</v>
      </c>
      <c r="F293" s="912">
        <v>2.8934000000000001E-2</v>
      </c>
      <c r="G293" s="480">
        <v>8154.31</v>
      </c>
      <c r="H293" s="414">
        <v>487.2</v>
      </c>
      <c r="I293" s="413" t="s">
        <v>3620</v>
      </c>
      <c r="J293" s="411">
        <v>3</v>
      </c>
      <c r="K293" s="411" t="s">
        <v>4107</v>
      </c>
      <c r="L293" s="482">
        <v>348</v>
      </c>
      <c r="M293" s="461" t="s">
        <v>2412</v>
      </c>
      <c r="N293" s="483">
        <v>330.29</v>
      </c>
      <c r="O293" s="483">
        <v>660.56</v>
      </c>
      <c r="P293" s="913" t="s">
        <v>2413</v>
      </c>
      <c r="Q293" s="484">
        <v>0</v>
      </c>
      <c r="R293" s="497"/>
      <c r="S293" s="415"/>
    </row>
    <row r="294" spans="1:19" s="296" customFormat="1" ht="15" customHeight="1">
      <c r="A294" s="411">
        <v>280</v>
      </c>
      <c r="B294" s="413" t="s">
        <v>4240</v>
      </c>
      <c r="C294" s="411">
        <f t="shared" si="6"/>
        <v>280</v>
      </c>
      <c r="D294" s="443" t="s">
        <v>3596</v>
      </c>
      <c r="E294" s="412" t="s">
        <v>4246</v>
      </c>
      <c r="F294" s="912">
        <v>2.8934000000000001E-2</v>
      </c>
      <c r="G294" s="480">
        <v>8154.31</v>
      </c>
      <c r="H294" s="414">
        <v>487.2</v>
      </c>
      <c r="I294" s="413" t="s">
        <v>3620</v>
      </c>
      <c r="J294" s="411">
        <v>3</v>
      </c>
      <c r="K294" s="411" t="s">
        <v>4252</v>
      </c>
      <c r="L294" s="482">
        <v>348</v>
      </c>
      <c r="M294" s="461" t="s">
        <v>2412</v>
      </c>
      <c r="N294" s="483">
        <v>284.73</v>
      </c>
      <c r="O294" s="483">
        <v>569.44999999999982</v>
      </c>
      <c r="P294" s="913" t="s">
        <v>2413</v>
      </c>
      <c r="Q294" s="484">
        <v>0</v>
      </c>
      <c r="R294" s="497"/>
      <c r="S294" s="415"/>
    </row>
    <row r="295" spans="1:19" s="296" customFormat="1" ht="15" customHeight="1">
      <c r="A295" s="411">
        <v>281</v>
      </c>
      <c r="B295" s="413" t="s">
        <v>4139</v>
      </c>
      <c r="C295" s="411">
        <f t="shared" si="6"/>
        <v>281</v>
      </c>
      <c r="D295" s="443" t="s">
        <v>3596</v>
      </c>
      <c r="E295" s="412" t="s">
        <v>4133</v>
      </c>
      <c r="F295" s="912">
        <v>2.8934000000000001E-2</v>
      </c>
      <c r="G295" s="480">
        <v>8154.31</v>
      </c>
      <c r="H295" s="414">
        <v>487.2</v>
      </c>
      <c r="I295" s="413" t="s">
        <v>3620</v>
      </c>
      <c r="J295" s="411">
        <v>3</v>
      </c>
      <c r="K295" s="411" t="s">
        <v>4134</v>
      </c>
      <c r="L295" s="482">
        <v>348</v>
      </c>
      <c r="M295" s="461" t="s">
        <v>2412</v>
      </c>
      <c r="N295" s="483">
        <v>330.29</v>
      </c>
      <c r="O295" s="483">
        <v>660.56</v>
      </c>
      <c r="P295" s="913" t="s">
        <v>2413</v>
      </c>
      <c r="Q295" s="484">
        <v>0</v>
      </c>
      <c r="R295" s="497"/>
      <c r="S295" s="415"/>
    </row>
    <row r="296" spans="1:19" s="296" customFormat="1" ht="15" customHeight="1">
      <c r="A296" s="233">
        <v>282</v>
      </c>
      <c r="B296" s="413" t="s">
        <v>4241</v>
      </c>
      <c r="C296" s="411">
        <f t="shared" si="6"/>
        <v>282</v>
      </c>
      <c r="D296" s="443" t="s">
        <v>3596</v>
      </c>
      <c r="E296" s="412" t="s">
        <v>4247</v>
      </c>
      <c r="F296" s="912">
        <v>2.6136E-2</v>
      </c>
      <c r="G296" s="480">
        <v>8691.42</v>
      </c>
      <c r="H296" s="414">
        <v>487.2</v>
      </c>
      <c r="I296" s="413" t="s">
        <v>3620</v>
      </c>
      <c r="J296" s="411">
        <v>3</v>
      </c>
      <c r="K296" s="411" t="s">
        <v>4253</v>
      </c>
      <c r="L296" s="482">
        <v>348</v>
      </c>
      <c r="M296" s="461" t="s">
        <v>2412</v>
      </c>
      <c r="N296" s="483">
        <v>305.95000000000073</v>
      </c>
      <c r="O296" s="483">
        <v>611.90000000000055</v>
      </c>
      <c r="P296" s="913" t="s">
        <v>2413</v>
      </c>
      <c r="Q296" s="484">
        <v>0</v>
      </c>
      <c r="R296" s="497"/>
      <c r="S296" s="415"/>
    </row>
    <row r="297" spans="1:19" s="296" customFormat="1" ht="15" customHeight="1">
      <c r="A297" s="411">
        <v>283</v>
      </c>
      <c r="B297" s="413" t="s">
        <v>5161</v>
      </c>
      <c r="C297" s="411">
        <f t="shared" si="6"/>
        <v>283</v>
      </c>
      <c r="D297" s="443" t="s">
        <v>3596</v>
      </c>
      <c r="E297" s="412" t="s">
        <v>5181</v>
      </c>
      <c r="F297" s="912">
        <v>2.6136E-2</v>
      </c>
      <c r="G297" s="480">
        <v>8691.42</v>
      </c>
      <c r="H297" s="414">
        <v>487.2</v>
      </c>
      <c r="I297" s="413" t="s">
        <v>3620</v>
      </c>
      <c r="J297" s="411">
        <v>3</v>
      </c>
      <c r="K297" s="411" t="s">
        <v>5201</v>
      </c>
      <c r="L297" s="482">
        <v>348</v>
      </c>
      <c r="M297" s="461" t="s">
        <v>2412</v>
      </c>
      <c r="N297" s="483">
        <v>354.90200000000084</v>
      </c>
      <c r="O297" s="483">
        <v>709.80400000000066</v>
      </c>
      <c r="P297" s="913" t="s">
        <v>2413</v>
      </c>
      <c r="Q297" s="484">
        <v>0</v>
      </c>
      <c r="R297" s="497"/>
      <c r="S297" s="415"/>
    </row>
    <row r="298" spans="1:19" s="296" customFormat="1" ht="15" customHeight="1">
      <c r="A298" s="411">
        <v>284</v>
      </c>
      <c r="B298" s="413" t="s">
        <v>11036</v>
      </c>
      <c r="C298" s="411">
        <f t="shared" si="6"/>
        <v>284</v>
      </c>
      <c r="D298" s="443" t="s">
        <v>3596</v>
      </c>
      <c r="E298" s="412" t="s">
        <v>11050</v>
      </c>
      <c r="F298" s="912">
        <v>2.6136E-2</v>
      </c>
      <c r="G298" s="480">
        <v>8691.42</v>
      </c>
      <c r="H298" s="414">
        <v>487.2</v>
      </c>
      <c r="I298" s="413" t="s">
        <v>3620</v>
      </c>
      <c r="J298" s="411">
        <v>3</v>
      </c>
      <c r="K298" s="411" t="s">
        <v>11061</v>
      </c>
      <c r="L298" s="482">
        <v>0</v>
      </c>
      <c r="M298" s="461" t="s">
        <v>2412</v>
      </c>
      <c r="N298" s="483">
        <v>354.90200000000084</v>
      </c>
      <c r="O298" s="483">
        <v>709.80400000000066</v>
      </c>
      <c r="P298" s="913" t="s">
        <v>2413</v>
      </c>
      <c r="Q298" s="484">
        <v>0</v>
      </c>
      <c r="R298" s="497"/>
      <c r="S298" s="415"/>
    </row>
    <row r="299" spans="1:19" s="296" customFormat="1" ht="15" customHeight="1">
      <c r="A299" s="233">
        <v>285</v>
      </c>
      <c r="B299" s="413" t="s">
        <v>3427</v>
      </c>
      <c r="C299" s="411">
        <f t="shared" si="6"/>
        <v>285</v>
      </c>
      <c r="D299" s="443" t="s">
        <v>2188</v>
      </c>
      <c r="E299" s="412" t="s">
        <v>2354</v>
      </c>
      <c r="F299" s="912">
        <v>5.0458100000000006E-2</v>
      </c>
      <c r="G299" s="480">
        <v>3463.0023344000001</v>
      </c>
      <c r="H299" s="414">
        <v>487.2</v>
      </c>
      <c r="I299" s="413" t="s">
        <v>533</v>
      </c>
      <c r="J299" s="411">
        <v>2</v>
      </c>
      <c r="K299" s="411" t="s">
        <v>3510</v>
      </c>
      <c r="L299" s="482">
        <v>348</v>
      </c>
      <c r="M299" s="461" t="s">
        <v>2412</v>
      </c>
      <c r="N299" s="483">
        <v>121.62599999999989</v>
      </c>
      <c r="O299" s="483">
        <v>243.24040000000008</v>
      </c>
      <c r="P299" s="913" t="s">
        <v>2413</v>
      </c>
      <c r="Q299" s="484">
        <v>336.67839999999967</v>
      </c>
      <c r="R299" s="497"/>
      <c r="S299" s="415"/>
    </row>
    <row r="300" spans="1:19" s="296" customFormat="1" ht="15" customHeight="1">
      <c r="A300" s="411">
        <v>286</v>
      </c>
      <c r="B300" s="413" t="s">
        <v>2543</v>
      </c>
      <c r="C300" s="411">
        <f t="shared" si="6"/>
        <v>286</v>
      </c>
      <c r="D300" s="443" t="s">
        <v>2188</v>
      </c>
      <c r="E300" s="412" t="s">
        <v>2317</v>
      </c>
      <c r="F300" s="912">
        <v>5.0458100000000006E-2</v>
      </c>
      <c r="G300" s="480">
        <v>3463.0023344000001</v>
      </c>
      <c r="H300" s="414">
        <v>487.2</v>
      </c>
      <c r="I300" s="413" t="s">
        <v>533</v>
      </c>
      <c r="J300" s="411">
        <v>2</v>
      </c>
      <c r="K300" s="411" t="s">
        <v>609</v>
      </c>
      <c r="L300" s="482">
        <v>348</v>
      </c>
      <c r="M300" s="461" t="s">
        <v>2412</v>
      </c>
      <c r="N300" s="483">
        <v>121.62599999999989</v>
      </c>
      <c r="O300" s="483">
        <v>243.24040000000008</v>
      </c>
      <c r="P300" s="913" t="s">
        <v>2413</v>
      </c>
      <c r="Q300" s="484">
        <v>336.67839999999967</v>
      </c>
      <c r="R300" s="497"/>
      <c r="S300" s="415"/>
    </row>
    <row r="301" spans="1:19" s="296" customFormat="1" ht="15" customHeight="1">
      <c r="A301" s="411">
        <v>287</v>
      </c>
      <c r="B301" s="413" t="s">
        <v>2544</v>
      </c>
      <c r="C301" s="411">
        <f t="shared" si="6"/>
        <v>287</v>
      </c>
      <c r="D301" s="443" t="s">
        <v>2188</v>
      </c>
      <c r="E301" s="412" t="s">
        <v>2343</v>
      </c>
      <c r="F301" s="912">
        <v>4.5495799999999996E-2</v>
      </c>
      <c r="G301" s="480">
        <v>2538.48</v>
      </c>
      <c r="H301" s="414">
        <v>487.2</v>
      </c>
      <c r="I301" s="413" t="s">
        <v>481</v>
      </c>
      <c r="J301" s="411">
        <v>1</v>
      </c>
      <c r="K301" s="411" t="s">
        <v>610</v>
      </c>
      <c r="L301" s="482">
        <v>348</v>
      </c>
      <c r="M301" s="461" t="s">
        <v>2412</v>
      </c>
      <c r="N301" s="483">
        <v>67.071199999999919</v>
      </c>
      <c r="O301" s="483">
        <v>134.15400000000011</v>
      </c>
      <c r="P301" s="913" t="s">
        <v>2413</v>
      </c>
      <c r="Q301" s="484">
        <v>336.67839999999967</v>
      </c>
      <c r="R301" s="497"/>
      <c r="S301" s="415"/>
    </row>
    <row r="302" spans="1:19" s="296" customFormat="1" ht="15" customHeight="1">
      <c r="A302" s="233">
        <v>288</v>
      </c>
      <c r="B302" s="413" t="s">
        <v>2545</v>
      </c>
      <c r="C302" s="411">
        <f t="shared" si="6"/>
        <v>288</v>
      </c>
      <c r="D302" s="443" t="s">
        <v>2188</v>
      </c>
      <c r="E302" s="412" t="s">
        <v>2319</v>
      </c>
      <c r="F302" s="912">
        <v>4.8639700000000001E-2</v>
      </c>
      <c r="G302" s="480">
        <v>3463.0023344000001</v>
      </c>
      <c r="H302" s="414">
        <v>487.2</v>
      </c>
      <c r="I302" s="413" t="s">
        <v>533</v>
      </c>
      <c r="J302" s="411">
        <v>2</v>
      </c>
      <c r="K302" s="411" t="s">
        <v>611</v>
      </c>
      <c r="L302" s="482">
        <v>348</v>
      </c>
      <c r="M302" s="461" t="s">
        <v>2412</v>
      </c>
      <c r="N302" s="483">
        <v>121.62599999999989</v>
      </c>
      <c r="O302" s="483">
        <v>243.24040000000008</v>
      </c>
      <c r="P302" s="913" t="s">
        <v>2413</v>
      </c>
      <c r="Q302" s="484">
        <v>336.67839999999967</v>
      </c>
      <c r="R302" s="497"/>
      <c r="S302" s="415"/>
    </row>
    <row r="303" spans="1:19" s="296" customFormat="1" ht="15" customHeight="1">
      <c r="A303" s="411">
        <v>289</v>
      </c>
      <c r="B303" s="413" t="s">
        <v>2546</v>
      </c>
      <c r="C303" s="411">
        <f t="shared" si="6"/>
        <v>289</v>
      </c>
      <c r="D303" s="443" t="s">
        <v>2188</v>
      </c>
      <c r="E303" s="412" t="s">
        <v>2344</v>
      </c>
      <c r="F303" s="912">
        <v>5.1864600000000004E-2</v>
      </c>
      <c r="G303" s="480">
        <v>3463.0023344000001</v>
      </c>
      <c r="H303" s="414">
        <v>487.2</v>
      </c>
      <c r="I303" s="413" t="s">
        <v>533</v>
      </c>
      <c r="J303" s="411">
        <v>2</v>
      </c>
      <c r="K303" s="411" t="s">
        <v>612</v>
      </c>
      <c r="L303" s="482">
        <v>348</v>
      </c>
      <c r="M303" s="461" t="s">
        <v>2412</v>
      </c>
      <c r="N303" s="483">
        <v>121.62599999999989</v>
      </c>
      <c r="O303" s="483">
        <v>243.24040000000008</v>
      </c>
      <c r="P303" s="913" t="s">
        <v>2413</v>
      </c>
      <c r="Q303" s="484">
        <v>336.67839999999967</v>
      </c>
      <c r="R303" s="497"/>
      <c r="S303" s="415"/>
    </row>
    <row r="304" spans="1:19" s="296" customFormat="1" ht="15" customHeight="1">
      <c r="A304" s="411">
        <v>290</v>
      </c>
      <c r="B304" s="413" t="s">
        <v>2547</v>
      </c>
      <c r="C304" s="411">
        <f t="shared" si="6"/>
        <v>290</v>
      </c>
      <c r="D304" s="443" t="s">
        <v>2188</v>
      </c>
      <c r="E304" s="412" t="s">
        <v>135</v>
      </c>
      <c r="F304" s="912">
        <v>4.8639700000000001E-2</v>
      </c>
      <c r="G304" s="480">
        <v>3463.0023344000001</v>
      </c>
      <c r="H304" s="414">
        <v>487.2</v>
      </c>
      <c r="I304" s="413" t="s">
        <v>533</v>
      </c>
      <c r="J304" s="411">
        <v>2</v>
      </c>
      <c r="K304" s="411" t="s">
        <v>613</v>
      </c>
      <c r="L304" s="482">
        <v>348</v>
      </c>
      <c r="M304" s="461" t="s">
        <v>2412</v>
      </c>
      <c r="N304" s="483">
        <v>121.62599999999989</v>
      </c>
      <c r="O304" s="483">
        <v>243.24040000000008</v>
      </c>
      <c r="P304" s="913" t="s">
        <v>2413</v>
      </c>
      <c r="Q304" s="484">
        <v>336.67839999999967</v>
      </c>
      <c r="R304" s="497"/>
      <c r="S304" s="415"/>
    </row>
    <row r="305" spans="1:19" s="296" customFormat="1" ht="15" customHeight="1">
      <c r="A305" s="233">
        <v>291</v>
      </c>
      <c r="B305" s="413" t="s">
        <v>2548</v>
      </c>
      <c r="C305" s="411">
        <f t="shared" si="6"/>
        <v>291</v>
      </c>
      <c r="D305" s="443" t="s">
        <v>2189</v>
      </c>
      <c r="E305" s="412" t="s">
        <v>136</v>
      </c>
      <c r="F305" s="912">
        <v>4.0640900000000001E-2</v>
      </c>
      <c r="G305" s="480">
        <v>2538.48</v>
      </c>
      <c r="H305" s="414">
        <v>487.2</v>
      </c>
      <c r="I305" s="413" t="s">
        <v>481</v>
      </c>
      <c r="J305" s="411">
        <v>1</v>
      </c>
      <c r="K305" s="411" t="s">
        <v>614</v>
      </c>
      <c r="L305" s="482">
        <v>348</v>
      </c>
      <c r="M305" s="461" t="s">
        <v>2412</v>
      </c>
      <c r="N305" s="483">
        <v>67.071199999999919</v>
      </c>
      <c r="O305" s="483">
        <v>134.15400000000011</v>
      </c>
      <c r="P305" s="913" t="s">
        <v>2413</v>
      </c>
      <c r="Q305" s="484">
        <v>336.67839999999967</v>
      </c>
      <c r="R305" s="497"/>
      <c r="S305" s="415"/>
    </row>
    <row r="306" spans="1:19" s="296" customFormat="1" ht="15" customHeight="1">
      <c r="A306" s="411">
        <v>292</v>
      </c>
      <c r="B306" s="413" t="s">
        <v>2549</v>
      </c>
      <c r="C306" s="411">
        <f t="shared" si="6"/>
        <v>292</v>
      </c>
      <c r="D306" s="443" t="s">
        <v>2189</v>
      </c>
      <c r="E306" s="412" t="s">
        <v>137</v>
      </c>
      <c r="F306" s="912">
        <v>4.0384000000000003E-2</v>
      </c>
      <c r="G306" s="480">
        <v>2538.48</v>
      </c>
      <c r="H306" s="414">
        <v>487.2</v>
      </c>
      <c r="I306" s="413" t="s">
        <v>481</v>
      </c>
      <c r="J306" s="411">
        <v>1</v>
      </c>
      <c r="K306" s="411" t="s">
        <v>615</v>
      </c>
      <c r="L306" s="482">
        <v>348</v>
      </c>
      <c r="M306" s="461" t="s">
        <v>2412</v>
      </c>
      <c r="N306" s="483">
        <v>67.071199999999919</v>
      </c>
      <c r="O306" s="483">
        <v>134.15400000000011</v>
      </c>
      <c r="P306" s="913" t="s">
        <v>2413</v>
      </c>
      <c r="Q306" s="484">
        <v>336.67839999999967</v>
      </c>
      <c r="R306" s="497"/>
      <c r="S306" s="415"/>
    </row>
    <row r="307" spans="1:19" s="296" customFormat="1" ht="15" customHeight="1">
      <c r="A307" s="411">
        <v>293</v>
      </c>
      <c r="B307" s="413" t="s">
        <v>2550</v>
      </c>
      <c r="C307" s="411">
        <f t="shared" si="6"/>
        <v>293</v>
      </c>
      <c r="D307" s="443" t="s">
        <v>2189</v>
      </c>
      <c r="E307" s="412" t="s">
        <v>138</v>
      </c>
      <c r="F307" s="912">
        <v>3.6670399999999999E-2</v>
      </c>
      <c r="G307" s="480">
        <v>2538.48</v>
      </c>
      <c r="H307" s="414">
        <v>487.2</v>
      </c>
      <c r="I307" s="413" t="s">
        <v>481</v>
      </c>
      <c r="J307" s="411">
        <v>1</v>
      </c>
      <c r="K307" s="411" t="s">
        <v>616</v>
      </c>
      <c r="L307" s="482">
        <v>348</v>
      </c>
      <c r="M307" s="461" t="s">
        <v>2412</v>
      </c>
      <c r="N307" s="483">
        <v>67.071199999999919</v>
      </c>
      <c r="O307" s="483">
        <v>134.15400000000011</v>
      </c>
      <c r="P307" s="913" t="s">
        <v>2413</v>
      </c>
      <c r="Q307" s="484">
        <v>336.67839999999967</v>
      </c>
      <c r="R307" s="497"/>
      <c r="S307" s="415"/>
    </row>
    <row r="308" spans="1:19" s="296" customFormat="1" ht="15" customHeight="1">
      <c r="A308" s="233">
        <v>294</v>
      </c>
      <c r="B308" s="413" t="s">
        <v>2551</v>
      </c>
      <c r="C308" s="411">
        <f t="shared" si="6"/>
        <v>294</v>
      </c>
      <c r="D308" s="443" t="s">
        <v>2189</v>
      </c>
      <c r="E308" s="412" t="s">
        <v>139</v>
      </c>
      <c r="F308" s="912">
        <v>3.5130000000000002E-2</v>
      </c>
      <c r="G308" s="480">
        <v>2538.4744000000001</v>
      </c>
      <c r="H308" s="414">
        <v>487.2</v>
      </c>
      <c r="I308" s="413" t="s">
        <v>481</v>
      </c>
      <c r="J308" s="411">
        <v>1</v>
      </c>
      <c r="K308" s="411" t="s">
        <v>617</v>
      </c>
      <c r="L308" s="482">
        <v>348</v>
      </c>
      <c r="M308" s="461" t="s">
        <v>2412</v>
      </c>
      <c r="N308" s="483">
        <v>67.071199999999919</v>
      </c>
      <c r="O308" s="483">
        <v>134.15400000000011</v>
      </c>
      <c r="P308" s="913" t="s">
        <v>2413</v>
      </c>
      <c r="Q308" s="484">
        <v>336.67839999999967</v>
      </c>
      <c r="R308" s="497"/>
      <c r="S308" s="415"/>
    </row>
    <row r="309" spans="1:19" s="296" customFormat="1" ht="15" customHeight="1">
      <c r="A309" s="411">
        <v>295</v>
      </c>
      <c r="B309" s="413" t="s">
        <v>3240</v>
      </c>
      <c r="C309" s="411">
        <f t="shared" si="6"/>
        <v>295</v>
      </c>
      <c r="D309" s="443" t="s">
        <v>2189</v>
      </c>
      <c r="E309" s="412" t="s">
        <v>3266</v>
      </c>
      <c r="F309" s="912">
        <v>3.5130000000000002E-2</v>
      </c>
      <c r="G309" s="480">
        <v>2538.4744000000001</v>
      </c>
      <c r="H309" s="414">
        <v>487.2</v>
      </c>
      <c r="I309" s="413" t="s">
        <v>481</v>
      </c>
      <c r="J309" s="411">
        <v>1</v>
      </c>
      <c r="K309" s="411" t="s">
        <v>3290</v>
      </c>
      <c r="L309" s="482">
        <v>348</v>
      </c>
      <c r="M309" s="461" t="s">
        <v>2412</v>
      </c>
      <c r="N309" s="483">
        <v>67.071199999999919</v>
      </c>
      <c r="O309" s="483">
        <v>134.15400000000011</v>
      </c>
      <c r="P309" s="913" t="s">
        <v>2413</v>
      </c>
      <c r="Q309" s="484">
        <v>336.67839999999967</v>
      </c>
      <c r="R309" s="497"/>
      <c r="S309" s="415"/>
    </row>
    <row r="310" spans="1:19" s="296" customFormat="1" ht="15" customHeight="1">
      <c r="A310" s="411">
        <v>296</v>
      </c>
      <c r="B310" s="413" t="s">
        <v>10955</v>
      </c>
      <c r="C310" s="411">
        <f t="shared" si="6"/>
        <v>296</v>
      </c>
      <c r="D310" s="443" t="s">
        <v>2189</v>
      </c>
      <c r="E310" s="412" t="s">
        <v>10968</v>
      </c>
      <c r="F310" s="912">
        <v>3.9245000000000002E-2</v>
      </c>
      <c r="G310" s="480">
        <v>2538.48</v>
      </c>
      <c r="H310" s="414">
        <v>487.2</v>
      </c>
      <c r="I310" s="413" t="s">
        <v>481</v>
      </c>
      <c r="J310" s="411">
        <v>1</v>
      </c>
      <c r="K310" s="411" t="s">
        <v>10981</v>
      </c>
      <c r="L310" s="482">
        <v>348</v>
      </c>
      <c r="M310" s="461" t="s">
        <v>2412</v>
      </c>
      <c r="N310" s="483">
        <v>67.071199999999919</v>
      </c>
      <c r="O310" s="483">
        <v>134.15399999999985</v>
      </c>
      <c r="P310" s="913" t="s">
        <v>2413</v>
      </c>
      <c r="Q310" s="484">
        <v>336.67840000000001</v>
      </c>
      <c r="R310" s="497"/>
      <c r="S310" s="415"/>
    </row>
    <row r="311" spans="1:19" s="296" customFormat="1" ht="15" customHeight="1">
      <c r="A311" s="233">
        <v>297</v>
      </c>
      <c r="B311" s="413" t="s">
        <v>2552</v>
      </c>
      <c r="C311" s="411">
        <f t="shared" si="6"/>
        <v>297</v>
      </c>
      <c r="D311" s="443" t="s">
        <v>2189</v>
      </c>
      <c r="E311" s="412" t="s">
        <v>140</v>
      </c>
      <c r="F311" s="912">
        <v>2.5805999999999999E-2</v>
      </c>
      <c r="G311" s="480">
        <v>2538.4744000000001</v>
      </c>
      <c r="H311" s="414">
        <v>487.2</v>
      </c>
      <c r="I311" s="413" t="s">
        <v>481</v>
      </c>
      <c r="J311" s="411">
        <v>1</v>
      </c>
      <c r="K311" s="411" t="s">
        <v>618</v>
      </c>
      <c r="L311" s="482">
        <v>348</v>
      </c>
      <c r="M311" s="461" t="s">
        <v>2412</v>
      </c>
      <c r="N311" s="483">
        <v>67.071199999999919</v>
      </c>
      <c r="O311" s="483">
        <v>134.15400000000011</v>
      </c>
      <c r="P311" s="913" t="s">
        <v>2413</v>
      </c>
      <c r="Q311" s="484">
        <v>336.67839999999967</v>
      </c>
      <c r="R311" s="497"/>
      <c r="S311" s="415"/>
    </row>
    <row r="312" spans="1:19" s="296" customFormat="1" ht="15" customHeight="1">
      <c r="A312" s="411">
        <v>298</v>
      </c>
      <c r="B312" s="413" t="s">
        <v>2553</v>
      </c>
      <c r="C312" s="411">
        <f t="shared" si="6"/>
        <v>298</v>
      </c>
      <c r="D312" s="443" t="s">
        <v>2189</v>
      </c>
      <c r="E312" s="412" t="s">
        <v>2554</v>
      </c>
      <c r="F312" s="912">
        <v>3.1799000000000001E-2</v>
      </c>
      <c r="G312" s="480">
        <v>2538.4744000000001</v>
      </c>
      <c r="H312" s="414">
        <v>487.2</v>
      </c>
      <c r="I312" s="413" t="s">
        <v>481</v>
      </c>
      <c r="J312" s="411">
        <v>1</v>
      </c>
      <c r="K312" s="411" t="s">
        <v>2555</v>
      </c>
      <c r="L312" s="482">
        <v>348</v>
      </c>
      <c r="M312" s="461" t="s">
        <v>2412</v>
      </c>
      <c r="N312" s="483">
        <v>67.071199999999919</v>
      </c>
      <c r="O312" s="483">
        <v>134.15400000000011</v>
      </c>
      <c r="P312" s="913" t="s">
        <v>2413</v>
      </c>
      <c r="Q312" s="484">
        <v>336.67839999999967</v>
      </c>
      <c r="R312" s="497"/>
      <c r="S312" s="415"/>
    </row>
    <row r="313" spans="1:19" s="296" customFormat="1" ht="15" customHeight="1">
      <c r="A313" s="411">
        <v>299</v>
      </c>
      <c r="B313" s="413" t="s">
        <v>3180</v>
      </c>
      <c r="C313" s="411">
        <f t="shared" si="6"/>
        <v>299</v>
      </c>
      <c r="D313" s="443" t="s">
        <v>2189</v>
      </c>
      <c r="E313" s="412" t="s">
        <v>3191</v>
      </c>
      <c r="F313" s="912">
        <v>2.5805999999999999E-2</v>
      </c>
      <c r="G313" s="480">
        <v>2538.4744000000001</v>
      </c>
      <c r="H313" s="414">
        <v>487.2</v>
      </c>
      <c r="I313" s="413" t="s">
        <v>481</v>
      </c>
      <c r="J313" s="411">
        <v>1</v>
      </c>
      <c r="K313" s="411" t="s">
        <v>3185</v>
      </c>
      <c r="L313" s="482">
        <v>348</v>
      </c>
      <c r="M313" s="461" t="s">
        <v>2412</v>
      </c>
      <c r="N313" s="483">
        <v>67.071199999999919</v>
      </c>
      <c r="O313" s="483">
        <v>134.15400000000011</v>
      </c>
      <c r="P313" s="913" t="s">
        <v>2413</v>
      </c>
      <c r="Q313" s="484">
        <v>336.67839999999967</v>
      </c>
      <c r="R313" s="497"/>
      <c r="S313" s="415"/>
    </row>
    <row r="314" spans="1:19" s="296" customFormat="1" ht="15" customHeight="1">
      <c r="A314" s="233">
        <v>300</v>
      </c>
      <c r="B314" s="413" t="s">
        <v>2556</v>
      </c>
      <c r="C314" s="411">
        <f t="shared" si="6"/>
        <v>300</v>
      </c>
      <c r="D314" s="443" t="s">
        <v>2189</v>
      </c>
      <c r="E314" s="412" t="s">
        <v>141</v>
      </c>
      <c r="F314" s="912">
        <v>4.4337299999999996E-2</v>
      </c>
      <c r="G314" s="480">
        <v>2538.48</v>
      </c>
      <c r="H314" s="414">
        <v>487.2</v>
      </c>
      <c r="I314" s="413" t="s">
        <v>481</v>
      </c>
      <c r="J314" s="411">
        <v>1</v>
      </c>
      <c r="K314" s="411" t="s">
        <v>619</v>
      </c>
      <c r="L314" s="482">
        <v>348</v>
      </c>
      <c r="M314" s="461" t="s">
        <v>2412</v>
      </c>
      <c r="N314" s="483">
        <v>67.071199999999919</v>
      </c>
      <c r="O314" s="483">
        <v>134.15400000000011</v>
      </c>
      <c r="P314" s="913" t="s">
        <v>2413</v>
      </c>
      <c r="Q314" s="484">
        <v>336.67839999999967</v>
      </c>
      <c r="R314" s="497"/>
      <c r="S314" s="415"/>
    </row>
    <row r="315" spans="1:19" s="296" customFormat="1" ht="15" customHeight="1">
      <c r="A315" s="411">
        <v>301</v>
      </c>
      <c r="B315" s="413" t="s">
        <v>3428</v>
      </c>
      <c r="C315" s="411">
        <f t="shared" si="6"/>
        <v>301</v>
      </c>
      <c r="D315" s="443" t="s">
        <v>2189</v>
      </c>
      <c r="E315" s="412" t="s">
        <v>3597</v>
      </c>
      <c r="F315" s="912">
        <v>4.2361000000000003E-2</v>
      </c>
      <c r="G315" s="480">
        <v>2538.4744000000001</v>
      </c>
      <c r="H315" s="414">
        <v>487.2</v>
      </c>
      <c r="I315" s="413" t="s">
        <v>481</v>
      </c>
      <c r="J315" s="411">
        <v>1</v>
      </c>
      <c r="K315" s="411" t="s">
        <v>3511</v>
      </c>
      <c r="L315" s="482">
        <v>348</v>
      </c>
      <c r="M315" s="461" t="s">
        <v>2412</v>
      </c>
      <c r="N315" s="483">
        <v>67.071199999999919</v>
      </c>
      <c r="O315" s="483">
        <v>134.15400000000011</v>
      </c>
      <c r="P315" s="913" t="s">
        <v>2413</v>
      </c>
      <c r="Q315" s="484">
        <v>336.67839999999967</v>
      </c>
      <c r="R315" s="497"/>
      <c r="S315" s="415"/>
    </row>
    <row r="316" spans="1:19" s="296" customFormat="1" ht="15" customHeight="1">
      <c r="A316" s="411">
        <v>302</v>
      </c>
      <c r="B316" s="413" t="s">
        <v>2557</v>
      </c>
      <c r="C316" s="411">
        <f t="shared" si="6"/>
        <v>302</v>
      </c>
      <c r="D316" s="443" t="s">
        <v>2189</v>
      </c>
      <c r="E316" s="412" t="s">
        <v>142</v>
      </c>
      <c r="F316" s="912">
        <v>4.4337299999999996E-2</v>
      </c>
      <c r="G316" s="480">
        <v>2538.48</v>
      </c>
      <c r="H316" s="414">
        <v>487.2</v>
      </c>
      <c r="I316" s="413" t="s">
        <v>481</v>
      </c>
      <c r="J316" s="411">
        <v>1</v>
      </c>
      <c r="K316" s="411" t="s">
        <v>620</v>
      </c>
      <c r="L316" s="482">
        <v>348</v>
      </c>
      <c r="M316" s="461" t="s">
        <v>2412</v>
      </c>
      <c r="N316" s="483">
        <v>67.071199999999919</v>
      </c>
      <c r="O316" s="483">
        <v>134.15400000000011</v>
      </c>
      <c r="P316" s="913" t="s">
        <v>2413</v>
      </c>
      <c r="Q316" s="484">
        <v>336.67839999999967</v>
      </c>
      <c r="R316" s="497"/>
      <c r="S316" s="415"/>
    </row>
    <row r="317" spans="1:19" s="296" customFormat="1" ht="15" customHeight="1">
      <c r="A317" s="233">
        <v>303</v>
      </c>
      <c r="B317" s="413" t="s">
        <v>2558</v>
      </c>
      <c r="C317" s="411">
        <f t="shared" si="6"/>
        <v>303</v>
      </c>
      <c r="D317" s="443" t="s">
        <v>2189</v>
      </c>
      <c r="E317" s="412" t="s">
        <v>143</v>
      </c>
      <c r="F317" s="912">
        <v>4.2361000000000003E-2</v>
      </c>
      <c r="G317" s="480">
        <v>2538.4744000000001</v>
      </c>
      <c r="H317" s="414">
        <v>487.2</v>
      </c>
      <c r="I317" s="413" t="s">
        <v>481</v>
      </c>
      <c r="J317" s="411">
        <v>1</v>
      </c>
      <c r="K317" s="411" t="s">
        <v>621</v>
      </c>
      <c r="L317" s="482">
        <v>348</v>
      </c>
      <c r="M317" s="461" t="s">
        <v>2412</v>
      </c>
      <c r="N317" s="483">
        <v>67.071199999999919</v>
      </c>
      <c r="O317" s="483">
        <v>134.15400000000011</v>
      </c>
      <c r="P317" s="913" t="s">
        <v>2413</v>
      </c>
      <c r="Q317" s="484">
        <v>336.67839999999967</v>
      </c>
      <c r="R317" s="497"/>
      <c r="S317" s="415"/>
    </row>
    <row r="318" spans="1:19" s="296" customFormat="1" ht="15" customHeight="1">
      <c r="A318" s="411">
        <v>304</v>
      </c>
      <c r="B318" s="413" t="s">
        <v>2559</v>
      </c>
      <c r="C318" s="411">
        <f t="shared" si="6"/>
        <v>304</v>
      </c>
      <c r="D318" s="443" t="s">
        <v>2189</v>
      </c>
      <c r="E318" s="412" t="s">
        <v>144</v>
      </c>
      <c r="F318" s="912">
        <v>2.3505000000000002E-2</v>
      </c>
      <c r="G318" s="480">
        <v>2538.4744000000001</v>
      </c>
      <c r="H318" s="414">
        <v>487.2</v>
      </c>
      <c r="I318" s="413" t="s">
        <v>481</v>
      </c>
      <c r="J318" s="411">
        <v>1</v>
      </c>
      <c r="K318" s="411" t="s">
        <v>622</v>
      </c>
      <c r="L318" s="482">
        <v>348</v>
      </c>
      <c r="M318" s="461" t="s">
        <v>2412</v>
      </c>
      <c r="N318" s="483">
        <v>67.071199999999919</v>
      </c>
      <c r="O318" s="483">
        <v>134.15400000000011</v>
      </c>
      <c r="P318" s="913" t="s">
        <v>2413</v>
      </c>
      <c r="Q318" s="484">
        <v>336.67839999999967</v>
      </c>
      <c r="R318" s="497"/>
      <c r="S318" s="415"/>
    </row>
    <row r="319" spans="1:19" s="296" customFormat="1" ht="15" customHeight="1">
      <c r="A319" s="411">
        <v>305</v>
      </c>
      <c r="B319" s="413" t="s">
        <v>2560</v>
      </c>
      <c r="C319" s="411">
        <f t="shared" si="6"/>
        <v>305</v>
      </c>
      <c r="D319" s="443" t="s">
        <v>2189</v>
      </c>
      <c r="E319" s="412" t="s">
        <v>2561</v>
      </c>
      <c r="F319" s="912">
        <v>4.4337299999999996E-2</v>
      </c>
      <c r="G319" s="480">
        <v>2538.48</v>
      </c>
      <c r="H319" s="414">
        <v>487.2</v>
      </c>
      <c r="I319" s="413" t="s">
        <v>481</v>
      </c>
      <c r="J319" s="411">
        <v>1</v>
      </c>
      <c r="K319" s="411" t="s">
        <v>2562</v>
      </c>
      <c r="L319" s="482">
        <v>348</v>
      </c>
      <c r="M319" s="461" t="s">
        <v>2412</v>
      </c>
      <c r="N319" s="483">
        <v>67.071199999999919</v>
      </c>
      <c r="O319" s="483">
        <v>134.15400000000011</v>
      </c>
      <c r="P319" s="913" t="s">
        <v>2413</v>
      </c>
      <c r="Q319" s="484">
        <v>336.67839999999967</v>
      </c>
      <c r="R319" s="497"/>
      <c r="S319" s="415"/>
    </row>
    <row r="320" spans="1:19" s="296" customFormat="1" ht="15" customHeight="1">
      <c r="A320" s="233">
        <v>306</v>
      </c>
      <c r="B320" s="413" t="s">
        <v>2563</v>
      </c>
      <c r="C320" s="411">
        <f t="shared" si="6"/>
        <v>306</v>
      </c>
      <c r="D320" s="443" t="s">
        <v>2189</v>
      </c>
      <c r="E320" s="412" t="s">
        <v>145</v>
      </c>
      <c r="F320" s="912">
        <v>1.6427000000000001E-2</v>
      </c>
      <c r="G320" s="480">
        <v>2538.4744000000001</v>
      </c>
      <c r="H320" s="414">
        <v>487.2</v>
      </c>
      <c r="I320" s="413" t="s">
        <v>481</v>
      </c>
      <c r="J320" s="411">
        <v>1</v>
      </c>
      <c r="K320" s="411" t="s">
        <v>623</v>
      </c>
      <c r="L320" s="482">
        <v>348</v>
      </c>
      <c r="M320" s="461" t="s">
        <v>2412</v>
      </c>
      <c r="N320" s="483">
        <v>67.071199999999919</v>
      </c>
      <c r="O320" s="483">
        <v>134.15400000000011</v>
      </c>
      <c r="P320" s="913" t="s">
        <v>2413</v>
      </c>
      <c r="Q320" s="484">
        <v>336.67839999999967</v>
      </c>
      <c r="R320" s="497"/>
      <c r="S320" s="415"/>
    </row>
    <row r="321" spans="1:19" s="296" customFormat="1" ht="15" customHeight="1">
      <c r="A321" s="411">
        <v>307</v>
      </c>
      <c r="B321" s="413" t="s">
        <v>2564</v>
      </c>
      <c r="C321" s="411">
        <f t="shared" si="6"/>
        <v>307</v>
      </c>
      <c r="D321" s="443" t="s">
        <v>2189</v>
      </c>
      <c r="E321" s="412" t="s">
        <v>2565</v>
      </c>
      <c r="F321" s="912">
        <v>4.4337299999999996E-2</v>
      </c>
      <c r="G321" s="480">
        <v>2538.48</v>
      </c>
      <c r="H321" s="414">
        <v>487.2</v>
      </c>
      <c r="I321" s="413" t="s">
        <v>481</v>
      </c>
      <c r="J321" s="411">
        <v>1</v>
      </c>
      <c r="K321" s="411" t="s">
        <v>2566</v>
      </c>
      <c r="L321" s="482">
        <v>348</v>
      </c>
      <c r="M321" s="461" t="s">
        <v>2412</v>
      </c>
      <c r="N321" s="483">
        <v>67.071199999999919</v>
      </c>
      <c r="O321" s="483">
        <v>134.15400000000011</v>
      </c>
      <c r="P321" s="913" t="s">
        <v>2413</v>
      </c>
      <c r="Q321" s="484">
        <v>336.67839999999967</v>
      </c>
      <c r="R321" s="804"/>
      <c r="S321" s="460"/>
    </row>
    <row r="322" spans="1:19" s="296" customFormat="1" ht="15" customHeight="1">
      <c r="A322" s="411">
        <v>308</v>
      </c>
      <c r="B322" s="413" t="s">
        <v>2567</v>
      </c>
      <c r="C322" s="411">
        <f t="shared" si="6"/>
        <v>308</v>
      </c>
      <c r="D322" s="443" t="s">
        <v>2189</v>
      </c>
      <c r="E322" s="412" t="s">
        <v>146</v>
      </c>
      <c r="F322" s="912">
        <v>5.4890000000000001E-2</v>
      </c>
      <c r="G322" s="480">
        <v>2538.4744000000001</v>
      </c>
      <c r="H322" s="414">
        <v>487.2</v>
      </c>
      <c r="I322" s="413" t="s">
        <v>481</v>
      </c>
      <c r="J322" s="411">
        <v>1</v>
      </c>
      <c r="K322" s="411" t="s">
        <v>624</v>
      </c>
      <c r="L322" s="482">
        <v>348</v>
      </c>
      <c r="M322" s="461" t="s">
        <v>2412</v>
      </c>
      <c r="N322" s="483">
        <v>67.071199999999919</v>
      </c>
      <c r="O322" s="483">
        <v>134.15400000000011</v>
      </c>
      <c r="P322" s="913" t="s">
        <v>2413</v>
      </c>
      <c r="Q322" s="484">
        <v>336.67839999999967</v>
      </c>
      <c r="R322" s="497"/>
      <c r="S322" s="415"/>
    </row>
    <row r="323" spans="1:19" s="296" customFormat="1" ht="15" customHeight="1">
      <c r="A323" s="233">
        <v>309</v>
      </c>
      <c r="B323" s="413" t="s">
        <v>2568</v>
      </c>
      <c r="C323" s="411">
        <f t="shared" si="6"/>
        <v>309</v>
      </c>
      <c r="D323" s="443" t="s">
        <v>2189</v>
      </c>
      <c r="E323" s="412" t="s">
        <v>147</v>
      </c>
      <c r="F323" s="912">
        <v>3.6669E-2</v>
      </c>
      <c r="G323" s="480">
        <v>2538.4744000000001</v>
      </c>
      <c r="H323" s="414">
        <v>487.2</v>
      </c>
      <c r="I323" s="413" t="s">
        <v>481</v>
      </c>
      <c r="J323" s="411">
        <v>1</v>
      </c>
      <c r="K323" s="411" t="s">
        <v>625</v>
      </c>
      <c r="L323" s="482">
        <v>348</v>
      </c>
      <c r="M323" s="461" t="s">
        <v>2412</v>
      </c>
      <c r="N323" s="483">
        <v>67.071199999999919</v>
      </c>
      <c r="O323" s="483">
        <v>134.15400000000011</v>
      </c>
      <c r="P323" s="913" t="s">
        <v>2413</v>
      </c>
      <c r="Q323" s="484">
        <v>336.67839999999967</v>
      </c>
      <c r="R323" s="497"/>
      <c r="S323" s="415"/>
    </row>
    <row r="324" spans="1:19" s="296" customFormat="1" ht="15" customHeight="1">
      <c r="A324" s="411">
        <v>310</v>
      </c>
      <c r="B324" s="413" t="s">
        <v>2569</v>
      </c>
      <c r="C324" s="411">
        <f t="shared" si="6"/>
        <v>310</v>
      </c>
      <c r="D324" s="443" t="s">
        <v>2189</v>
      </c>
      <c r="E324" s="412" t="s">
        <v>148</v>
      </c>
      <c r="F324" s="912">
        <v>6.3891299999999998E-2</v>
      </c>
      <c r="G324" s="480">
        <v>3463.0023344000001</v>
      </c>
      <c r="H324" s="414">
        <v>487.2</v>
      </c>
      <c r="I324" s="413" t="s">
        <v>533</v>
      </c>
      <c r="J324" s="411">
        <v>2</v>
      </c>
      <c r="K324" s="411" t="s">
        <v>626</v>
      </c>
      <c r="L324" s="482">
        <v>348</v>
      </c>
      <c r="M324" s="461" t="s">
        <v>2412</v>
      </c>
      <c r="N324" s="483">
        <v>121.62599999999989</v>
      </c>
      <c r="O324" s="483">
        <v>243.24040000000008</v>
      </c>
      <c r="P324" s="913" t="s">
        <v>2413</v>
      </c>
      <c r="Q324" s="484">
        <v>336.67839999999967</v>
      </c>
      <c r="R324" s="497"/>
      <c r="S324" s="415"/>
    </row>
    <row r="325" spans="1:19" s="296" customFormat="1" ht="15" customHeight="1">
      <c r="A325" s="411">
        <v>311</v>
      </c>
      <c r="B325" s="413" t="s">
        <v>2570</v>
      </c>
      <c r="C325" s="411">
        <f t="shared" si="6"/>
        <v>311</v>
      </c>
      <c r="D325" s="443" t="s">
        <v>2189</v>
      </c>
      <c r="E325" s="412" t="s">
        <v>149</v>
      </c>
      <c r="F325" s="912">
        <v>4.7482900000000001E-2</v>
      </c>
      <c r="G325" s="480">
        <v>2538.48</v>
      </c>
      <c r="H325" s="414">
        <v>487.2</v>
      </c>
      <c r="I325" s="413" t="s">
        <v>481</v>
      </c>
      <c r="J325" s="411">
        <v>1</v>
      </c>
      <c r="K325" s="411" t="s">
        <v>627</v>
      </c>
      <c r="L325" s="482">
        <v>348</v>
      </c>
      <c r="M325" s="461" t="s">
        <v>2412</v>
      </c>
      <c r="N325" s="483">
        <v>67.071199999999919</v>
      </c>
      <c r="O325" s="483">
        <v>134.15400000000011</v>
      </c>
      <c r="P325" s="913" t="s">
        <v>2413</v>
      </c>
      <c r="Q325" s="484">
        <v>336.67839999999967</v>
      </c>
      <c r="R325" s="497"/>
      <c r="S325" s="415"/>
    </row>
    <row r="326" spans="1:19" s="296" customFormat="1" ht="15" customHeight="1">
      <c r="A326" s="233">
        <v>312</v>
      </c>
      <c r="B326" s="413" t="s">
        <v>2571</v>
      </c>
      <c r="C326" s="411">
        <f t="shared" si="6"/>
        <v>312</v>
      </c>
      <c r="D326" s="443" t="s">
        <v>2189</v>
      </c>
      <c r="E326" s="412" t="s">
        <v>150</v>
      </c>
      <c r="F326" s="912">
        <v>4.7482900000000001E-2</v>
      </c>
      <c r="G326" s="480">
        <v>2538.48</v>
      </c>
      <c r="H326" s="414">
        <v>487.2</v>
      </c>
      <c r="I326" s="413" t="s">
        <v>481</v>
      </c>
      <c r="J326" s="411">
        <v>1</v>
      </c>
      <c r="K326" s="411" t="s">
        <v>628</v>
      </c>
      <c r="L326" s="482">
        <v>348</v>
      </c>
      <c r="M326" s="461" t="s">
        <v>2412</v>
      </c>
      <c r="N326" s="483">
        <v>67.071199999999919</v>
      </c>
      <c r="O326" s="483">
        <v>134.15400000000011</v>
      </c>
      <c r="P326" s="913" t="s">
        <v>2413</v>
      </c>
      <c r="Q326" s="484">
        <v>336.67839999999967</v>
      </c>
      <c r="R326" s="497"/>
      <c r="S326" s="415"/>
    </row>
    <row r="327" spans="1:19" s="296" customFormat="1" ht="15" customHeight="1">
      <c r="A327" s="411">
        <v>313</v>
      </c>
      <c r="B327" s="413" t="s">
        <v>2572</v>
      </c>
      <c r="C327" s="411">
        <f t="shared" si="6"/>
        <v>313</v>
      </c>
      <c r="D327" s="443" t="s">
        <v>2189</v>
      </c>
      <c r="E327" s="412" t="s">
        <v>151</v>
      </c>
      <c r="F327" s="912">
        <v>4.7482900000000001E-2</v>
      </c>
      <c r="G327" s="480">
        <v>2538.48</v>
      </c>
      <c r="H327" s="414">
        <v>487.2</v>
      </c>
      <c r="I327" s="413" t="s">
        <v>481</v>
      </c>
      <c r="J327" s="411">
        <v>1</v>
      </c>
      <c r="K327" s="411" t="s">
        <v>629</v>
      </c>
      <c r="L327" s="482">
        <v>348</v>
      </c>
      <c r="M327" s="461" t="s">
        <v>2412</v>
      </c>
      <c r="N327" s="483">
        <v>67.071199999999919</v>
      </c>
      <c r="O327" s="483">
        <v>134.15400000000011</v>
      </c>
      <c r="P327" s="913" t="s">
        <v>2413</v>
      </c>
      <c r="Q327" s="484">
        <v>336.67839999999967</v>
      </c>
      <c r="R327" s="497"/>
      <c r="S327" s="415"/>
    </row>
    <row r="328" spans="1:19" s="296" customFormat="1" ht="15" customHeight="1">
      <c r="A328" s="411">
        <v>314</v>
      </c>
      <c r="B328" s="413" t="s">
        <v>2573</v>
      </c>
      <c r="C328" s="411">
        <f t="shared" si="6"/>
        <v>314</v>
      </c>
      <c r="D328" s="443" t="s">
        <v>2189</v>
      </c>
      <c r="E328" s="412" t="s">
        <v>152</v>
      </c>
      <c r="F328" s="912">
        <v>4.7482900000000001E-2</v>
      </c>
      <c r="G328" s="480">
        <v>2538.48</v>
      </c>
      <c r="H328" s="414">
        <v>487.2</v>
      </c>
      <c r="I328" s="413" t="s">
        <v>481</v>
      </c>
      <c r="J328" s="411">
        <v>1</v>
      </c>
      <c r="K328" s="411" t="s">
        <v>630</v>
      </c>
      <c r="L328" s="482">
        <v>348</v>
      </c>
      <c r="M328" s="461" t="s">
        <v>2412</v>
      </c>
      <c r="N328" s="483">
        <v>67.071199999999919</v>
      </c>
      <c r="O328" s="483">
        <v>134.15400000000011</v>
      </c>
      <c r="P328" s="913" t="s">
        <v>2413</v>
      </c>
      <c r="Q328" s="484">
        <v>336.67839999999967</v>
      </c>
      <c r="R328" s="497"/>
      <c r="S328" s="415"/>
    </row>
    <row r="329" spans="1:19" s="296" customFormat="1" ht="15" customHeight="1">
      <c r="A329" s="233">
        <v>315</v>
      </c>
      <c r="B329" s="413" t="s">
        <v>2574</v>
      </c>
      <c r="C329" s="411">
        <f t="shared" si="6"/>
        <v>315</v>
      </c>
      <c r="D329" s="443" t="s">
        <v>2189</v>
      </c>
      <c r="E329" s="412" t="s">
        <v>153</v>
      </c>
      <c r="F329" s="912">
        <v>4.7482900000000001E-2</v>
      </c>
      <c r="G329" s="480">
        <v>2538.48</v>
      </c>
      <c r="H329" s="414">
        <v>487.2</v>
      </c>
      <c r="I329" s="413" t="s">
        <v>481</v>
      </c>
      <c r="J329" s="411">
        <v>1</v>
      </c>
      <c r="K329" s="411" t="s">
        <v>631</v>
      </c>
      <c r="L329" s="482">
        <v>348</v>
      </c>
      <c r="M329" s="461" t="s">
        <v>2412</v>
      </c>
      <c r="N329" s="483">
        <v>67.071199999999919</v>
      </c>
      <c r="O329" s="483">
        <v>134.15400000000011</v>
      </c>
      <c r="P329" s="913" t="s">
        <v>2413</v>
      </c>
      <c r="Q329" s="484">
        <v>336.67839999999967</v>
      </c>
      <c r="R329" s="497"/>
      <c r="S329" s="415"/>
    </row>
    <row r="330" spans="1:19" s="296" customFormat="1" ht="15" customHeight="1">
      <c r="A330" s="411">
        <v>316</v>
      </c>
      <c r="B330" s="413" t="s">
        <v>2575</v>
      </c>
      <c r="C330" s="411">
        <f t="shared" si="6"/>
        <v>316</v>
      </c>
      <c r="D330" s="443" t="s">
        <v>2189</v>
      </c>
      <c r="E330" s="412" t="s">
        <v>154</v>
      </c>
      <c r="F330" s="912">
        <v>4.7482900000000001E-2</v>
      </c>
      <c r="G330" s="480">
        <v>2538.48</v>
      </c>
      <c r="H330" s="414">
        <v>487.2</v>
      </c>
      <c r="I330" s="413" t="s">
        <v>481</v>
      </c>
      <c r="J330" s="411">
        <v>1</v>
      </c>
      <c r="K330" s="411" t="s">
        <v>627</v>
      </c>
      <c r="L330" s="482">
        <v>348</v>
      </c>
      <c r="M330" s="461" t="s">
        <v>2412</v>
      </c>
      <c r="N330" s="483">
        <v>67.071199999999919</v>
      </c>
      <c r="O330" s="483">
        <v>134.15400000000011</v>
      </c>
      <c r="P330" s="913" t="s">
        <v>2413</v>
      </c>
      <c r="Q330" s="484">
        <v>336.67839999999967</v>
      </c>
      <c r="R330" s="497"/>
      <c r="S330" s="415"/>
    </row>
    <row r="331" spans="1:19" s="296" customFormat="1" ht="15" customHeight="1">
      <c r="A331" s="411">
        <v>317</v>
      </c>
      <c r="B331" s="413" t="s">
        <v>5162</v>
      </c>
      <c r="C331" s="411">
        <f t="shared" si="6"/>
        <v>317</v>
      </c>
      <c r="D331" s="443" t="s">
        <v>2189</v>
      </c>
      <c r="E331" s="412" t="s">
        <v>5182</v>
      </c>
      <c r="F331" s="912">
        <v>6.2548000000000006E-2</v>
      </c>
      <c r="G331" s="480">
        <v>3463</v>
      </c>
      <c r="H331" s="414">
        <v>487.2</v>
      </c>
      <c r="I331" s="413" t="s">
        <v>533</v>
      </c>
      <c r="J331" s="411">
        <v>2</v>
      </c>
      <c r="K331" s="411" t="s">
        <v>5202</v>
      </c>
      <c r="L331" s="482">
        <v>348</v>
      </c>
      <c r="M331" s="461" t="s">
        <v>2412</v>
      </c>
      <c r="N331" s="483">
        <v>121.62599999999989</v>
      </c>
      <c r="O331" s="483">
        <v>243.24040000000008</v>
      </c>
      <c r="P331" s="913" t="s">
        <v>2413</v>
      </c>
      <c r="Q331" s="484">
        <v>336.67840000000001</v>
      </c>
      <c r="R331" s="497"/>
      <c r="S331" s="415"/>
    </row>
    <row r="332" spans="1:19" s="296" customFormat="1" ht="15" customHeight="1">
      <c r="A332" s="233">
        <v>318</v>
      </c>
      <c r="B332" s="413" t="s">
        <v>5163</v>
      </c>
      <c r="C332" s="411">
        <f t="shared" si="6"/>
        <v>318</v>
      </c>
      <c r="D332" s="443" t="s">
        <v>2189</v>
      </c>
      <c r="E332" s="412" t="s">
        <v>5183</v>
      </c>
      <c r="F332" s="912">
        <v>6.2548500000000007E-2</v>
      </c>
      <c r="G332" s="480">
        <v>3463.0023344000001</v>
      </c>
      <c r="H332" s="414">
        <v>487.2</v>
      </c>
      <c r="I332" s="413" t="s">
        <v>533</v>
      </c>
      <c r="J332" s="411">
        <v>2</v>
      </c>
      <c r="K332" s="411" t="s">
        <v>4815</v>
      </c>
      <c r="L332" s="482">
        <v>348</v>
      </c>
      <c r="M332" s="461" t="s">
        <v>2412</v>
      </c>
      <c r="N332" s="483">
        <v>121.62599999999989</v>
      </c>
      <c r="O332" s="483">
        <v>243.24040000000008</v>
      </c>
      <c r="P332" s="913" t="s">
        <v>2413</v>
      </c>
      <c r="Q332" s="484">
        <v>336.67839999999967</v>
      </c>
      <c r="R332" s="497"/>
      <c r="S332" s="415"/>
    </row>
    <row r="333" spans="1:19" s="296" customFormat="1" ht="15" customHeight="1">
      <c r="A333" s="411">
        <v>319</v>
      </c>
      <c r="B333" s="413" t="s">
        <v>2576</v>
      </c>
      <c r="C333" s="411">
        <f t="shared" si="6"/>
        <v>319</v>
      </c>
      <c r="D333" s="443" t="s">
        <v>2189</v>
      </c>
      <c r="E333" s="412" t="s">
        <v>155</v>
      </c>
      <c r="F333" s="912">
        <v>4.3708999999999998E-2</v>
      </c>
      <c r="G333" s="480">
        <v>2538.48</v>
      </c>
      <c r="H333" s="414">
        <v>487.2</v>
      </c>
      <c r="I333" s="413" t="s">
        <v>481</v>
      </c>
      <c r="J333" s="411">
        <v>1</v>
      </c>
      <c r="K333" s="411" t="s">
        <v>632</v>
      </c>
      <c r="L333" s="482">
        <v>348</v>
      </c>
      <c r="M333" s="461" t="s">
        <v>2412</v>
      </c>
      <c r="N333" s="483">
        <v>67.071199999999919</v>
      </c>
      <c r="O333" s="483">
        <v>134.15400000000011</v>
      </c>
      <c r="P333" s="913" t="s">
        <v>2413</v>
      </c>
      <c r="Q333" s="484">
        <v>336.67839999999967</v>
      </c>
      <c r="R333" s="497"/>
      <c r="S333" s="415"/>
    </row>
    <row r="334" spans="1:19" s="296" customFormat="1" ht="15" customHeight="1">
      <c r="A334" s="411">
        <v>320</v>
      </c>
      <c r="B334" s="413" t="s">
        <v>2577</v>
      </c>
      <c r="C334" s="411">
        <f t="shared" si="6"/>
        <v>320</v>
      </c>
      <c r="D334" s="443" t="s">
        <v>2189</v>
      </c>
      <c r="E334" s="412" t="s">
        <v>156</v>
      </c>
      <c r="F334" s="912">
        <v>3.2291E-2</v>
      </c>
      <c r="G334" s="480">
        <v>2538.4744000000001</v>
      </c>
      <c r="H334" s="414">
        <v>487.2</v>
      </c>
      <c r="I334" s="413" t="s">
        <v>481</v>
      </c>
      <c r="J334" s="411">
        <v>1</v>
      </c>
      <c r="K334" s="411" t="s">
        <v>633</v>
      </c>
      <c r="L334" s="482">
        <v>348</v>
      </c>
      <c r="M334" s="461" t="s">
        <v>2412</v>
      </c>
      <c r="N334" s="483">
        <v>67.071199999999919</v>
      </c>
      <c r="O334" s="483">
        <v>134.15400000000011</v>
      </c>
      <c r="P334" s="913" t="s">
        <v>2413</v>
      </c>
      <c r="Q334" s="484">
        <v>336.67839999999967</v>
      </c>
      <c r="R334" s="497"/>
      <c r="S334" s="415"/>
    </row>
    <row r="335" spans="1:19" s="296" customFormat="1" ht="15" customHeight="1">
      <c r="A335" s="233">
        <v>321</v>
      </c>
      <c r="B335" s="413" t="s">
        <v>2578</v>
      </c>
      <c r="C335" s="411">
        <f t="shared" si="6"/>
        <v>321</v>
      </c>
      <c r="D335" s="443" t="s">
        <v>2189</v>
      </c>
      <c r="E335" s="412" t="s">
        <v>157</v>
      </c>
      <c r="F335" s="912">
        <v>3.1229E-2</v>
      </c>
      <c r="G335" s="480">
        <v>2538.4744000000001</v>
      </c>
      <c r="H335" s="414">
        <v>487.2</v>
      </c>
      <c r="I335" s="413" t="s">
        <v>481</v>
      </c>
      <c r="J335" s="411">
        <v>1</v>
      </c>
      <c r="K335" s="411" t="s">
        <v>634</v>
      </c>
      <c r="L335" s="482">
        <v>348</v>
      </c>
      <c r="M335" s="461" t="s">
        <v>2412</v>
      </c>
      <c r="N335" s="483">
        <v>67.071199999999919</v>
      </c>
      <c r="O335" s="483">
        <v>134.15400000000011</v>
      </c>
      <c r="P335" s="913" t="s">
        <v>2413</v>
      </c>
      <c r="Q335" s="484">
        <v>336.67839999999967</v>
      </c>
      <c r="R335" s="497"/>
      <c r="S335" s="415"/>
    </row>
    <row r="336" spans="1:19" s="296" customFormat="1" ht="15" customHeight="1">
      <c r="A336" s="411">
        <v>322</v>
      </c>
      <c r="B336" s="413" t="s">
        <v>2579</v>
      </c>
      <c r="C336" s="411">
        <f t="shared" ref="C336:C399" si="7">A336</f>
        <v>322</v>
      </c>
      <c r="D336" s="443" t="s">
        <v>2189</v>
      </c>
      <c r="E336" s="412" t="s">
        <v>158</v>
      </c>
      <c r="F336" s="912">
        <v>3.9284899999999998E-2</v>
      </c>
      <c r="G336" s="480">
        <v>2538.48</v>
      </c>
      <c r="H336" s="414">
        <v>487.2</v>
      </c>
      <c r="I336" s="413" t="s">
        <v>481</v>
      </c>
      <c r="J336" s="411">
        <v>1</v>
      </c>
      <c r="K336" s="411" t="s">
        <v>635</v>
      </c>
      <c r="L336" s="482">
        <v>348</v>
      </c>
      <c r="M336" s="461" t="s">
        <v>2412</v>
      </c>
      <c r="N336" s="483">
        <v>67.071199999999919</v>
      </c>
      <c r="O336" s="483">
        <v>134.15400000000011</v>
      </c>
      <c r="P336" s="913" t="s">
        <v>2413</v>
      </c>
      <c r="Q336" s="484">
        <v>336.67839999999967</v>
      </c>
      <c r="R336" s="497"/>
      <c r="S336" s="415"/>
    </row>
    <row r="337" spans="1:19" s="296" customFormat="1" ht="15" customHeight="1">
      <c r="A337" s="411">
        <v>323</v>
      </c>
      <c r="B337" s="413" t="s">
        <v>2580</v>
      </c>
      <c r="C337" s="411">
        <f t="shared" si="7"/>
        <v>323</v>
      </c>
      <c r="D337" s="443" t="s">
        <v>2189</v>
      </c>
      <c r="E337" s="412" t="s">
        <v>159</v>
      </c>
      <c r="F337" s="912">
        <v>3.5178899999999999E-2</v>
      </c>
      <c r="G337" s="480">
        <v>2538.48</v>
      </c>
      <c r="H337" s="414">
        <v>487.2</v>
      </c>
      <c r="I337" s="413" t="s">
        <v>481</v>
      </c>
      <c r="J337" s="411">
        <v>1</v>
      </c>
      <c r="K337" s="411" t="s">
        <v>636</v>
      </c>
      <c r="L337" s="482">
        <v>348</v>
      </c>
      <c r="M337" s="461" t="s">
        <v>2412</v>
      </c>
      <c r="N337" s="483">
        <v>67.071199999999919</v>
      </c>
      <c r="O337" s="483">
        <v>134.15400000000011</v>
      </c>
      <c r="P337" s="913" t="s">
        <v>2413</v>
      </c>
      <c r="Q337" s="484">
        <v>336.67839999999967</v>
      </c>
      <c r="R337" s="497"/>
      <c r="S337" s="415"/>
    </row>
    <row r="338" spans="1:19" s="296" customFormat="1" ht="15" customHeight="1">
      <c r="A338" s="233">
        <v>324</v>
      </c>
      <c r="B338" s="413" t="s">
        <v>2581</v>
      </c>
      <c r="C338" s="411">
        <f t="shared" si="7"/>
        <v>324</v>
      </c>
      <c r="D338" s="443" t="s">
        <v>2189</v>
      </c>
      <c r="E338" s="412" t="s">
        <v>160</v>
      </c>
      <c r="F338" s="912">
        <v>6.3663200000000003E-2</v>
      </c>
      <c r="G338" s="480">
        <v>3463.0023344000001</v>
      </c>
      <c r="H338" s="414">
        <v>487.2</v>
      </c>
      <c r="I338" s="413" t="s">
        <v>533</v>
      </c>
      <c r="J338" s="411">
        <v>2</v>
      </c>
      <c r="K338" s="411" t="s">
        <v>637</v>
      </c>
      <c r="L338" s="482">
        <v>348</v>
      </c>
      <c r="M338" s="461" t="s">
        <v>2412</v>
      </c>
      <c r="N338" s="483">
        <v>121.62599999999989</v>
      </c>
      <c r="O338" s="483">
        <v>243.24040000000008</v>
      </c>
      <c r="P338" s="913" t="s">
        <v>2413</v>
      </c>
      <c r="Q338" s="484">
        <v>336.67839999999967</v>
      </c>
      <c r="R338" s="497"/>
      <c r="S338" s="415"/>
    </row>
    <row r="339" spans="1:19" s="296" customFormat="1" ht="15" customHeight="1">
      <c r="A339" s="411">
        <v>325</v>
      </c>
      <c r="B339" s="413" t="s">
        <v>2582</v>
      </c>
      <c r="C339" s="411">
        <f t="shared" si="7"/>
        <v>325</v>
      </c>
      <c r="D339" s="443" t="s">
        <v>2189</v>
      </c>
      <c r="E339" s="412" t="s">
        <v>161</v>
      </c>
      <c r="F339" s="912">
        <v>3.2580200000000004E-2</v>
      </c>
      <c r="G339" s="480">
        <v>2538.48</v>
      </c>
      <c r="H339" s="414">
        <v>487.2</v>
      </c>
      <c r="I339" s="413" t="s">
        <v>481</v>
      </c>
      <c r="J339" s="411">
        <v>1</v>
      </c>
      <c r="K339" s="411" t="s">
        <v>638</v>
      </c>
      <c r="L339" s="482">
        <v>348</v>
      </c>
      <c r="M339" s="461" t="s">
        <v>2412</v>
      </c>
      <c r="N339" s="483">
        <v>67.071199999999919</v>
      </c>
      <c r="O339" s="483">
        <v>134.15400000000011</v>
      </c>
      <c r="P339" s="913" t="s">
        <v>2413</v>
      </c>
      <c r="Q339" s="484">
        <v>336.67839999999967</v>
      </c>
      <c r="R339" s="497"/>
      <c r="S339" s="415"/>
    </row>
    <row r="340" spans="1:19" s="296" customFormat="1" ht="15" customHeight="1">
      <c r="A340" s="411">
        <v>326</v>
      </c>
      <c r="B340" s="413" t="s">
        <v>2583</v>
      </c>
      <c r="C340" s="411">
        <f t="shared" si="7"/>
        <v>326</v>
      </c>
      <c r="D340" s="443" t="s">
        <v>2189</v>
      </c>
      <c r="E340" s="412" t="s">
        <v>162</v>
      </c>
      <c r="F340" s="912">
        <v>3.9463400000000003E-2</v>
      </c>
      <c r="G340" s="480">
        <v>2538.48</v>
      </c>
      <c r="H340" s="414">
        <v>487.2</v>
      </c>
      <c r="I340" s="413" t="s">
        <v>481</v>
      </c>
      <c r="J340" s="411">
        <v>1</v>
      </c>
      <c r="K340" s="411" t="s">
        <v>639</v>
      </c>
      <c r="L340" s="482">
        <v>348</v>
      </c>
      <c r="M340" s="461" t="s">
        <v>2412</v>
      </c>
      <c r="N340" s="483">
        <v>67.071199999999919</v>
      </c>
      <c r="O340" s="483">
        <v>134.15400000000011</v>
      </c>
      <c r="P340" s="913" t="s">
        <v>2413</v>
      </c>
      <c r="Q340" s="484">
        <v>336.67839999999967</v>
      </c>
      <c r="R340" s="497"/>
      <c r="S340" s="415"/>
    </row>
    <row r="341" spans="1:19" s="296" customFormat="1" ht="15" customHeight="1">
      <c r="A341" s="233">
        <v>327</v>
      </c>
      <c r="B341" s="413" t="s">
        <v>2584</v>
      </c>
      <c r="C341" s="411">
        <f t="shared" si="7"/>
        <v>327</v>
      </c>
      <c r="D341" s="443" t="s">
        <v>2189</v>
      </c>
      <c r="E341" s="412" t="s">
        <v>163</v>
      </c>
      <c r="F341" s="912">
        <v>4.8255299999999994E-2</v>
      </c>
      <c r="G341" s="480">
        <v>2538.48</v>
      </c>
      <c r="H341" s="414">
        <v>487.2</v>
      </c>
      <c r="I341" s="413" t="s">
        <v>481</v>
      </c>
      <c r="J341" s="411">
        <v>1</v>
      </c>
      <c r="K341" s="411" t="s">
        <v>640</v>
      </c>
      <c r="L341" s="482">
        <v>348</v>
      </c>
      <c r="M341" s="461" t="s">
        <v>2412</v>
      </c>
      <c r="N341" s="483">
        <v>67.071199999999919</v>
      </c>
      <c r="O341" s="483">
        <v>134.15400000000011</v>
      </c>
      <c r="P341" s="913" t="s">
        <v>2413</v>
      </c>
      <c r="Q341" s="484">
        <v>336.67839999999967</v>
      </c>
      <c r="R341" s="497"/>
      <c r="S341" s="415"/>
    </row>
    <row r="342" spans="1:19" s="460" customFormat="1" ht="15" customHeight="1">
      <c r="A342" s="411">
        <v>328</v>
      </c>
      <c r="B342" s="413" t="s">
        <v>2585</v>
      </c>
      <c r="C342" s="411">
        <f t="shared" si="7"/>
        <v>328</v>
      </c>
      <c r="D342" s="443" t="s">
        <v>2189</v>
      </c>
      <c r="E342" s="412" t="s">
        <v>164</v>
      </c>
      <c r="F342" s="912">
        <v>4.8901300000000002E-2</v>
      </c>
      <c r="G342" s="480">
        <v>2538.48</v>
      </c>
      <c r="H342" s="414">
        <v>487.2</v>
      </c>
      <c r="I342" s="413" t="s">
        <v>481</v>
      </c>
      <c r="J342" s="411">
        <v>1</v>
      </c>
      <c r="K342" s="411" t="s">
        <v>641</v>
      </c>
      <c r="L342" s="482">
        <v>348</v>
      </c>
      <c r="M342" s="461" t="s">
        <v>2412</v>
      </c>
      <c r="N342" s="483">
        <v>67.071199999999919</v>
      </c>
      <c r="O342" s="483">
        <v>134.15400000000011</v>
      </c>
      <c r="P342" s="913" t="s">
        <v>2413</v>
      </c>
      <c r="Q342" s="484">
        <v>336.67839999999967</v>
      </c>
      <c r="R342" s="804"/>
      <c r="S342" s="415"/>
    </row>
    <row r="343" spans="1:19" s="296" customFormat="1" ht="15" customHeight="1">
      <c r="A343" s="411">
        <v>329</v>
      </c>
      <c r="B343" s="413" t="s">
        <v>2586</v>
      </c>
      <c r="C343" s="411">
        <f t="shared" si="7"/>
        <v>329</v>
      </c>
      <c r="D343" s="443" t="s">
        <v>2189</v>
      </c>
      <c r="E343" s="412" t="s">
        <v>165</v>
      </c>
      <c r="F343" s="912">
        <v>4.8901300000000002E-2</v>
      </c>
      <c r="G343" s="480">
        <v>2538.48</v>
      </c>
      <c r="H343" s="414">
        <v>487.2</v>
      </c>
      <c r="I343" s="413" t="s">
        <v>481</v>
      </c>
      <c r="J343" s="411">
        <v>1</v>
      </c>
      <c r="K343" s="411" t="s">
        <v>642</v>
      </c>
      <c r="L343" s="482">
        <v>348</v>
      </c>
      <c r="M343" s="461" t="s">
        <v>2412</v>
      </c>
      <c r="N343" s="483">
        <v>67.071199999999919</v>
      </c>
      <c r="O343" s="483">
        <v>134.15400000000011</v>
      </c>
      <c r="P343" s="913" t="s">
        <v>2413</v>
      </c>
      <c r="Q343" s="484">
        <v>336.67839999999967</v>
      </c>
      <c r="R343" s="497"/>
      <c r="S343" s="415"/>
    </row>
    <row r="344" spans="1:19" s="296" customFormat="1" ht="15" customHeight="1">
      <c r="A344" s="233">
        <v>330</v>
      </c>
      <c r="B344" s="413" t="s">
        <v>2587</v>
      </c>
      <c r="C344" s="411">
        <f t="shared" si="7"/>
        <v>330</v>
      </c>
      <c r="D344" s="443" t="s">
        <v>2189</v>
      </c>
      <c r="E344" s="412" t="s">
        <v>166</v>
      </c>
      <c r="F344" s="912">
        <v>4.8901300000000002E-2</v>
      </c>
      <c r="G344" s="480">
        <v>2538.48</v>
      </c>
      <c r="H344" s="414">
        <v>487.2</v>
      </c>
      <c r="I344" s="413" t="s">
        <v>481</v>
      </c>
      <c r="J344" s="411">
        <v>1</v>
      </c>
      <c r="K344" s="411" t="s">
        <v>643</v>
      </c>
      <c r="L344" s="482">
        <v>348</v>
      </c>
      <c r="M344" s="461" t="s">
        <v>2412</v>
      </c>
      <c r="N344" s="483">
        <v>67.071199999999919</v>
      </c>
      <c r="O344" s="483">
        <v>134.15400000000011</v>
      </c>
      <c r="P344" s="913" t="s">
        <v>2413</v>
      </c>
      <c r="Q344" s="484">
        <v>336.67839999999967</v>
      </c>
      <c r="R344" s="497"/>
      <c r="S344" s="415"/>
    </row>
    <row r="345" spans="1:19" s="296" customFormat="1" ht="15" customHeight="1">
      <c r="A345" s="411">
        <v>331</v>
      </c>
      <c r="B345" s="413" t="s">
        <v>2588</v>
      </c>
      <c r="C345" s="411">
        <f t="shared" si="7"/>
        <v>331</v>
      </c>
      <c r="D345" s="443" t="s">
        <v>2189</v>
      </c>
      <c r="E345" s="412" t="s">
        <v>167</v>
      </c>
      <c r="F345" s="912">
        <v>4.0209799999999997E-2</v>
      </c>
      <c r="G345" s="480">
        <v>2538.48</v>
      </c>
      <c r="H345" s="414">
        <v>487.2</v>
      </c>
      <c r="I345" s="413" t="s">
        <v>481</v>
      </c>
      <c r="J345" s="411">
        <v>1</v>
      </c>
      <c r="K345" s="411" t="s">
        <v>644</v>
      </c>
      <c r="L345" s="482">
        <v>348</v>
      </c>
      <c r="M345" s="461" t="s">
        <v>2412</v>
      </c>
      <c r="N345" s="483">
        <v>67.071199999999919</v>
      </c>
      <c r="O345" s="483">
        <v>134.15400000000011</v>
      </c>
      <c r="P345" s="913" t="s">
        <v>2413</v>
      </c>
      <c r="Q345" s="484">
        <v>336.67839999999967</v>
      </c>
      <c r="R345" s="497"/>
      <c r="S345" s="415"/>
    </row>
    <row r="346" spans="1:19" s="296" customFormat="1" ht="15" customHeight="1">
      <c r="A346" s="411">
        <v>332</v>
      </c>
      <c r="B346" s="413" t="s">
        <v>2589</v>
      </c>
      <c r="C346" s="411">
        <f t="shared" si="7"/>
        <v>332</v>
      </c>
      <c r="D346" s="443" t="s">
        <v>2189</v>
      </c>
      <c r="E346" s="412" t="s">
        <v>168</v>
      </c>
      <c r="F346" s="912">
        <v>4.3971900000000001E-2</v>
      </c>
      <c r="G346" s="480">
        <v>2538.48</v>
      </c>
      <c r="H346" s="414">
        <v>487.2</v>
      </c>
      <c r="I346" s="413" t="s">
        <v>481</v>
      </c>
      <c r="J346" s="411">
        <v>1</v>
      </c>
      <c r="K346" s="411" t="s">
        <v>645</v>
      </c>
      <c r="L346" s="482">
        <v>348</v>
      </c>
      <c r="M346" s="461" t="s">
        <v>2412</v>
      </c>
      <c r="N346" s="483">
        <v>67.071199999999919</v>
      </c>
      <c r="O346" s="483">
        <v>134.15400000000011</v>
      </c>
      <c r="P346" s="913" t="s">
        <v>2413</v>
      </c>
      <c r="Q346" s="484">
        <v>336.67839999999967</v>
      </c>
      <c r="R346" s="497"/>
      <c r="S346" s="415"/>
    </row>
    <row r="347" spans="1:19" s="296" customFormat="1" ht="15" customHeight="1">
      <c r="A347" s="233">
        <v>333</v>
      </c>
      <c r="B347" s="413" t="s">
        <v>2590</v>
      </c>
      <c r="C347" s="411">
        <f t="shared" si="7"/>
        <v>333</v>
      </c>
      <c r="D347" s="443" t="s">
        <v>2189</v>
      </c>
      <c r="E347" s="412" t="s">
        <v>169</v>
      </c>
      <c r="F347" s="912">
        <v>4.0339900000000005E-2</v>
      </c>
      <c r="G347" s="480">
        <v>2538.48</v>
      </c>
      <c r="H347" s="414">
        <v>487.2</v>
      </c>
      <c r="I347" s="413" t="s">
        <v>481</v>
      </c>
      <c r="J347" s="411">
        <v>1</v>
      </c>
      <c r="K347" s="411" t="s">
        <v>646</v>
      </c>
      <c r="L347" s="482">
        <v>348</v>
      </c>
      <c r="M347" s="461" t="s">
        <v>2412</v>
      </c>
      <c r="N347" s="483">
        <v>67.071199999999919</v>
      </c>
      <c r="O347" s="483">
        <v>134.15400000000011</v>
      </c>
      <c r="P347" s="913" t="s">
        <v>2413</v>
      </c>
      <c r="Q347" s="484">
        <v>336.67839999999967</v>
      </c>
      <c r="R347" s="497"/>
      <c r="S347" s="415"/>
    </row>
    <row r="348" spans="1:19" s="296" customFormat="1" ht="15" customHeight="1">
      <c r="A348" s="411">
        <v>334</v>
      </c>
      <c r="B348" s="413" t="s">
        <v>2591</v>
      </c>
      <c r="C348" s="411">
        <f t="shared" si="7"/>
        <v>334</v>
      </c>
      <c r="D348" s="443" t="s">
        <v>2189</v>
      </c>
      <c r="E348" s="412" t="s">
        <v>170</v>
      </c>
      <c r="F348" s="912">
        <v>6.3891299999999998E-2</v>
      </c>
      <c r="G348" s="480">
        <v>3463.0023344000001</v>
      </c>
      <c r="H348" s="414">
        <v>487.2</v>
      </c>
      <c r="I348" s="413" t="s">
        <v>533</v>
      </c>
      <c r="J348" s="411">
        <v>2</v>
      </c>
      <c r="K348" s="411" t="s">
        <v>647</v>
      </c>
      <c r="L348" s="482">
        <v>348</v>
      </c>
      <c r="M348" s="461" t="s">
        <v>2412</v>
      </c>
      <c r="N348" s="483">
        <v>121.62599999999989</v>
      </c>
      <c r="O348" s="483">
        <v>243.24040000000008</v>
      </c>
      <c r="P348" s="913" t="s">
        <v>2413</v>
      </c>
      <c r="Q348" s="484">
        <v>336.67839999999967</v>
      </c>
      <c r="R348" s="497"/>
      <c r="S348" s="415"/>
    </row>
    <row r="349" spans="1:19" s="296" customFormat="1" ht="15" customHeight="1">
      <c r="A349" s="411">
        <v>335</v>
      </c>
      <c r="B349" s="413" t="s">
        <v>2592</v>
      </c>
      <c r="C349" s="411">
        <f t="shared" si="7"/>
        <v>335</v>
      </c>
      <c r="D349" s="443" t="s">
        <v>2189</v>
      </c>
      <c r="E349" s="412" t="s">
        <v>171</v>
      </c>
      <c r="F349" s="912">
        <v>6.3663200000000003E-2</v>
      </c>
      <c r="G349" s="480">
        <v>3463.0023344000001</v>
      </c>
      <c r="H349" s="414">
        <v>487.2</v>
      </c>
      <c r="I349" s="413" t="s">
        <v>533</v>
      </c>
      <c r="J349" s="411">
        <v>2</v>
      </c>
      <c r="K349" s="411" t="s">
        <v>648</v>
      </c>
      <c r="L349" s="482">
        <v>348</v>
      </c>
      <c r="M349" s="461" t="s">
        <v>2412</v>
      </c>
      <c r="N349" s="483">
        <v>121.62599999999989</v>
      </c>
      <c r="O349" s="483">
        <v>243.24040000000008</v>
      </c>
      <c r="P349" s="913" t="s">
        <v>2413</v>
      </c>
      <c r="Q349" s="484">
        <v>336.67839999999967</v>
      </c>
      <c r="R349" s="497"/>
      <c r="S349" s="415"/>
    </row>
    <row r="350" spans="1:19" s="296" customFormat="1" ht="15" customHeight="1">
      <c r="A350" s="233">
        <v>336</v>
      </c>
      <c r="B350" s="413" t="s">
        <v>2593</v>
      </c>
      <c r="C350" s="411">
        <f t="shared" si="7"/>
        <v>336</v>
      </c>
      <c r="D350" s="443" t="s">
        <v>2189</v>
      </c>
      <c r="E350" s="412" t="s">
        <v>172</v>
      </c>
      <c r="F350" s="912">
        <v>6.2548500000000007E-2</v>
      </c>
      <c r="G350" s="480">
        <v>3463.0023344000001</v>
      </c>
      <c r="H350" s="414">
        <v>487.2</v>
      </c>
      <c r="I350" s="413" t="s">
        <v>533</v>
      </c>
      <c r="J350" s="411">
        <v>2</v>
      </c>
      <c r="K350" s="411" t="s">
        <v>649</v>
      </c>
      <c r="L350" s="482">
        <v>348</v>
      </c>
      <c r="M350" s="461" t="s">
        <v>2412</v>
      </c>
      <c r="N350" s="483">
        <v>121.62599999999989</v>
      </c>
      <c r="O350" s="483">
        <v>243.24040000000008</v>
      </c>
      <c r="P350" s="913" t="s">
        <v>2413</v>
      </c>
      <c r="Q350" s="484">
        <v>336.67839999999967</v>
      </c>
      <c r="R350" s="497"/>
      <c r="S350" s="415"/>
    </row>
    <row r="351" spans="1:19" s="296" customFormat="1" ht="15" customHeight="1">
      <c r="A351" s="411">
        <v>337</v>
      </c>
      <c r="B351" s="413" t="s">
        <v>2594</v>
      </c>
      <c r="C351" s="411">
        <f t="shared" si="7"/>
        <v>337</v>
      </c>
      <c r="D351" s="443" t="s">
        <v>2189</v>
      </c>
      <c r="E351" s="412" t="s">
        <v>173</v>
      </c>
      <c r="F351" s="912">
        <v>6.2548500000000007E-2</v>
      </c>
      <c r="G351" s="480">
        <v>3463.0023344000001</v>
      </c>
      <c r="H351" s="414">
        <v>487.2</v>
      </c>
      <c r="I351" s="413" t="s">
        <v>533</v>
      </c>
      <c r="J351" s="411">
        <v>2</v>
      </c>
      <c r="K351" s="411" t="s">
        <v>650</v>
      </c>
      <c r="L351" s="482">
        <v>348</v>
      </c>
      <c r="M351" s="461" t="s">
        <v>2412</v>
      </c>
      <c r="N351" s="483">
        <v>121.62599999999989</v>
      </c>
      <c r="O351" s="483">
        <v>243.24040000000008</v>
      </c>
      <c r="P351" s="913" t="s">
        <v>2413</v>
      </c>
      <c r="Q351" s="484">
        <v>336.67839999999967</v>
      </c>
      <c r="R351" s="497"/>
      <c r="S351" s="415"/>
    </row>
    <row r="352" spans="1:19" s="296" customFormat="1" ht="15" customHeight="1">
      <c r="A352" s="411">
        <v>338</v>
      </c>
      <c r="B352" s="413" t="s">
        <v>2595</v>
      </c>
      <c r="C352" s="411">
        <f t="shared" si="7"/>
        <v>338</v>
      </c>
      <c r="D352" s="443" t="s">
        <v>2189</v>
      </c>
      <c r="E352" s="412" t="s">
        <v>174</v>
      </c>
      <c r="F352" s="912">
        <v>6.2548500000000007E-2</v>
      </c>
      <c r="G352" s="480">
        <v>3463.0023344000001</v>
      </c>
      <c r="H352" s="414">
        <v>487.2</v>
      </c>
      <c r="I352" s="413" t="s">
        <v>533</v>
      </c>
      <c r="J352" s="411">
        <v>2</v>
      </c>
      <c r="K352" s="411" t="s">
        <v>651</v>
      </c>
      <c r="L352" s="482">
        <v>348</v>
      </c>
      <c r="M352" s="461" t="s">
        <v>2412</v>
      </c>
      <c r="N352" s="483">
        <v>121.62599999999989</v>
      </c>
      <c r="O352" s="483">
        <v>243.24040000000008</v>
      </c>
      <c r="P352" s="913" t="s">
        <v>2413</v>
      </c>
      <c r="Q352" s="484">
        <v>336.67839999999967</v>
      </c>
      <c r="R352" s="497"/>
      <c r="S352" s="415"/>
    </row>
    <row r="353" spans="1:19" s="296" customFormat="1" ht="15" customHeight="1">
      <c r="A353" s="233">
        <v>339</v>
      </c>
      <c r="B353" s="413" t="s">
        <v>2596</v>
      </c>
      <c r="C353" s="411">
        <f t="shared" si="7"/>
        <v>339</v>
      </c>
      <c r="D353" s="443" t="s">
        <v>2189</v>
      </c>
      <c r="E353" s="412" t="s">
        <v>175</v>
      </c>
      <c r="F353" s="912">
        <v>6.2548500000000007E-2</v>
      </c>
      <c r="G353" s="480">
        <v>3463.0023344000001</v>
      </c>
      <c r="H353" s="414">
        <v>487.2</v>
      </c>
      <c r="I353" s="413" t="s">
        <v>533</v>
      </c>
      <c r="J353" s="411">
        <v>2</v>
      </c>
      <c r="K353" s="411" t="s">
        <v>652</v>
      </c>
      <c r="L353" s="482">
        <v>348</v>
      </c>
      <c r="M353" s="461" t="s">
        <v>2412</v>
      </c>
      <c r="N353" s="483">
        <v>121.62599999999989</v>
      </c>
      <c r="O353" s="483">
        <v>243.24040000000008</v>
      </c>
      <c r="P353" s="913" t="s">
        <v>2413</v>
      </c>
      <c r="Q353" s="484">
        <v>336.67839999999967</v>
      </c>
      <c r="R353" s="497"/>
      <c r="S353" s="415"/>
    </row>
    <row r="354" spans="1:19" s="296" customFormat="1" ht="15" customHeight="1">
      <c r="A354" s="411">
        <v>340</v>
      </c>
      <c r="B354" s="413" t="s">
        <v>2597</v>
      </c>
      <c r="C354" s="411">
        <f t="shared" si="7"/>
        <v>340</v>
      </c>
      <c r="D354" s="443" t="s">
        <v>2189</v>
      </c>
      <c r="E354" s="412" t="s">
        <v>176</v>
      </c>
      <c r="F354" s="912">
        <v>6.2548500000000007E-2</v>
      </c>
      <c r="G354" s="480">
        <v>3463.0023344000001</v>
      </c>
      <c r="H354" s="414">
        <v>487.2</v>
      </c>
      <c r="I354" s="413" t="s">
        <v>533</v>
      </c>
      <c r="J354" s="411">
        <v>2</v>
      </c>
      <c r="K354" s="411" t="s">
        <v>653</v>
      </c>
      <c r="L354" s="482">
        <v>348</v>
      </c>
      <c r="M354" s="461" t="s">
        <v>2412</v>
      </c>
      <c r="N354" s="483">
        <v>121.62599999999989</v>
      </c>
      <c r="O354" s="483">
        <v>243.24040000000008</v>
      </c>
      <c r="P354" s="913" t="s">
        <v>2413</v>
      </c>
      <c r="Q354" s="484">
        <v>336.67839999999967</v>
      </c>
      <c r="R354" s="497"/>
      <c r="S354" s="415"/>
    </row>
    <row r="355" spans="1:19" s="296" customFormat="1" ht="15" customHeight="1">
      <c r="A355" s="411">
        <v>341</v>
      </c>
      <c r="B355" s="413" t="s">
        <v>2598</v>
      </c>
      <c r="C355" s="411">
        <f t="shared" si="7"/>
        <v>341</v>
      </c>
      <c r="D355" s="443" t="s">
        <v>2189</v>
      </c>
      <c r="E355" s="412" t="s">
        <v>177</v>
      </c>
      <c r="F355" s="912">
        <v>6.3663200000000003E-2</v>
      </c>
      <c r="G355" s="480">
        <v>3463.0023344000001</v>
      </c>
      <c r="H355" s="414">
        <v>487.2</v>
      </c>
      <c r="I355" s="413" t="s">
        <v>533</v>
      </c>
      <c r="J355" s="411">
        <v>2</v>
      </c>
      <c r="K355" s="411" t="s">
        <v>654</v>
      </c>
      <c r="L355" s="482">
        <v>348</v>
      </c>
      <c r="M355" s="461" t="s">
        <v>2412</v>
      </c>
      <c r="N355" s="483">
        <v>121.62599999999989</v>
      </c>
      <c r="O355" s="483">
        <v>243.24040000000008</v>
      </c>
      <c r="P355" s="913" t="s">
        <v>2413</v>
      </c>
      <c r="Q355" s="484">
        <v>336.67839999999967</v>
      </c>
      <c r="R355" s="497"/>
      <c r="S355" s="415"/>
    </row>
    <row r="356" spans="1:19" s="296" customFormat="1" ht="15" customHeight="1">
      <c r="A356" s="233">
        <v>342</v>
      </c>
      <c r="B356" s="413" t="s">
        <v>2599</v>
      </c>
      <c r="C356" s="411">
        <f t="shared" si="7"/>
        <v>342</v>
      </c>
      <c r="D356" s="443" t="s">
        <v>2189</v>
      </c>
      <c r="E356" s="412" t="s">
        <v>178</v>
      </c>
      <c r="F356" s="912">
        <v>6.3663200000000003E-2</v>
      </c>
      <c r="G356" s="480">
        <v>3463.0023344000001</v>
      </c>
      <c r="H356" s="414">
        <v>487.2</v>
      </c>
      <c r="I356" s="413" t="s">
        <v>533</v>
      </c>
      <c r="J356" s="411">
        <v>2</v>
      </c>
      <c r="K356" s="411" t="s">
        <v>655</v>
      </c>
      <c r="L356" s="482">
        <v>348</v>
      </c>
      <c r="M356" s="461" t="s">
        <v>2412</v>
      </c>
      <c r="N356" s="483">
        <v>121.62599999999989</v>
      </c>
      <c r="O356" s="483">
        <v>243.24040000000008</v>
      </c>
      <c r="P356" s="913" t="s">
        <v>2413</v>
      </c>
      <c r="Q356" s="484">
        <v>336.67839999999967</v>
      </c>
      <c r="R356" s="497"/>
      <c r="S356" s="415"/>
    </row>
    <row r="357" spans="1:19" s="296" customFormat="1" ht="15" customHeight="1">
      <c r="A357" s="411">
        <v>343</v>
      </c>
      <c r="B357" s="413" t="s">
        <v>3429</v>
      </c>
      <c r="C357" s="411">
        <f t="shared" si="7"/>
        <v>343</v>
      </c>
      <c r="D357" s="443" t="s">
        <v>2189</v>
      </c>
      <c r="E357" s="412" t="s">
        <v>3598</v>
      </c>
      <c r="F357" s="912">
        <v>3.1363000000000002E-2</v>
      </c>
      <c r="G357" s="480">
        <v>7453.37</v>
      </c>
      <c r="H357" s="414">
        <v>487.2</v>
      </c>
      <c r="I357" s="413" t="s">
        <v>3620</v>
      </c>
      <c r="J357" s="411">
        <v>3</v>
      </c>
      <c r="K357" s="411" t="s">
        <v>3512</v>
      </c>
      <c r="L357" s="482">
        <v>348</v>
      </c>
      <c r="M357" s="461" t="s">
        <v>2412</v>
      </c>
      <c r="N357" s="483">
        <v>298.14</v>
      </c>
      <c r="O357" s="483">
        <v>596.29</v>
      </c>
      <c r="P357" s="913" t="s">
        <v>2413</v>
      </c>
      <c r="Q357" s="484">
        <v>0</v>
      </c>
      <c r="R357" s="497"/>
      <c r="S357" s="415"/>
    </row>
    <row r="358" spans="1:19" s="296" customFormat="1" ht="15" customHeight="1">
      <c r="A358" s="411">
        <v>344</v>
      </c>
      <c r="B358" s="413" t="s">
        <v>3430</v>
      </c>
      <c r="C358" s="411">
        <f t="shared" si="7"/>
        <v>344</v>
      </c>
      <c r="D358" s="443" t="s">
        <v>2189</v>
      </c>
      <c r="E358" s="412" t="s">
        <v>3599</v>
      </c>
      <c r="F358" s="912">
        <v>3.1363000000000002E-2</v>
      </c>
      <c r="G358" s="480">
        <v>7453.37</v>
      </c>
      <c r="H358" s="414">
        <v>487.2</v>
      </c>
      <c r="I358" s="413" t="s">
        <v>3620</v>
      </c>
      <c r="J358" s="411">
        <v>3</v>
      </c>
      <c r="K358" s="411" t="s">
        <v>3513</v>
      </c>
      <c r="L358" s="482">
        <v>348</v>
      </c>
      <c r="M358" s="461" t="s">
        <v>2412</v>
      </c>
      <c r="N358" s="483">
        <v>298.14</v>
      </c>
      <c r="O358" s="483">
        <v>596.29</v>
      </c>
      <c r="P358" s="913" t="s">
        <v>2413</v>
      </c>
      <c r="Q358" s="484">
        <v>0</v>
      </c>
      <c r="R358" s="497"/>
      <c r="S358" s="415"/>
    </row>
    <row r="359" spans="1:19" s="296" customFormat="1" ht="15" customHeight="1">
      <c r="A359" s="233">
        <v>345</v>
      </c>
      <c r="B359" s="413" t="s">
        <v>2600</v>
      </c>
      <c r="C359" s="411">
        <f t="shared" si="7"/>
        <v>345</v>
      </c>
      <c r="D359" s="443" t="s">
        <v>2189</v>
      </c>
      <c r="E359" s="412" t="s">
        <v>179</v>
      </c>
      <c r="F359" s="912">
        <v>6.2548500000000007E-2</v>
      </c>
      <c r="G359" s="480">
        <v>3463.0023344000001</v>
      </c>
      <c r="H359" s="414">
        <v>487.2</v>
      </c>
      <c r="I359" s="413" t="s">
        <v>533</v>
      </c>
      <c r="J359" s="411">
        <v>2</v>
      </c>
      <c r="K359" s="411" t="s">
        <v>656</v>
      </c>
      <c r="L359" s="482">
        <v>348</v>
      </c>
      <c r="M359" s="461" t="s">
        <v>2412</v>
      </c>
      <c r="N359" s="483">
        <v>121.62599999999989</v>
      </c>
      <c r="O359" s="483">
        <v>243.24040000000008</v>
      </c>
      <c r="P359" s="913" t="s">
        <v>2413</v>
      </c>
      <c r="Q359" s="484">
        <v>336.67839999999967</v>
      </c>
      <c r="R359" s="497"/>
      <c r="S359" s="415"/>
    </row>
    <row r="360" spans="1:19" ht="15" customHeight="1">
      <c r="A360" s="411">
        <v>346</v>
      </c>
      <c r="B360" s="413" t="s">
        <v>2601</v>
      </c>
      <c r="C360" s="411">
        <f t="shared" si="7"/>
        <v>346</v>
      </c>
      <c r="D360" s="443" t="s">
        <v>2189</v>
      </c>
      <c r="E360" s="412" t="s">
        <v>180</v>
      </c>
      <c r="F360" s="912">
        <v>6.2548500000000007E-2</v>
      </c>
      <c r="G360" s="480">
        <v>3463.0023344000001</v>
      </c>
      <c r="H360" s="414">
        <v>487.2</v>
      </c>
      <c r="I360" s="413" t="s">
        <v>533</v>
      </c>
      <c r="J360" s="411">
        <v>2</v>
      </c>
      <c r="K360" s="411" t="s">
        <v>657</v>
      </c>
      <c r="L360" s="482">
        <v>348</v>
      </c>
      <c r="M360" s="461" t="s">
        <v>2412</v>
      </c>
      <c r="N360" s="483">
        <v>121.62599999999989</v>
      </c>
      <c r="O360" s="483">
        <v>243.24040000000008</v>
      </c>
      <c r="P360" s="913" t="s">
        <v>2413</v>
      </c>
      <c r="Q360" s="484">
        <v>336.67839999999967</v>
      </c>
      <c r="R360" s="497"/>
    </row>
    <row r="361" spans="1:19" ht="15" customHeight="1">
      <c r="A361" s="411">
        <v>347</v>
      </c>
      <c r="B361" s="413" t="s">
        <v>2602</v>
      </c>
      <c r="C361" s="411">
        <f t="shared" si="7"/>
        <v>347</v>
      </c>
      <c r="D361" s="443" t="s">
        <v>2189</v>
      </c>
      <c r="E361" s="412" t="s">
        <v>2339</v>
      </c>
      <c r="F361" s="912">
        <v>6.2690999999999997E-2</v>
      </c>
      <c r="G361" s="480">
        <v>3463.0023344000001</v>
      </c>
      <c r="H361" s="414">
        <v>487.2</v>
      </c>
      <c r="I361" s="413" t="s">
        <v>533</v>
      </c>
      <c r="J361" s="411">
        <v>2</v>
      </c>
      <c r="K361" s="411" t="s">
        <v>658</v>
      </c>
      <c r="L361" s="482">
        <v>348</v>
      </c>
      <c r="M361" s="461" t="s">
        <v>2412</v>
      </c>
      <c r="N361" s="483">
        <v>121.62599999999989</v>
      </c>
      <c r="O361" s="483">
        <v>243.24040000000008</v>
      </c>
      <c r="P361" s="913" t="s">
        <v>2413</v>
      </c>
      <c r="Q361" s="484">
        <v>336.67839999999967</v>
      </c>
      <c r="R361" s="497"/>
    </row>
    <row r="362" spans="1:19" ht="15" customHeight="1">
      <c r="A362" s="233">
        <v>348</v>
      </c>
      <c r="B362" s="413" t="s">
        <v>2603</v>
      </c>
      <c r="C362" s="411">
        <f t="shared" si="7"/>
        <v>348</v>
      </c>
      <c r="D362" s="443" t="s">
        <v>2189</v>
      </c>
      <c r="E362" s="412" t="s">
        <v>2340</v>
      </c>
      <c r="F362" s="912">
        <v>6.2548500000000007E-2</v>
      </c>
      <c r="G362" s="480">
        <v>3463.0023344000001</v>
      </c>
      <c r="H362" s="414">
        <v>487.2</v>
      </c>
      <c r="I362" s="413" t="s">
        <v>533</v>
      </c>
      <c r="J362" s="411">
        <v>2</v>
      </c>
      <c r="K362" s="411" t="s">
        <v>659</v>
      </c>
      <c r="L362" s="482">
        <v>348</v>
      </c>
      <c r="M362" s="461" t="s">
        <v>2412</v>
      </c>
      <c r="N362" s="483">
        <v>121.62599999999989</v>
      </c>
      <c r="O362" s="483">
        <v>243.24040000000008</v>
      </c>
      <c r="P362" s="913" t="s">
        <v>2413</v>
      </c>
      <c r="Q362" s="484">
        <v>336.67839999999967</v>
      </c>
      <c r="R362" s="497"/>
    </row>
    <row r="363" spans="1:19" ht="15" customHeight="1">
      <c r="A363" s="411">
        <v>349</v>
      </c>
      <c r="B363" s="413" t="s">
        <v>2604</v>
      </c>
      <c r="C363" s="411">
        <f t="shared" si="7"/>
        <v>349</v>
      </c>
      <c r="D363" s="443" t="s">
        <v>2189</v>
      </c>
      <c r="E363" s="412" t="s">
        <v>181</v>
      </c>
      <c r="F363" s="912">
        <v>6.2548500000000007E-2</v>
      </c>
      <c r="G363" s="480">
        <v>3463.0023344000001</v>
      </c>
      <c r="H363" s="414">
        <v>487.2</v>
      </c>
      <c r="I363" s="413" t="s">
        <v>533</v>
      </c>
      <c r="J363" s="411">
        <v>2</v>
      </c>
      <c r="K363" s="411" t="s">
        <v>660</v>
      </c>
      <c r="L363" s="482">
        <v>348</v>
      </c>
      <c r="M363" s="461" t="s">
        <v>2412</v>
      </c>
      <c r="N363" s="483">
        <v>121.62599999999989</v>
      </c>
      <c r="O363" s="483">
        <v>243.24040000000008</v>
      </c>
      <c r="P363" s="913" t="s">
        <v>2413</v>
      </c>
      <c r="Q363" s="484">
        <v>336.67839999999967</v>
      </c>
      <c r="R363" s="497"/>
    </row>
    <row r="364" spans="1:19" ht="15" customHeight="1">
      <c r="A364" s="411">
        <v>350</v>
      </c>
      <c r="B364" s="413" t="s">
        <v>2605</v>
      </c>
      <c r="C364" s="411">
        <f t="shared" si="7"/>
        <v>350</v>
      </c>
      <c r="D364" s="443" t="s">
        <v>2189</v>
      </c>
      <c r="E364" s="412" t="s">
        <v>2360</v>
      </c>
      <c r="F364" s="912">
        <v>6.2548500000000007E-2</v>
      </c>
      <c r="G364" s="480">
        <v>3463.0023344000001</v>
      </c>
      <c r="H364" s="414">
        <v>487.2</v>
      </c>
      <c r="I364" s="413" t="s">
        <v>533</v>
      </c>
      <c r="J364" s="411">
        <v>2</v>
      </c>
      <c r="K364" s="411" t="s">
        <v>2361</v>
      </c>
      <c r="L364" s="482">
        <v>348</v>
      </c>
      <c r="M364" s="461" t="s">
        <v>2412</v>
      </c>
      <c r="N364" s="483">
        <v>121.62599999999989</v>
      </c>
      <c r="O364" s="483">
        <v>243.24040000000008</v>
      </c>
      <c r="P364" s="913" t="s">
        <v>2413</v>
      </c>
      <c r="Q364" s="484">
        <v>336.67839999999967</v>
      </c>
      <c r="R364" s="497"/>
    </row>
    <row r="365" spans="1:19" ht="15" customHeight="1">
      <c r="A365" s="233">
        <v>351</v>
      </c>
      <c r="B365" s="413" t="s">
        <v>2606</v>
      </c>
      <c r="C365" s="411">
        <f t="shared" si="7"/>
        <v>351</v>
      </c>
      <c r="D365" s="443" t="s">
        <v>2189</v>
      </c>
      <c r="E365" s="412" t="s">
        <v>2362</v>
      </c>
      <c r="F365" s="912">
        <v>6.2548500000000007E-2</v>
      </c>
      <c r="G365" s="480">
        <v>3463.0023344000001</v>
      </c>
      <c r="H365" s="414">
        <v>487.2</v>
      </c>
      <c r="I365" s="413" t="s">
        <v>533</v>
      </c>
      <c r="J365" s="411">
        <v>2</v>
      </c>
      <c r="K365" s="411" t="s">
        <v>2363</v>
      </c>
      <c r="L365" s="482">
        <v>348</v>
      </c>
      <c r="M365" s="461" t="s">
        <v>2412</v>
      </c>
      <c r="N365" s="483">
        <v>121.62599999999989</v>
      </c>
      <c r="O365" s="483">
        <v>243.24040000000008</v>
      </c>
      <c r="P365" s="913" t="s">
        <v>2413</v>
      </c>
      <c r="Q365" s="484">
        <v>336.67839999999967</v>
      </c>
      <c r="R365" s="497"/>
    </row>
    <row r="366" spans="1:19" ht="15" customHeight="1">
      <c r="A366" s="411">
        <v>352</v>
      </c>
      <c r="B366" s="413" t="s">
        <v>2607</v>
      </c>
      <c r="C366" s="411">
        <f t="shared" si="7"/>
        <v>352</v>
      </c>
      <c r="D366" s="443" t="s">
        <v>2189</v>
      </c>
      <c r="E366" s="412" t="s">
        <v>2364</v>
      </c>
      <c r="F366" s="912">
        <v>6.2548500000000007E-2</v>
      </c>
      <c r="G366" s="480">
        <v>3463.0023344000001</v>
      </c>
      <c r="H366" s="414">
        <v>487.2</v>
      </c>
      <c r="I366" s="413" t="s">
        <v>533</v>
      </c>
      <c r="J366" s="411">
        <v>2</v>
      </c>
      <c r="K366" s="411" t="s">
        <v>2365</v>
      </c>
      <c r="L366" s="482">
        <v>348</v>
      </c>
      <c r="M366" s="461" t="s">
        <v>2412</v>
      </c>
      <c r="N366" s="483">
        <v>121.62599999999989</v>
      </c>
      <c r="O366" s="483">
        <v>243.24040000000008</v>
      </c>
      <c r="P366" s="913" t="s">
        <v>2413</v>
      </c>
      <c r="Q366" s="484">
        <v>336.67839999999967</v>
      </c>
      <c r="R366" s="497"/>
    </row>
    <row r="367" spans="1:19" ht="15" customHeight="1">
      <c r="A367" s="411">
        <v>353</v>
      </c>
      <c r="B367" s="413" t="s">
        <v>4121</v>
      </c>
      <c r="C367" s="411">
        <f t="shared" si="7"/>
        <v>353</v>
      </c>
      <c r="D367" s="443" t="s">
        <v>2189</v>
      </c>
      <c r="E367" s="412" t="s">
        <v>4122</v>
      </c>
      <c r="F367" s="912">
        <v>6.3663200000000003E-2</v>
      </c>
      <c r="G367" s="480">
        <v>3463.0023344000001</v>
      </c>
      <c r="H367" s="414">
        <v>487.2</v>
      </c>
      <c r="I367" s="413" t="s">
        <v>533</v>
      </c>
      <c r="J367" s="411">
        <v>2</v>
      </c>
      <c r="K367" s="411" t="s">
        <v>4123</v>
      </c>
      <c r="L367" s="482">
        <v>348</v>
      </c>
      <c r="M367" s="461" t="s">
        <v>2412</v>
      </c>
      <c r="N367" s="483">
        <v>121.62599999999989</v>
      </c>
      <c r="O367" s="483">
        <v>243.24040000000008</v>
      </c>
      <c r="P367" s="913" t="s">
        <v>2413</v>
      </c>
      <c r="Q367" s="484">
        <v>336.67839999999967</v>
      </c>
      <c r="R367" s="497"/>
    </row>
    <row r="368" spans="1:19" ht="15" customHeight="1">
      <c r="A368" s="233">
        <v>354</v>
      </c>
      <c r="B368" s="413" t="s">
        <v>2608</v>
      </c>
      <c r="C368" s="411">
        <f t="shared" si="7"/>
        <v>354</v>
      </c>
      <c r="D368" s="443" t="s">
        <v>2189</v>
      </c>
      <c r="E368" s="412" t="s">
        <v>182</v>
      </c>
      <c r="F368" s="912">
        <v>6.2548500000000007E-2</v>
      </c>
      <c r="G368" s="480">
        <v>3463.0023344000001</v>
      </c>
      <c r="H368" s="414">
        <v>487.2</v>
      </c>
      <c r="I368" s="413" t="s">
        <v>533</v>
      </c>
      <c r="J368" s="411">
        <v>2</v>
      </c>
      <c r="K368" s="411" t="s">
        <v>661</v>
      </c>
      <c r="L368" s="482">
        <v>348</v>
      </c>
      <c r="M368" s="461" t="s">
        <v>2412</v>
      </c>
      <c r="N368" s="483">
        <v>121.62599999999989</v>
      </c>
      <c r="O368" s="483">
        <v>243.24040000000008</v>
      </c>
      <c r="P368" s="913" t="s">
        <v>2413</v>
      </c>
      <c r="Q368" s="484">
        <v>336.67839999999967</v>
      </c>
      <c r="R368" s="497"/>
    </row>
    <row r="369" spans="1:18" ht="15" customHeight="1">
      <c r="A369" s="411">
        <v>355</v>
      </c>
      <c r="B369" s="413" t="s">
        <v>2609</v>
      </c>
      <c r="C369" s="411">
        <f t="shared" si="7"/>
        <v>355</v>
      </c>
      <c r="D369" s="443" t="s">
        <v>2189</v>
      </c>
      <c r="E369" s="412" t="s">
        <v>183</v>
      </c>
      <c r="F369" s="912">
        <v>4.5063300000000001E-2</v>
      </c>
      <c r="G369" s="480">
        <v>3463.0023344000001</v>
      </c>
      <c r="H369" s="414">
        <v>487.2</v>
      </c>
      <c r="I369" s="413" t="s">
        <v>533</v>
      </c>
      <c r="J369" s="411">
        <v>2</v>
      </c>
      <c r="K369" s="411" t="s">
        <v>662</v>
      </c>
      <c r="L369" s="482">
        <v>348</v>
      </c>
      <c r="M369" s="461" t="s">
        <v>2412</v>
      </c>
      <c r="N369" s="483">
        <v>121.62599999999989</v>
      </c>
      <c r="O369" s="483">
        <v>243.24040000000008</v>
      </c>
      <c r="P369" s="913" t="s">
        <v>2413</v>
      </c>
      <c r="Q369" s="484">
        <v>336.67839999999967</v>
      </c>
      <c r="R369" s="497"/>
    </row>
    <row r="370" spans="1:18" ht="15" customHeight="1">
      <c r="A370" s="411">
        <v>356</v>
      </c>
      <c r="B370" s="413" t="s">
        <v>2610</v>
      </c>
      <c r="C370" s="411">
        <f t="shared" si="7"/>
        <v>356</v>
      </c>
      <c r="D370" s="443" t="s">
        <v>2189</v>
      </c>
      <c r="E370" s="412" t="s">
        <v>184</v>
      </c>
      <c r="F370" s="912">
        <v>5.3330700000000002E-2</v>
      </c>
      <c r="G370" s="480">
        <v>2538.48</v>
      </c>
      <c r="H370" s="414">
        <v>487.2</v>
      </c>
      <c r="I370" s="413" t="s">
        <v>481</v>
      </c>
      <c r="J370" s="411">
        <v>1</v>
      </c>
      <c r="K370" s="411" t="s">
        <v>663</v>
      </c>
      <c r="L370" s="482">
        <v>348</v>
      </c>
      <c r="M370" s="461" t="s">
        <v>2412</v>
      </c>
      <c r="N370" s="483">
        <v>67.071199999999919</v>
      </c>
      <c r="O370" s="483">
        <v>134.15400000000011</v>
      </c>
      <c r="P370" s="913" t="s">
        <v>2413</v>
      </c>
      <c r="Q370" s="484">
        <v>336.67839999999967</v>
      </c>
      <c r="R370" s="497"/>
    </row>
    <row r="371" spans="1:18" ht="15" customHeight="1">
      <c r="A371" s="233">
        <v>357</v>
      </c>
      <c r="B371" s="413" t="s">
        <v>2611</v>
      </c>
      <c r="C371" s="411">
        <f t="shared" si="7"/>
        <v>357</v>
      </c>
      <c r="D371" s="443" t="s">
        <v>2189</v>
      </c>
      <c r="E371" s="412" t="s">
        <v>185</v>
      </c>
      <c r="F371" s="912">
        <v>5.2530500000000001E-2</v>
      </c>
      <c r="G371" s="480">
        <v>2538.48</v>
      </c>
      <c r="H371" s="414">
        <v>487.2</v>
      </c>
      <c r="I371" s="413" t="s">
        <v>481</v>
      </c>
      <c r="J371" s="411">
        <v>1</v>
      </c>
      <c r="K371" s="411" t="s">
        <v>664</v>
      </c>
      <c r="L371" s="482">
        <v>348</v>
      </c>
      <c r="M371" s="461" t="s">
        <v>2412</v>
      </c>
      <c r="N371" s="483">
        <v>67.071199999999919</v>
      </c>
      <c r="O371" s="483">
        <v>134.15400000000011</v>
      </c>
      <c r="P371" s="913" t="s">
        <v>2413</v>
      </c>
      <c r="Q371" s="484">
        <v>336.67839999999967</v>
      </c>
      <c r="R371" s="497"/>
    </row>
    <row r="372" spans="1:18" ht="15" customHeight="1">
      <c r="A372" s="411">
        <v>358</v>
      </c>
      <c r="B372" s="413" t="s">
        <v>2612</v>
      </c>
      <c r="C372" s="411">
        <f t="shared" si="7"/>
        <v>358</v>
      </c>
      <c r="D372" s="443" t="s">
        <v>2189</v>
      </c>
      <c r="E372" s="412" t="s">
        <v>186</v>
      </c>
      <c r="F372" s="912">
        <v>5.2530500000000001E-2</v>
      </c>
      <c r="G372" s="480">
        <v>2538.48</v>
      </c>
      <c r="H372" s="414">
        <v>487.2</v>
      </c>
      <c r="I372" s="413" t="s">
        <v>481</v>
      </c>
      <c r="J372" s="411">
        <v>1</v>
      </c>
      <c r="K372" s="411" t="s">
        <v>665</v>
      </c>
      <c r="L372" s="482">
        <v>348</v>
      </c>
      <c r="M372" s="461" t="s">
        <v>2412</v>
      </c>
      <c r="N372" s="483">
        <v>67.071199999999919</v>
      </c>
      <c r="O372" s="483">
        <v>134.15400000000011</v>
      </c>
      <c r="P372" s="913" t="s">
        <v>2413</v>
      </c>
      <c r="Q372" s="484">
        <v>336.67839999999967</v>
      </c>
      <c r="R372" s="497"/>
    </row>
    <row r="373" spans="1:18" ht="15" customHeight="1">
      <c r="A373" s="411">
        <v>359</v>
      </c>
      <c r="B373" s="413" t="s">
        <v>2613</v>
      </c>
      <c r="C373" s="411">
        <f t="shared" si="7"/>
        <v>359</v>
      </c>
      <c r="D373" s="443" t="s">
        <v>2189</v>
      </c>
      <c r="E373" s="412" t="s">
        <v>187</v>
      </c>
      <c r="F373" s="912">
        <v>3.2326100000000003E-2</v>
      </c>
      <c r="G373" s="480">
        <v>2538.48</v>
      </c>
      <c r="H373" s="414">
        <v>487.2</v>
      </c>
      <c r="I373" s="413" t="s">
        <v>481</v>
      </c>
      <c r="J373" s="411">
        <v>1</v>
      </c>
      <c r="K373" s="411" t="s">
        <v>666</v>
      </c>
      <c r="L373" s="482">
        <v>348</v>
      </c>
      <c r="M373" s="461" t="s">
        <v>2412</v>
      </c>
      <c r="N373" s="483">
        <v>67.071199999999919</v>
      </c>
      <c r="O373" s="483">
        <v>134.15400000000011</v>
      </c>
      <c r="P373" s="913" t="s">
        <v>2413</v>
      </c>
      <c r="Q373" s="484">
        <v>336.67839999999967</v>
      </c>
      <c r="R373" s="497"/>
    </row>
    <row r="374" spans="1:18" ht="15" customHeight="1">
      <c r="A374" s="233">
        <v>360</v>
      </c>
      <c r="B374" s="413" t="s">
        <v>2614</v>
      </c>
      <c r="C374" s="411">
        <f t="shared" si="7"/>
        <v>360</v>
      </c>
      <c r="D374" s="443" t="s">
        <v>2189</v>
      </c>
      <c r="E374" s="412" t="s">
        <v>188</v>
      </c>
      <c r="F374" s="912">
        <v>4.8255299999999994E-2</v>
      </c>
      <c r="G374" s="480">
        <v>2538.48</v>
      </c>
      <c r="H374" s="414">
        <v>487.2</v>
      </c>
      <c r="I374" s="413" t="s">
        <v>481</v>
      </c>
      <c r="J374" s="411">
        <v>1</v>
      </c>
      <c r="K374" s="411" t="s">
        <v>667</v>
      </c>
      <c r="L374" s="482">
        <v>348</v>
      </c>
      <c r="M374" s="461" t="s">
        <v>2412</v>
      </c>
      <c r="N374" s="483">
        <v>67.071199999999919</v>
      </c>
      <c r="O374" s="483">
        <v>134.15400000000011</v>
      </c>
      <c r="P374" s="913" t="s">
        <v>2413</v>
      </c>
      <c r="Q374" s="484">
        <v>336.67839999999967</v>
      </c>
      <c r="R374" s="497"/>
    </row>
    <row r="375" spans="1:18" ht="15" customHeight="1">
      <c r="A375" s="411">
        <v>361</v>
      </c>
      <c r="B375" s="413" t="s">
        <v>2615</v>
      </c>
      <c r="C375" s="411">
        <f t="shared" si="7"/>
        <v>361</v>
      </c>
      <c r="D375" s="443" t="s">
        <v>2189</v>
      </c>
      <c r="E375" s="412" t="s">
        <v>189</v>
      </c>
      <c r="F375" s="912">
        <v>5.2530500000000001E-2</v>
      </c>
      <c r="G375" s="480">
        <v>2538.48</v>
      </c>
      <c r="H375" s="414">
        <v>487.2</v>
      </c>
      <c r="I375" s="413" t="s">
        <v>481</v>
      </c>
      <c r="J375" s="411">
        <v>1</v>
      </c>
      <c r="K375" s="411" t="s">
        <v>668</v>
      </c>
      <c r="L375" s="482">
        <v>348</v>
      </c>
      <c r="M375" s="461" t="s">
        <v>2412</v>
      </c>
      <c r="N375" s="483">
        <v>67.071199999999919</v>
      </c>
      <c r="O375" s="483">
        <v>134.15400000000011</v>
      </c>
      <c r="P375" s="913" t="s">
        <v>2413</v>
      </c>
      <c r="Q375" s="484">
        <v>336.67839999999967</v>
      </c>
      <c r="R375" s="497"/>
    </row>
    <row r="376" spans="1:18" ht="15" customHeight="1">
      <c r="A376" s="411">
        <v>362</v>
      </c>
      <c r="B376" s="413" t="s">
        <v>2616</v>
      </c>
      <c r="C376" s="411">
        <f t="shared" si="7"/>
        <v>362</v>
      </c>
      <c r="D376" s="443" t="s">
        <v>2189</v>
      </c>
      <c r="E376" s="412" t="s">
        <v>190</v>
      </c>
      <c r="F376" s="912">
        <v>4.8255299999999994E-2</v>
      </c>
      <c r="G376" s="480">
        <v>2538.48</v>
      </c>
      <c r="H376" s="414">
        <v>487.2</v>
      </c>
      <c r="I376" s="413" t="s">
        <v>481</v>
      </c>
      <c r="J376" s="411">
        <v>1</v>
      </c>
      <c r="K376" s="411" t="s">
        <v>669</v>
      </c>
      <c r="L376" s="482">
        <v>348</v>
      </c>
      <c r="M376" s="461" t="s">
        <v>2412</v>
      </c>
      <c r="N376" s="483">
        <v>67.071199999999919</v>
      </c>
      <c r="O376" s="483">
        <v>134.15400000000011</v>
      </c>
      <c r="P376" s="913" t="s">
        <v>2413</v>
      </c>
      <c r="Q376" s="484">
        <v>336.67839999999967</v>
      </c>
      <c r="R376" s="497"/>
    </row>
    <row r="377" spans="1:18" ht="15" customHeight="1">
      <c r="A377" s="233">
        <v>363</v>
      </c>
      <c r="B377" s="413" t="s">
        <v>5164</v>
      </c>
      <c r="C377" s="411">
        <f t="shared" si="7"/>
        <v>363</v>
      </c>
      <c r="D377" s="443" t="s">
        <v>2189</v>
      </c>
      <c r="E377" s="412" t="s">
        <v>5184</v>
      </c>
      <c r="F377" s="912">
        <v>6.2548000000000006E-2</v>
      </c>
      <c r="G377" s="480">
        <v>3463</v>
      </c>
      <c r="H377" s="414">
        <v>487.2</v>
      </c>
      <c r="I377" s="413" t="s">
        <v>533</v>
      </c>
      <c r="J377" s="411">
        <v>2</v>
      </c>
      <c r="K377" s="411" t="s">
        <v>5203</v>
      </c>
      <c r="L377" s="482">
        <v>348</v>
      </c>
      <c r="M377" s="461" t="s">
        <v>2412</v>
      </c>
      <c r="N377" s="483">
        <v>121.62599999999989</v>
      </c>
      <c r="O377" s="483">
        <v>243.24040000000008</v>
      </c>
      <c r="P377" s="913" t="s">
        <v>2413</v>
      </c>
      <c r="Q377" s="484">
        <v>336.67840000000001</v>
      </c>
      <c r="R377" s="497"/>
    </row>
    <row r="378" spans="1:18" ht="15" customHeight="1">
      <c r="A378" s="411">
        <v>364</v>
      </c>
      <c r="B378" s="413" t="s">
        <v>5616</v>
      </c>
      <c r="C378" s="411">
        <f t="shared" si="7"/>
        <v>364</v>
      </c>
      <c r="D378" s="443" t="s">
        <v>2189</v>
      </c>
      <c r="E378" s="412" t="s">
        <v>5665</v>
      </c>
      <c r="F378" s="912">
        <v>6.2548000000000006E-2</v>
      </c>
      <c r="G378" s="480">
        <v>3463</v>
      </c>
      <c r="H378" s="414">
        <v>487.2</v>
      </c>
      <c r="I378" s="413" t="s">
        <v>533</v>
      </c>
      <c r="J378" s="411">
        <v>2</v>
      </c>
      <c r="K378" s="411" t="s">
        <v>5712</v>
      </c>
      <c r="L378" s="482">
        <v>348</v>
      </c>
      <c r="M378" s="461" t="s">
        <v>2412</v>
      </c>
      <c r="N378" s="483">
        <v>121.62599999999989</v>
      </c>
      <c r="O378" s="483">
        <v>243.24040000000008</v>
      </c>
      <c r="P378" s="913" t="s">
        <v>2413</v>
      </c>
      <c r="Q378" s="484">
        <v>336.67840000000001</v>
      </c>
      <c r="R378" s="497"/>
    </row>
    <row r="379" spans="1:18" ht="15" customHeight="1">
      <c r="A379" s="411">
        <v>365</v>
      </c>
      <c r="B379" s="413" t="s">
        <v>2617</v>
      </c>
      <c r="C379" s="411">
        <f t="shared" si="7"/>
        <v>365</v>
      </c>
      <c r="D379" s="443" t="s">
        <v>2189</v>
      </c>
      <c r="E379" s="412" t="s">
        <v>191</v>
      </c>
      <c r="F379" s="912">
        <v>7.7356900000000006E-2</v>
      </c>
      <c r="G379" s="480">
        <v>2538.48</v>
      </c>
      <c r="H379" s="414">
        <v>487.2</v>
      </c>
      <c r="I379" s="413" t="s">
        <v>481</v>
      </c>
      <c r="J379" s="411">
        <v>1</v>
      </c>
      <c r="K379" s="411" t="s">
        <v>670</v>
      </c>
      <c r="L379" s="482">
        <v>348</v>
      </c>
      <c r="M379" s="461" t="s">
        <v>2412</v>
      </c>
      <c r="N379" s="483">
        <v>67.071199999999919</v>
      </c>
      <c r="O379" s="483">
        <v>134.15400000000011</v>
      </c>
      <c r="P379" s="913" t="s">
        <v>2413</v>
      </c>
      <c r="Q379" s="484">
        <v>336.67839999999967</v>
      </c>
      <c r="R379" s="497"/>
    </row>
    <row r="380" spans="1:18" ht="15" customHeight="1">
      <c r="A380" s="233">
        <v>366</v>
      </c>
      <c r="B380" s="413" t="s">
        <v>2618</v>
      </c>
      <c r="C380" s="411">
        <f t="shared" si="7"/>
        <v>366</v>
      </c>
      <c r="D380" s="443" t="s">
        <v>2189</v>
      </c>
      <c r="E380" s="412" t="s">
        <v>192</v>
      </c>
      <c r="F380" s="912">
        <v>3.8046700000000003E-2</v>
      </c>
      <c r="G380" s="480">
        <v>2538.48</v>
      </c>
      <c r="H380" s="414">
        <v>487.2</v>
      </c>
      <c r="I380" s="413" t="s">
        <v>481</v>
      </c>
      <c r="J380" s="411">
        <v>1</v>
      </c>
      <c r="K380" s="411" t="s">
        <v>671</v>
      </c>
      <c r="L380" s="482">
        <v>348</v>
      </c>
      <c r="M380" s="461" t="s">
        <v>2412</v>
      </c>
      <c r="N380" s="483">
        <v>67.071199999999919</v>
      </c>
      <c r="O380" s="483">
        <v>134.15400000000011</v>
      </c>
      <c r="P380" s="913" t="s">
        <v>2413</v>
      </c>
      <c r="Q380" s="484">
        <v>336.67839999999967</v>
      </c>
      <c r="R380" s="497"/>
    </row>
    <row r="381" spans="1:18" ht="15" customHeight="1">
      <c r="A381" s="411">
        <v>367</v>
      </c>
      <c r="B381" s="413" t="s">
        <v>2619</v>
      </c>
      <c r="C381" s="411">
        <f t="shared" si="7"/>
        <v>367</v>
      </c>
      <c r="D381" s="443" t="s">
        <v>2189</v>
      </c>
      <c r="E381" s="412" t="s">
        <v>193</v>
      </c>
      <c r="F381" s="912">
        <v>3.7002500000000001E-2</v>
      </c>
      <c r="G381" s="480">
        <v>2538.48</v>
      </c>
      <c r="H381" s="414">
        <v>487.2</v>
      </c>
      <c r="I381" s="413" t="s">
        <v>481</v>
      </c>
      <c r="J381" s="411">
        <v>1</v>
      </c>
      <c r="K381" s="411" t="s">
        <v>672</v>
      </c>
      <c r="L381" s="482">
        <v>348</v>
      </c>
      <c r="M381" s="461" t="s">
        <v>2412</v>
      </c>
      <c r="N381" s="483">
        <v>67.071199999999919</v>
      </c>
      <c r="O381" s="483">
        <v>134.15400000000011</v>
      </c>
      <c r="P381" s="913" t="s">
        <v>2413</v>
      </c>
      <c r="Q381" s="484">
        <v>336.67839999999967</v>
      </c>
      <c r="R381" s="497"/>
    </row>
    <row r="382" spans="1:18" ht="15" customHeight="1">
      <c r="A382" s="411">
        <v>368</v>
      </c>
      <c r="B382" s="413" t="s">
        <v>2620</v>
      </c>
      <c r="C382" s="411">
        <f t="shared" si="7"/>
        <v>368</v>
      </c>
      <c r="D382" s="443" t="s">
        <v>2189</v>
      </c>
      <c r="E382" s="412" t="s">
        <v>194</v>
      </c>
      <c r="F382" s="912">
        <v>2.5616E-2</v>
      </c>
      <c r="G382" s="480">
        <v>2538.4744000000001</v>
      </c>
      <c r="H382" s="414">
        <v>487.2</v>
      </c>
      <c r="I382" s="413" t="s">
        <v>481</v>
      </c>
      <c r="J382" s="411">
        <v>1</v>
      </c>
      <c r="K382" s="411" t="s">
        <v>673</v>
      </c>
      <c r="L382" s="482">
        <v>348</v>
      </c>
      <c r="M382" s="461" t="s">
        <v>2412</v>
      </c>
      <c r="N382" s="483">
        <v>67.071199999999919</v>
      </c>
      <c r="O382" s="483">
        <v>134.15400000000011</v>
      </c>
      <c r="P382" s="913" t="s">
        <v>2413</v>
      </c>
      <c r="Q382" s="484">
        <v>336.67839999999967</v>
      </c>
      <c r="R382" s="497"/>
    </row>
    <row r="383" spans="1:18" ht="15" customHeight="1">
      <c r="A383" s="233">
        <v>369</v>
      </c>
      <c r="B383" s="413" t="s">
        <v>2621</v>
      </c>
      <c r="C383" s="411">
        <f t="shared" si="7"/>
        <v>369</v>
      </c>
      <c r="D383" s="443" t="s">
        <v>2189</v>
      </c>
      <c r="E383" s="412" t="s">
        <v>195</v>
      </c>
      <c r="F383" s="912">
        <v>2.9075E-2</v>
      </c>
      <c r="G383" s="480">
        <v>2538.4744000000001</v>
      </c>
      <c r="H383" s="414">
        <v>487.2</v>
      </c>
      <c r="I383" s="413" t="s">
        <v>481</v>
      </c>
      <c r="J383" s="411">
        <v>1</v>
      </c>
      <c r="K383" s="411" t="s">
        <v>674</v>
      </c>
      <c r="L383" s="482">
        <v>348</v>
      </c>
      <c r="M383" s="461" t="s">
        <v>2412</v>
      </c>
      <c r="N383" s="483">
        <v>67.071199999999919</v>
      </c>
      <c r="O383" s="483">
        <v>134.15400000000011</v>
      </c>
      <c r="P383" s="913" t="s">
        <v>2413</v>
      </c>
      <c r="Q383" s="484">
        <v>336.67839999999967</v>
      </c>
      <c r="R383" s="497"/>
    </row>
    <row r="384" spans="1:18" ht="15" customHeight="1">
      <c r="A384" s="411">
        <v>370</v>
      </c>
      <c r="B384" s="413" t="s">
        <v>2622</v>
      </c>
      <c r="C384" s="411">
        <f t="shared" si="7"/>
        <v>370</v>
      </c>
      <c r="D384" s="443" t="s">
        <v>2189</v>
      </c>
      <c r="E384" s="412" t="s">
        <v>196</v>
      </c>
      <c r="F384" s="912">
        <v>4.3004199999999999E-2</v>
      </c>
      <c r="G384" s="480">
        <v>2538.48</v>
      </c>
      <c r="H384" s="414">
        <v>487.2</v>
      </c>
      <c r="I384" s="413" t="s">
        <v>481</v>
      </c>
      <c r="J384" s="411">
        <v>1</v>
      </c>
      <c r="K384" s="411" t="s">
        <v>675</v>
      </c>
      <c r="L384" s="482">
        <v>348</v>
      </c>
      <c r="M384" s="461" t="s">
        <v>2412</v>
      </c>
      <c r="N384" s="483">
        <v>67.071199999999919</v>
      </c>
      <c r="O384" s="483">
        <v>134.15400000000011</v>
      </c>
      <c r="P384" s="913" t="s">
        <v>2413</v>
      </c>
      <c r="Q384" s="484">
        <v>336.67839999999967</v>
      </c>
      <c r="R384" s="497"/>
    </row>
    <row r="385" spans="1:18" ht="15" customHeight="1">
      <c r="A385" s="411">
        <v>371</v>
      </c>
      <c r="B385" s="413" t="s">
        <v>2623</v>
      </c>
      <c r="C385" s="411">
        <f t="shared" si="7"/>
        <v>371</v>
      </c>
      <c r="D385" s="443" t="s">
        <v>2189</v>
      </c>
      <c r="E385" s="412" t="s">
        <v>197</v>
      </c>
      <c r="F385" s="912">
        <v>3.4807999999999999E-2</v>
      </c>
      <c r="G385" s="480">
        <v>2538.4744000000001</v>
      </c>
      <c r="H385" s="414">
        <v>487.2</v>
      </c>
      <c r="I385" s="413" t="s">
        <v>481</v>
      </c>
      <c r="J385" s="411">
        <v>1</v>
      </c>
      <c r="K385" s="411" t="s">
        <v>676</v>
      </c>
      <c r="L385" s="482">
        <v>348</v>
      </c>
      <c r="M385" s="461" t="s">
        <v>2412</v>
      </c>
      <c r="N385" s="483">
        <v>67.071199999999919</v>
      </c>
      <c r="O385" s="483">
        <v>134.15400000000011</v>
      </c>
      <c r="P385" s="913" t="s">
        <v>2413</v>
      </c>
      <c r="Q385" s="484">
        <v>336.67839999999967</v>
      </c>
      <c r="R385" s="497"/>
    </row>
    <row r="386" spans="1:18" ht="15" customHeight="1">
      <c r="A386" s="233">
        <v>372</v>
      </c>
      <c r="B386" s="413" t="s">
        <v>2624</v>
      </c>
      <c r="C386" s="411">
        <f t="shared" si="7"/>
        <v>372</v>
      </c>
      <c r="D386" s="443" t="s">
        <v>2189</v>
      </c>
      <c r="E386" s="412" t="s">
        <v>2625</v>
      </c>
      <c r="F386" s="912">
        <v>3.5076000000000003E-2</v>
      </c>
      <c r="G386" s="480">
        <v>2538.4744000000001</v>
      </c>
      <c r="H386" s="414">
        <v>487.2</v>
      </c>
      <c r="I386" s="413" t="s">
        <v>481</v>
      </c>
      <c r="J386" s="411">
        <v>1</v>
      </c>
      <c r="K386" s="411" t="s">
        <v>2626</v>
      </c>
      <c r="L386" s="482">
        <v>348</v>
      </c>
      <c r="M386" s="461" t="s">
        <v>2412</v>
      </c>
      <c r="N386" s="483">
        <v>67.071199999999919</v>
      </c>
      <c r="O386" s="483">
        <v>134.15400000000011</v>
      </c>
      <c r="P386" s="913" t="s">
        <v>2413</v>
      </c>
      <c r="Q386" s="484">
        <v>336.67839999999967</v>
      </c>
      <c r="R386" s="497"/>
    </row>
    <row r="387" spans="1:18" ht="15" customHeight="1">
      <c r="A387" s="411">
        <v>373</v>
      </c>
      <c r="B387" s="413" t="s">
        <v>2627</v>
      </c>
      <c r="C387" s="411">
        <f t="shared" si="7"/>
        <v>373</v>
      </c>
      <c r="D387" s="443" t="s">
        <v>2189</v>
      </c>
      <c r="E387" s="412" t="s">
        <v>198</v>
      </c>
      <c r="F387" s="912">
        <v>5.13261E-2</v>
      </c>
      <c r="G387" s="480">
        <v>2538.48</v>
      </c>
      <c r="H387" s="414">
        <v>487.2</v>
      </c>
      <c r="I387" s="413" t="s">
        <v>481</v>
      </c>
      <c r="J387" s="411">
        <v>1</v>
      </c>
      <c r="K387" s="411" t="s">
        <v>677</v>
      </c>
      <c r="L387" s="482">
        <v>348</v>
      </c>
      <c r="M387" s="461" t="s">
        <v>2412</v>
      </c>
      <c r="N387" s="483">
        <v>67.071199999999919</v>
      </c>
      <c r="O387" s="483">
        <v>134.15400000000011</v>
      </c>
      <c r="P387" s="913" t="s">
        <v>2413</v>
      </c>
      <c r="Q387" s="484">
        <v>336.67839999999967</v>
      </c>
      <c r="R387" s="497"/>
    </row>
    <row r="388" spans="1:18" ht="15" customHeight="1">
      <c r="A388" s="411">
        <v>374</v>
      </c>
      <c r="B388" s="413" t="s">
        <v>2628</v>
      </c>
      <c r="C388" s="411">
        <f t="shared" si="7"/>
        <v>374</v>
      </c>
      <c r="D388" s="443" t="s">
        <v>2189</v>
      </c>
      <c r="E388" s="412" t="s">
        <v>199</v>
      </c>
      <c r="F388" s="912">
        <v>3.4648699999999998E-2</v>
      </c>
      <c r="G388" s="480">
        <v>2538.48</v>
      </c>
      <c r="H388" s="414">
        <v>487.2</v>
      </c>
      <c r="I388" s="413" t="s">
        <v>481</v>
      </c>
      <c r="J388" s="411">
        <v>1</v>
      </c>
      <c r="K388" s="411" t="s">
        <v>678</v>
      </c>
      <c r="L388" s="482">
        <v>348</v>
      </c>
      <c r="M388" s="461" t="s">
        <v>2412</v>
      </c>
      <c r="N388" s="483">
        <v>67.071199999999919</v>
      </c>
      <c r="O388" s="483">
        <v>134.15400000000011</v>
      </c>
      <c r="P388" s="913" t="s">
        <v>2413</v>
      </c>
      <c r="Q388" s="484">
        <v>336.67839999999967</v>
      </c>
      <c r="R388" s="497"/>
    </row>
    <row r="389" spans="1:18" ht="15" customHeight="1">
      <c r="A389" s="233">
        <v>375</v>
      </c>
      <c r="B389" s="413" t="s">
        <v>5617</v>
      </c>
      <c r="C389" s="411">
        <f t="shared" si="7"/>
        <v>375</v>
      </c>
      <c r="D389" s="443" t="s">
        <v>2189</v>
      </c>
      <c r="E389" s="412" t="s">
        <v>5666</v>
      </c>
      <c r="F389" s="912">
        <v>4.2298000000000002E-2</v>
      </c>
      <c r="G389" s="480">
        <v>2538.48</v>
      </c>
      <c r="H389" s="414">
        <v>492.2</v>
      </c>
      <c r="I389" s="413" t="s">
        <v>481</v>
      </c>
      <c r="J389" s="411">
        <v>1</v>
      </c>
      <c r="K389" s="411" t="s">
        <v>5713</v>
      </c>
      <c r="L389" s="482">
        <v>348</v>
      </c>
      <c r="M389" s="461" t="s">
        <v>2412</v>
      </c>
      <c r="N389" s="483">
        <v>67.071199999999919</v>
      </c>
      <c r="O389" s="483">
        <v>134.15399999999985</v>
      </c>
      <c r="P389" s="913" t="s">
        <v>2413</v>
      </c>
      <c r="Q389" s="484">
        <v>336.67840000000001</v>
      </c>
      <c r="R389" s="497"/>
    </row>
    <row r="390" spans="1:18" ht="15" customHeight="1">
      <c r="A390" s="411">
        <v>376</v>
      </c>
      <c r="B390" s="413" t="s">
        <v>2629</v>
      </c>
      <c r="C390" s="411">
        <f t="shared" si="7"/>
        <v>376</v>
      </c>
      <c r="D390" s="443" t="s">
        <v>2124</v>
      </c>
      <c r="E390" s="412" t="s">
        <v>200</v>
      </c>
      <c r="F390" s="912">
        <v>4.0786000000000003E-2</v>
      </c>
      <c r="G390" s="480">
        <v>2538.4744000000001</v>
      </c>
      <c r="H390" s="414">
        <v>487.2</v>
      </c>
      <c r="I390" s="413" t="s">
        <v>481</v>
      </c>
      <c r="J390" s="411">
        <v>1</v>
      </c>
      <c r="K390" s="411" t="s">
        <v>679</v>
      </c>
      <c r="L390" s="482">
        <v>348</v>
      </c>
      <c r="M390" s="461" t="s">
        <v>2412</v>
      </c>
      <c r="N390" s="483">
        <v>67.071199999999919</v>
      </c>
      <c r="O390" s="483">
        <v>134.15400000000011</v>
      </c>
      <c r="P390" s="913" t="s">
        <v>2413</v>
      </c>
      <c r="Q390" s="484">
        <v>336.67839999999967</v>
      </c>
      <c r="R390" s="497"/>
    </row>
    <row r="391" spans="1:18" ht="15" customHeight="1">
      <c r="A391" s="411">
        <v>377</v>
      </c>
      <c r="B391" s="413" t="s">
        <v>2630</v>
      </c>
      <c r="C391" s="411">
        <f t="shared" si="7"/>
        <v>377</v>
      </c>
      <c r="D391" s="443" t="s">
        <v>2124</v>
      </c>
      <c r="E391" s="412" t="s">
        <v>201</v>
      </c>
      <c r="F391" s="912">
        <v>6.2548500000000007E-2</v>
      </c>
      <c r="G391" s="480">
        <v>3463.0023344000001</v>
      </c>
      <c r="H391" s="414">
        <v>487.2</v>
      </c>
      <c r="I391" s="413" t="s">
        <v>533</v>
      </c>
      <c r="J391" s="411">
        <v>2</v>
      </c>
      <c r="K391" s="411" t="s">
        <v>680</v>
      </c>
      <c r="L391" s="482">
        <v>348</v>
      </c>
      <c r="M391" s="461" t="s">
        <v>2412</v>
      </c>
      <c r="N391" s="483">
        <v>121.62599999999989</v>
      </c>
      <c r="O391" s="483">
        <v>243.24040000000008</v>
      </c>
      <c r="P391" s="913" t="s">
        <v>2413</v>
      </c>
      <c r="Q391" s="484">
        <v>336.67839999999967</v>
      </c>
      <c r="R391" s="497"/>
    </row>
    <row r="392" spans="1:18" ht="15" customHeight="1">
      <c r="A392" s="233">
        <v>378</v>
      </c>
      <c r="B392" s="413" t="s">
        <v>2631</v>
      </c>
      <c r="C392" s="411">
        <f t="shared" si="7"/>
        <v>378</v>
      </c>
      <c r="D392" s="443" t="s">
        <v>2124</v>
      </c>
      <c r="E392" s="412" t="s">
        <v>202</v>
      </c>
      <c r="F392" s="912">
        <v>6.2548500000000007E-2</v>
      </c>
      <c r="G392" s="480">
        <v>3463.0023344000001</v>
      </c>
      <c r="H392" s="414">
        <v>487.2</v>
      </c>
      <c r="I392" s="413" t="s">
        <v>533</v>
      </c>
      <c r="J392" s="411">
        <v>2</v>
      </c>
      <c r="K392" s="411" t="s">
        <v>681</v>
      </c>
      <c r="L392" s="482">
        <v>348</v>
      </c>
      <c r="M392" s="461" t="s">
        <v>2412</v>
      </c>
      <c r="N392" s="483">
        <v>121.62599999999989</v>
      </c>
      <c r="O392" s="483">
        <v>243.24040000000008</v>
      </c>
      <c r="P392" s="913" t="s">
        <v>2413</v>
      </c>
      <c r="Q392" s="484">
        <v>336.67839999999967</v>
      </c>
      <c r="R392" s="497"/>
    </row>
    <row r="393" spans="1:18" ht="15" customHeight="1">
      <c r="A393" s="411">
        <v>379</v>
      </c>
      <c r="B393" s="413" t="s">
        <v>2632</v>
      </c>
      <c r="C393" s="411">
        <f t="shared" si="7"/>
        <v>379</v>
      </c>
      <c r="D393" s="443" t="s">
        <v>2124</v>
      </c>
      <c r="E393" s="412" t="s">
        <v>203</v>
      </c>
      <c r="F393" s="912">
        <v>4.0225700000000003E-2</v>
      </c>
      <c r="G393" s="480">
        <v>2538.48</v>
      </c>
      <c r="H393" s="414">
        <v>487.2</v>
      </c>
      <c r="I393" s="413" t="s">
        <v>481</v>
      </c>
      <c r="J393" s="411">
        <v>1</v>
      </c>
      <c r="K393" s="411" t="s">
        <v>682</v>
      </c>
      <c r="L393" s="482">
        <v>348</v>
      </c>
      <c r="M393" s="461" t="s">
        <v>2412</v>
      </c>
      <c r="N393" s="483">
        <v>67.071199999999919</v>
      </c>
      <c r="O393" s="483">
        <v>134.15400000000011</v>
      </c>
      <c r="P393" s="913" t="s">
        <v>2413</v>
      </c>
      <c r="Q393" s="484">
        <v>336.67839999999967</v>
      </c>
      <c r="R393" s="497"/>
    </row>
    <row r="394" spans="1:18" ht="15" customHeight="1">
      <c r="A394" s="411">
        <v>380</v>
      </c>
      <c r="B394" s="413" t="s">
        <v>2633</v>
      </c>
      <c r="C394" s="411">
        <f t="shared" si="7"/>
        <v>380</v>
      </c>
      <c r="D394" s="443" t="s">
        <v>2124</v>
      </c>
      <c r="E394" s="412" t="s">
        <v>204</v>
      </c>
      <c r="F394" s="912">
        <v>3.2538999999999998E-2</v>
      </c>
      <c r="G394" s="480">
        <v>2538.4744000000001</v>
      </c>
      <c r="H394" s="414">
        <v>487.2</v>
      </c>
      <c r="I394" s="413" t="s">
        <v>481</v>
      </c>
      <c r="J394" s="411">
        <v>1</v>
      </c>
      <c r="K394" s="411" t="s">
        <v>683</v>
      </c>
      <c r="L394" s="482">
        <v>348</v>
      </c>
      <c r="M394" s="461" t="s">
        <v>2412</v>
      </c>
      <c r="N394" s="483">
        <v>67.071199999999919</v>
      </c>
      <c r="O394" s="483">
        <v>134.15400000000011</v>
      </c>
      <c r="P394" s="913" t="s">
        <v>2413</v>
      </c>
      <c r="Q394" s="484">
        <v>336.67839999999967</v>
      </c>
      <c r="R394" s="497"/>
    </row>
    <row r="395" spans="1:18" ht="15" customHeight="1">
      <c r="A395" s="233">
        <v>381</v>
      </c>
      <c r="B395" s="413" t="s">
        <v>4261</v>
      </c>
      <c r="C395" s="411">
        <f t="shared" si="7"/>
        <v>381</v>
      </c>
      <c r="D395" s="443" t="s">
        <v>2190</v>
      </c>
      <c r="E395" s="412" t="s">
        <v>4271</v>
      </c>
      <c r="F395" s="912">
        <v>2.8934000000000001E-2</v>
      </c>
      <c r="G395" s="480">
        <v>8154.31</v>
      </c>
      <c r="H395" s="414">
        <v>487.2</v>
      </c>
      <c r="I395" s="413" t="s">
        <v>3620</v>
      </c>
      <c r="J395" s="411">
        <v>3</v>
      </c>
      <c r="K395" s="411" t="s">
        <v>4280</v>
      </c>
      <c r="L395" s="482">
        <v>348</v>
      </c>
      <c r="M395" s="461" t="s">
        <v>2412</v>
      </c>
      <c r="N395" s="483">
        <v>284.72500000000036</v>
      </c>
      <c r="O395" s="483">
        <v>569.44999999999982</v>
      </c>
      <c r="P395" s="913" t="s">
        <v>2413</v>
      </c>
      <c r="Q395" s="484">
        <v>0</v>
      </c>
      <c r="R395" s="497"/>
    </row>
    <row r="396" spans="1:18" ht="15" customHeight="1">
      <c r="A396" s="411">
        <v>382</v>
      </c>
      <c r="B396" s="413" t="s">
        <v>4796</v>
      </c>
      <c r="C396" s="411">
        <f t="shared" si="7"/>
        <v>382</v>
      </c>
      <c r="D396" s="443" t="s">
        <v>2190</v>
      </c>
      <c r="E396" s="412" t="s">
        <v>4805</v>
      </c>
      <c r="F396" s="912">
        <v>2.8934000000000001E-2</v>
      </c>
      <c r="G396" s="480">
        <v>8154.31</v>
      </c>
      <c r="H396" s="414">
        <v>487.2</v>
      </c>
      <c r="I396" s="413" t="s">
        <v>3620</v>
      </c>
      <c r="J396" s="411">
        <v>3</v>
      </c>
      <c r="K396" s="411" t="s">
        <v>4816</v>
      </c>
      <c r="L396" s="482">
        <v>348</v>
      </c>
      <c r="M396" s="461" t="s">
        <v>2412</v>
      </c>
      <c r="N396" s="483">
        <v>284.72500000000036</v>
      </c>
      <c r="O396" s="483">
        <v>569.44999999999982</v>
      </c>
      <c r="P396" s="913" t="s">
        <v>2413</v>
      </c>
      <c r="Q396" s="484">
        <v>0</v>
      </c>
      <c r="R396" s="497"/>
    </row>
    <row r="397" spans="1:18" ht="15" customHeight="1">
      <c r="A397" s="411">
        <v>383</v>
      </c>
      <c r="B397" s="413" t="s">
        <v>2634</v>
      </c>
      <c r="C397" s="411">
        <f t="shared" si="7"/>
        <v>383</v>
      </c>
      <c r="D397" s="443" t="s">
        <v>2190</v>
      </c>
      <c r="E397" s="412" t="s">
        <v>205</v>
      </c>
      <c r="F397" s="912">
        <v>4.8639700000000001E-2</v>
      </c>
      <c r="G397" s="480">
        <v>3463.0023344000001</v>
      </c>
      <c r="H397" s="414">
        <v>487.2</v>
      </c>
      <c r="I397" s="413" t="s">
        <v>533</v>
      </c>
      <c r="J397" s="411">
        <v>2</v>
      </c>
      <c r="K397" s="411" t="s">
        <v>684</v>
      </c>
      <c r="L397" s="482">
        <v>348</v>
      </c>
      <c r="M397" s="461" t="s">
        <v>2412</v>
      </c>
      <c r="N397" s="483">
        <v>121.62599999999989</v>
      </c>
      <c r="O397" s="483">
        <v>243.24040000000008</v>
      </c>
      <c r="P397" s="913" t="s">
        <v>2413</v>
      </c>
      <c r="Q397" s="484">
        <v>336.67839999999967</v>
      </c>
      <c r="R397" s="497"/>
    </row>
    <row r="398" spans="1:18" ht="15" customHeight="1">
      <c r="A398" s="233">
        <v>384</v>
      </c>
      <c r="B398" s="413" t="s">
        <v>2635</v>
      </c>
      <c r="C398" s="411">
        <f t="shared" si="7"/>
        <v>384</v>
      </c>
      <c r="D398" s="443" t="s">
        <v>2190</v>
      </c>
      <c r="E398" s="412" t="s">
        <v>2366</v>
      </c>
      <c r="F398" s="912">
        <v>4.8639700000000001E-2</v>
      </c>
      <c r="G398" s="480">
        <v>3463.0023344000001</v>
      </c>
      <c r="H398" s="414">
        <v>487.2</v>
      </c>
      <c r="I398" s="413" t="s">
        <v>533</v>
      </c>
      <c r="J398" s="411">
        <v>2</v>
      </c>
      <c r="K398" s="411" t="s">
        <v>2367</v>
      </c>
      <c r="L398" s="482">
        <v>348</v>
      </c>
      <c r="M398" s="461" t="s">
        <v>2412</v>
      </c>
      <c r="N398" s="483">
        <v>121.62599999999989</v>
      </c>
      <c r="O398" s="483">
        <v>243.24040000000008</v>
      </c>
      <c r="P398" s="913" t="s">
        <v>2413</v>
      </c>
      <c r="Q398" s="484">
        <v>336.67839999999967</v>
      </c>
      <c r="R398" s="497"/>
    </row>
    <row r="399" spans="1:18" ht="15" customHeight="1">
      <c r="A399" s="411">
        <v>385</v>
      </c>
      <c r="B399" s="413" t="s">
        <v>2636</v>
      </c>
      <c r="C399" s="411">
        <f t="shared" si="7"/>
        <v>385</v>
      </c>
      <c r="D399" s="443" t="s">
        <v>2190</v>
      </c>
      <c r="E399" s="412" t="s">
        <v>206</v>
      </c>
      <c r="F399" s="912">
        <v>4.8639700000000001E-2</v>
      </c>
      <c r="G399" s="480">
        <v>3463.0023344000001</v>
      </c>
      <c r="H399" s="414">
        <v>487.2</v>
      </c>
      <c r="I399" s="413" t="s">
        <v>533</v>
      </c>
      <c r="J399" s="411">
        <v>2</v>
      </c>
      <c r="K399" s="411" t="s">
        <v>685</v>
      </c>
      <c r="L399" s="482">
        <v>348</v>
      </c>
      <c r="M399" s="461" t="s">
        <v>2412</v>
      </c>
      <c r="N399" s="483">
        <v>121.62599999999989</v>
      </c>
      <c r="O399" s="483">
        <v>243.24040000000008</v>
      </c>
      <c r="P399" s="913" t="s">
        <v>2413</v>
      </c>
      <c r="Q399" s="484">
        <v>336.67839999999967</v>
      </c>
      <c r="R399" s="497"/>
    </row>
    <row r="400" spans="1:18" ht="15" customHeight="1">
      <c r="A400" s="411">
        <v>386</v>
      </c>
      <c r="B400" s="413" t="s">
        <v>2637</v>
      </c>
      <c r="C400" s="411">
        <f t="shared" ref="C400:C463" si="8">A400</f>
        <v>386</v>
      </c>
      <c r="D400" s="443" t="s">
        <v>2190</v>
      </c>
      <c r="E400" s="412" t="s">
        <v>207</v>
      </c>
      <c r="F400" s="912">
        <v>4.8639700000000001E-2</v>
      </c>
      <c r="G400" s="480">
        <v>3463.0023344000001</v>
      </c>
      <c r="H400" s="414">
        <v>487.2</v>
      </c>
      <c r="I400" s="413" t="s">
        <v>533</v>
      </c>
      <c r="J400" s="411">
        <v>2</v>
      </c>
      <c r="K400" s="411" t="s">
        <v>686</v>
      </c>
      <c r="L400" s="482">
        <v>348</v>
      </c>
      <c r="M400" s="461" t="s">
        <v>2412</v>
      </c>
      <c r="N400" s="483">
        <v>121.62599999999989</v>
      </c>
      <c r="O400" s="483">
        <v>243.24040000000008</v>
      </c>
      <c r="P400" s="913" t="s">
        <v>2413</v>
      </c>
      <c r="Q400" s="484">
        <v>336.67839999999967</v>
      </c>
      <c r="R400" s="497"/>
    </row>
    <row r="401" spans="1:18" ht="15" customHeight="1">
      <c r="A401" s="233">
        <v>387</v>
      </c>
      <c r="B401" s="413" t="s">
        <v>2638</v>
      </c>
      <c r="C401" s="411">
        <f t="shared" si="8"/>
        <v>387</v>
      </c>
      <c r="D401" s="443" t="s">
        <v>2190</v>
      </c>
      <c r="E401" s="412" t="s">
        <v>208</v>
      </c>
      <c r="F401" s="912">
        <v>4.8639700000000001E-2</v>
      </c>
      <c r="G401" s="480">
        <v>3463.0023344000001</v>
      </c>
      <c r="H401" s="414">
        <v>487.2</v>
      </c>
      <c r="I401" s="413" t="s">
        <v>533</v>
      </c>
      <c r="J401" s="411">
        <v>2</v>
      </c>
      <c r="K401" s="411" t="s">
        <v>687</v>
      </c>
      <c r="L401" s="482">
        <v>348</v>
      </c>
      <c r="M401" s="461" t="s">
        <v>2412</v>
      </c>
      <c r="N401" s="483">
        <v>121.62599999999989</v>
      </c>
      <c r="O401" s="483">
        <v>243.24040000000008</v>
      </c>
      <c r="P401" s="913" t="s">
        <v>2413</v>
      </c>
      <c r="Q401" s="484">
        <v>336.67839999999967</v>
      </c>
      <c r="R401" s="497"/>
    </row>
    <row r="402" spans="1:18" ht="15" customHeight="1">
      <c r="A402" s="411">
        <v>388</v>
      </c>
      <c r="B402" s="413" t="s">
        <v>4827</v>
      </c>
      <c r="C402" s="411">
        <f t="shared" si="8"/>
        <v>388</v>
      </c>
      <c r="D402" s="443" t="s">
        <v>2190</v>
      </c>
      <c r="E402" s="412" t="s">
        <v>4828</v>
      </c>
      <c r="F402" s="912">
        <v>4.8639700000000001E-2</v>
      </c>
      <c r="G402" s="480">
        <v>3463.0023344000001</v>
      </c>
      <c r="H402" s="414">
        <v>487.2</v>
      </c>
      <c r="I402" s="413" t="s">
        <v>533</v>
      </c>
      <c r="J402" s="411">
        <v>2</v>
      </c>
      <c r="K402" s="411" t="s">
        <v>3514</v>
      </c>
      <c r="L402" s="482">
        <v>348</v>
      </c>
      <c r="M402" s="461" t="s">
        <v>2412</v>
      </c>
      <c r="N402" s="483">
        <v>121.62599999999989</v>
      </c>
      <c r="O402" s="483">
        <v>243.24040000000008</v>
      </c>
      <c r="P402" s="913" t="s">
        <v>2413</v>
      </c>
      <c r="Q402" s="484">
        <v>336.67839999999967</v>
      </c>
      <c r="R402" s="497"/>
    </row>
    <row r="403" spans="1:18" ht="15" customHeight="1">
      <c r="A403" s="411">
        <v>389</v>
      </c>
      <c r="B403" s="413" t="s">
        <v>3431</v>
      </c>
      <c r="C403" s="411">
        <f t="shared" si="8"/>
        <v>389</v>
      </c>
      <c r="D403" s="443" t="s">
        <v>2190</v>
      </c>
      <c r="E403" s="412" t="s">
        <v>3600</v>
      </c>
      <c r="F403" s="912">
        <v>3.1363000000000002E-2</v>
      </c>
      <c r="G403" s="480">
        <v>7453.37</v>
      </c>
      <c r="H403" s="414">
        <v>487.2</v>
      </c>
      <c r="I403" s="413" t="s">
        <v>3620</v>
      </c>
      <c r="J403" s="411">
        <v>3</v>
      </c>
      <c r="K403" s="411" t="s">
        <v>3515</v>
      </c>
      <c r="L403" s="482">
        <v>348</v>
      </c>
      <c r="M403" s="461" t="s">
        <v>2412</v>
      </c>
      <c r="N403" s="483">
        <v>298.14</v>
      </c>
      <c r="O403" s="483">
        <v>596.29</v>
      </c>
      <c r="P403" s="913" t="s">
        <v>2413</v>
      </c>
      <c r="Q403" s="484">
        <v>0</v>
      </c>
      <c r="R403" s="497"/>
    </row>
    <row r="404" spans="1:18" ht="15" customHeight="1">
      <c r="A404" s="233">
        <v>390</v>
      </c>
      <c r="B404" s="413" t="s">
        <v>3432</v>
      </c>
      <c r="C404" s="411">
        <f t="shared" si="8"/>
        <v>390</v>
      </c>
      <c r="D404" s="443" t="s">
        <v>2190</v>
      </c>
      <c r="E404" s="412" t="s">
        <v>3601</v>
      </c>
      <c r="F404" s="912">
        <v>2.8934000000000001E-2</v>
      </c>
      <c r="G404" s="480">
        <v>8154.31</v>
      </c>
      <c r="H404" s="414">
        <v>487.2</v>
      </c>
      <c r="I404" s="413" t="s">
        <v>3620</v>
      </c>
      <c r="J404" s="411">
        <v>3</v>
      </c>
      <c r="K404" s="411" t="s">
        <v>3516</v>
      </c>
      <c r="L404" s="482">
        <v>348</v>
      </c>
      <c r="M404" s="461" t="s">
        <v>2412</v>
      </c>
      <c r="N404" s="483">
        <v>330.29</v>
      </c>
      <c r="O404" s="483">
        <v>660.56</v>
      </c>
      <c r="P404" s="913" t="s">
        <v>2413</v>
      </c>
      <c r="Q404" s="484">
        <v>0</v>
      </c>
      <c r="R404" s="497"/>
    </row>
    <row r="405" spans="1:18" ht="15" customHeight="1">
      <c r="A405" s="411">
        <v>391</v>
      </c>
      <c r="B405" s="413" t="s">
        <v>2639</v>
      </c>
      <c r="C405" s="411">
        <f t="shared" si="8"/>
        <v>391</v>
      </c>
      <c r="D405" s="443" t="s">
        <v>2191</v>
      </c>
      <c r="E405" s="412" t="s">
        <v>209</v>
      </c>
      <c r="F405" s="912">
        <v>2.8129400000000002E-2</v>
      </c>
      <c r="G405" s="480">
        <v>2538.48</v>
      </c>
      <c r="H405" s="414">
        <v>487.2</v>
      </c>
      <c r="I405" s="413" t="s">
        <v>481</v>
      </c>
      <c r="J405" s="411">
        <v>1</v>
      </c>
      <c r="K405" s="411" t="s">
        <v>688</v>
      </c>
      <c r="L405" s="482">
        <v>348</v>
      </c>
      <c r="M405" s="461" t="s">
        <v>2412</v>
      </c>
      <c r="N405" s="483">
        <v>67.071199999999919</v>
      </c>
      <c r="O405" s="483">
        <v>134.15400000000011</v>
      </c>
      <c r="P405" s="913" t="s">
        <v>2413</v>
      </c>
      <c r="Q405" s="484">
        <v>336.67839999999967</v>
      </c>
      <c r="R405" s="497"/>
    </row>
    <row r="406" spans="1:18" ht="15" customHeight="1">
      <c r="A406" s="411">
        <v>392</v>
      </c>
      <c r="B406" s="413" t="s">
        <v>2640</v>
      </c>
      <c r="C406" s="411">
        <f t="shared" si="8"/>
        <v>392</v>
      </c>
      <c r="D406" s="443" t="s">
        <v>2191</v>
      </c>
      <c r="E406" s="412" t="s">
        <v>210</v>
      </c>
      <c r="F406" s="912">
        <v>2.8129400000000002E-2</v>
      </c>
      <c r="G406" s="480">
        <v>2538.48</v>
      </c>
      <c r="H406" s="414">
        <v>487.2</v>
      </c>
      <c r="I406" s="413" t="s">
        <v>481</v>
      </c>
      <c r="J406" s="411">
        <v>1</v>
      </c>
      <c r="K406" s="411" t="s">
        <v>689</v>
      </c>
      <c r="L406" s="482">
        <v>348</v>
      </c>
      <c r="M406" s="461" t="s">
        <v>2412</v>
      </c>
      <c r="N406" s="483">
        <v>67.071199999999919</v>
      </c>
      <c r="O406" s="483">
        <v>134.15400000000011</v>
      </c>
      <c r="P406" s="913" t="s">
        <v>2413</v>
      </c>
      <c r="Q406" s="484">
        <v>336.67839999999967</v>
      </c>
      <c r="R406" s="497"/>
    </row>
    <row r="407" spans="1:18" ht="15" customHeight="1">
      <c r="A407" s="233">
        <v>393</v>
      </c>
      <c r="B407" s="413" t="s">
        <v>2641</v>
      </c>
      <c r="C407" s="411">
        <f t="shared" si="8"/>
        <v>393</v>
      </c>
      <c r="D407" s="443" t="s">
        <v>2191</v>
      </c>
      <c r="E407" s="412" t="s">
        <v>211</v>
      </c>
      <c r="F407" s="912">
        <v>4.12118E-2</v>
      </c>
      <c r="G407" s="480">
        <v>2538.48</v>
      </c>
      <c r="H407" s="414">
        <v>487.2</v>
      </c>
      <c r="I407" s="413" t="s">
        <v>481</v>
      </c>
      <c r="J407" s="411">
        <v>1</v>
      </c>
      <c r="K407" s="411" t="s">
        <v>690</v>
      </c>
      <c r="L407" s="482">
        <v>348</v>
      </c>
      <c r="M407" s="461" t="s">
        <v>2412</v>
      </c>
      <c r="N407" s="483">
        <v>67.071199999999919</v>
      </c>
      <c r="O407" s="483">
        <v>134.15400000000011</v>
      </c>
      <c r="P407" s="913" t="s">
        <v>2413</v>
      </c>
      <c r="Q407" s="484">
        <v>336.67839999999967</v>
      </c>
      <c r="R407" s="497"/>
    </row>
    <row r="408" spans="1:18" ht="15" customHeight="1">
      <c r="A408" s="411">
        <v>394</v>
      </c>
      <c r="B408" s="413" t="s">
        <v>2642</v>
      </c>
      <c r="C408" s="411">
        <f t="shared" si="8"/>
        <v>394</v>
      </c>
      <c r="D408" s="443" t="s">
        <v>2191</v>
      </c>
      <c r="E408" s="412" t="s">
        <v>212</v>
      </c>
      <c r="F408" s="912">
        <v>2.6187100000000001E-2</v>
      </c>
      <c r="G408" s="480">
        <v>2538.48</v>
      </c>
      <c r="H408" s="414">
        <v>487.2</v>
      </c>
      <c r="I408" s="413" t="s">
        <v>481</v>
      </c>
      <c r="J408" s="411">
        <v>1</v>
      </c>
      <c r="K408" s="411" t="s">
        <v>691</v>
      </c>
      <c r="L408" s="482">
        <v>348</v>
      </c>
      <c r="M408" s="461" t="s">
        <v>2412</v>
      </c>
      <c r="N408" s="483">
        <v>67.071199999999919</v>
      </c>
      <c r="O408" s="483">
        <v>134.15400000000011</v>
      </c>
      <c r="P408" s="913" t="s">
        <v>2413</v>
      </c>
      <c r="Q408" s="484">
        <v>336.67839999999967</v>
      </c>
      <c r="R408" s="497"/>
    </row>
    <row r="409" spans="1:18" ht="15" customHeight="1">
      <c r="A409" s="411">
        <v>395</v>
      </c>
      <c r="B409" s="413" t="s">
        <v>2643</v>
      </c>
      <c r="C409" s="411">
        <f t="shared" si="8"/>
        <v>395</v>
      </c>
      <c r="D409" s="443" t="s">
        <v>2191</v>
      </c>
      <c r="E409" s="412" t="s">
        <v>213</v>
      </c>
      <c r="F409" s="912">
        <v>2.6601200000000002E-2</v>
      </c>
      <c r="G409" s="480">
        <v>2538.48</v>
      </c>
      <c r="H409" s="414">
        <v>487.2</v>
      </c>
      <c r="I409" s="413" t="s">
        <v>481</v>
      </c>
      <c r="J409" s="411">
        <v>1</v>
      </c>
      <c r="K409" s="411" t="s">
        <v>692</v>
      </c>
      <c r="L409" s="482">
        <v>348</v>
      </c>
      <c r="M409" s="461" t="s">
        <v>2412</v>
      </c>
      <c r="N409" s="483">
        <v>67.071199999999919</v>
      </c>
      <c r="O409" s="483">
        <v>134.15400000000011</v>
      </c>
      <c r="P409" s="913" t="s">
        <v>2413</v>
      </c>
      <c r="Q409" s="484">
        <v>336.67839999999967</v>
      </c>
      <c r="R409" s="497"/>
    </row>
    <row r="410" spans="1:18" ht="15" customHeight="1">
      <c r="A410" s="233">
        <v>396</v>
      </c>
      <c r="B410" s="413" t="s">
        <v>3181</v>
      </c>
      <c r="C410" s="411">
        <f t="shared" si="8"/>
        <v>396</v>
      </c>
      <c r="D410" s="443" t="s">
        <v>2191</v>
      </c>
      <c r="E410" s="412" t="s">
        <v>3190</v>
      </c>
      <c r="F410" s="912">
        <v>3.6593000000000001E-2</v>
      </c>
      <c r="G410" s="480">
        <v>2538.4744000000001</v>
      </c>
      <c r="H410" s="414">
        <v>487.2</v>
      </c>
      <c r="I410" s="413" t="s">
        <v>481</v>
      </c>
      <c r="J410" s="411">
        <v>1</v>
      </c>
      <c r="K410" s="411" t="s">
        <v>3186</v>
      </c>
      <c r="L410" s="482">
        <v>348</v>
      </c>
      <c r="M410" s="461" t="s">
        <v>2412</v>
      </c>
      <c r="N410" s="483">
        <v>67.071199999999919</v>
      </c>
      <c r="O410" s="483">
        <v>134.15400000000011</v>
      </c>
      <c r="P410" s="913" t="s">
        <v>2413</v>
      </c>
      <c r="Q410" s="484">
        <v>336.67839999999967</v>
      </c>
      <c r="R410" s="497"/>
    </row>
    <row r="411" spans="1:18" ht="15" customHeight="1">
      <c r="A411" s="411">
        <v>397</v>
      </c>
      <c r="B411" s="413" t="s">
        <v>2644</v>
      </c>
      <c r="C411" s="411">
        <f t="shared" si="8"/>
        <v>397</v>
      </c>
      <c r="D411" s="443" t="s">
        <v>2191</v>
      </c>
      <c r="E411" s="412" t="s">
        <v>214</v>
      </c>
      <c r="F411" s="912">
        <v>2.91579E-2</v>
      </c>
      <c r="G411" s="480">
        <v>2538.48</v>
      </c>
      <c r="H411" s="414">
        <v>487.2</v>
      </c>
      <c r="I411" s="413" t="s">
        <v>481</v>
      </c>
      <c r="J411" s="411">
        <v>1</v>
      </c>
      <c r="K411" s="411" t="s">
        <v>693</v>
      </c>
      <c r="L411" s="482">
        <v>348</v>
      </c>
      <c r="M411" s="461" t="s">
        <v>2412</v>
      </c>
      <c r="N411" s="483">
        <v>67.071199999999919</v>
      </c>
      <c r="O411" s="483">
        <v>134.15400000000011</v>
      </c>
      <c r="P411" s="913" t="s">
        <v>2413</v>
      </c>
      <c r="Q411" s="484">
        <v>336.67839999999967</v>
      </c>
      <c r="R411" s="497"/>
    </row>
    <row r="412" spans="1:18" ht="15" customHeight="1">
      <c r="A412" s="411">
        <v>398</v>
      </c>
      <c r="B412" s="413" t="s">
        <v>4854</v>
      </c>
      <c r="C412" s="411">
        <f t="shared" si="8"/>
        <v>398</v>
      </c>
      <c r="D412" s="443" t="s">
        <v>2191</v>
      </c>
      <c r="E412" s="412" t="s">
        <v>4883</v>
      </c>
      <c r="F412" s="912">
        <v>3.0901000000000001E-2</v>
      </c>
      <c r="G412" s="480">
        <v>2538.48</v>
      </c>
      <c r="H412" s="414">
        <v>487.2</v>
      </c>
      <c r="I412" s="413" t="s">
        <v>481</v>
      </c>
      <c r="J412" s="411">
        <v>1</v>
      </c>
      <c r="K412" s="411" t="s">
        <v>4913</v>
      </c>
      <c r="L412" s="482">
        <v>348</v>
      </c>
      <c r="M412" s="461" t="s">
        <v>2412</v>
      </c>
      <c r="N412" s="483">
        <v>67.071199999999919</v>
      </c>
      <c r="O412" s="483">
        <v>134.15399999999985</v>
      </c>
      <c r="P412" s="913" t="s">
        <v>2413</v>
      </c>
      <c r="Q412" s="484">
        <v>336.67840000000001</v>
      </c>
      <c r="R412" s="497"/>
    </row>
    <row r="413" spans="1:18" ht="15" customHeight="1">
      <c r="A413" s="233">
        <v>399</v>
      </c>
      <c r="B413" s="413" t="s">
        <v>2645</v>
      </c>
      <c r="C413" s="411">
        <f t="shared" si="8"/>
        <v>399</v>
      </c>
      <c r="D413" s="443" t="s">
        <v>2191</v>
      </c>
      <c r="E413" s="412" t="s">
        <v>215</v>
      </c>
      <c r="F413" s="912">
        <v>3.1015500000000001E-2</v>
      </c>
      <c r="G413" s="480">
        <v>2538.48</v>
      </c>
      <c r="H413" s="414">
        <v>487.2</v>
      </c>
      <c r="I413" s="413" t="s">
        <v>481</v>
      </c>
      <c r="J413" s="411">
        <v>1</v>
      </c>
      <c r="K413" s="411" t="s">
        <v>694</v>
      </c>
      <c r="L413" s="482">
        <v>348</v>
      </c>
      <c r="M413" s="461" t="s">
        <v>2412</v>
      </c>
      <c r="N413" s="483">
        <v>67.071199999999919</v>
      </c>
      <c r="O413" s="483">
        <v>134.15400000000011</v>
      </c>
      <c r="P413" s="913" t="s">
        <v>2413</v>
      </c>
      <c r="Q413" s="484">
        <v>336.67839999999967</v>
      </c>
      <c r="R413" s="497"/>
    </row>
    <row r="414" spans="1:18" ht="15" customHeight="1">
      <c r="A414" s="411">
        <v>400</v>
      </c>
      <c r="B414" s="413" t="s">
        <v>2646</v>
      </c>
      <c r="C414" s="411">
        <f t="shared" si="8"/>
        <v>400</v>
      </c>
      <c r="D414" s="443" t="s">
        <v>2191</v>
      </c>
      <c r="E414" s="412" t="s">
        <v>216</v>
      </c>
      <c r="F414" s="912">
        <v>3.4001000000000003E-2</v>
      </c>
      <c r="G414" s="480">
        <v>2538.48</v>
      </c>
      <c r="H414" s="414">
        <v>487.2</v>
      </c>
      <c r="I414" s="413" t="s">
        <v>481</v>
      </c>
      <c r="J414" s="411">
        <v>1</v>
      </c>
      <c r="K414" s="411" t="s">
        <v>695</v>
      </c>
      <c r="L414" s="482">
        <v>348</v>
      </c>
      <c r="M414" s="461" t="s">
        <v>2412</v>
      </c>
      <c r="N414" s="483">
        <v>67.071199999999919</v>
      </c>
      <c r="O414" s="483">
        <v>134.15400000000011</v>
      </c>
      <c r="P414" s="913" t="s">
        <v>2413</v>
      </c>
      <c r="Q414" s="484">
        <v>336.67839999999967</v>
      </c>
      <c r="R414" s="497"/>
    </row>
    <row r="415" spans="1:18" ht="15" customHeight="1">
      <c r="A415" s="411">
        <v>401</v>
      </c>
      <c r="B415" s="413" t="s">
        <v>2647</v>
      </c>
      <c r="C415" s="411">
        <f t="shared" si="8"/>
        <v>401</v>
      </c>
      <c r="D415" s="443" t="s">
        <v>2191</v>
      </c>
      <c r="E415" s="412" t="s">
        <v>217</v>
      </c>
      <c r="F415" s="912">
        <v>5.9477000000000002E-2</v>
      </c>
      <c r="G415" s="480">
        <v>2538.4744000000001</v>
      </c>
      <c r="H415" s="414">
        <v>487.2</v>
      </c>
      <c r="I415" s="413" t="s">
        <v>481</v>
      </c>
      <c r="J415" s="411">
        <v>1</v>
      </c>
      <c r="K415" s="411" t="s">
        <v>696</v>
      </c>
      <c r="L415" s="482">
        <v>348</v>
      </c>
      <c r="M415" s="461" t="s">
        <v>2412</v>
      </c>
      <c r="N415" s="483">
        <v>67.071199999999919</v>
      </c>
      <c r="O415" s="483">
        <v>134.15400000000011</v>
      </c>
      <c r="P415" s="913" t="s">
        <v>2413</v>
      </c>
      <c r="Q415" s="484">
        <v>336.67839999999967</v>
      </c>
      <c r="R415" s="497"/>
    </row>
    <row r="416" spans="1:18" ht="15" customHeight="1">
      <c r="A416" s="233">
        <v>402</v>
      </c>
      <c r="B416" s="413" t="s">
        <v>11037</v>
      </c>
      <c r="C416" s="411">
        <f t="shared" si="8"/>
        <v>402</v>
      </c>
      <c r="D416" s="443" t="s">
        <v>4081</v>
      </c>
      <c r="E416" s="412" t="s">
        <v>11051</v>
      </c>
      <c r="F416" s="912">
        <v>2.6601E-2</v>
      </c>
      <c r="G416" s="480">
        <v>2538.48</v>
      </c>
      <c r="H416" s="414">
        <v>487.2</v>
      </c>
      <c r="I416" s="413" t="s">
        <v>481</v>
      </c>
      <c r="J416" s="411">
        <v>1</v>
      </c>
      <c r="K416" s="411" t="s">
        <v>11062</v>
      </c>
      <c r="L416" s="482">
        <v>348</v>
      </c>
      <c r="M416" s="461" t="s">
        <v>2412</v>
      </c>
      <c r="N416" s="483">
        <v>67.071199999999919</v>
      </c>
      <c r="O416" s="483">
        <v>134.15399999999985</v>
      </c>
      <c r="P416" s="913" t="s">
        <v>2413</v>
      </c>
      <c r="Q416" s="484">
        <v>336.67840000000001</v>
      </c>
      <c r="R416" s="497"/>
    </row>
    <row r="417" spans="1:18" ht="15" customHeight="1">
      <c r="A417" s="411">
        <v>403</v>
      </c>
      <c r="B417" s="413" t="s">
        <v>4080</v>
      </c>
      <c r="C417" s="411">
        <f t="shared" si="8"/>
        <v>403</v>
      </c>
      <c r="D417" s="443" t="s">
        <v>4081</v>
      </c>
      <c r="E417" s="412" t="s">
        <v>4082</v>
      </c>
      <c r="F417" s="912">
        <v>4.0341300000000004E-2</v>
      </c>
      <c r="G417" s="480">
        <v>2538.48</v>
      </c>
      <c r="H417" s="414">
        <v>487.2</v>
      </c>
      <c r="I417" s="413" t="s">
        <v>481</v>
      </c>
      <c r="J417" s="411">
        <v>1</v>
      </c>
      <c r="K417" s="411" t="s">
        <v>4083</v>
      </c>
      <c r="L417" s="482">
        <v>348</v>
      </c>
      <c r="M417" s="461" t="s">
        <v>2412</v>
      </c>
      <c r="N417" s="483">
        <v>67.071199999999919</v>
      </c>
      <c r="O417" s="483">
        <v>134.15400000000011</v>
      </c>
      <c r="P417" s="913" t="s">
        <v>2413</v>
      </c>
      <c r="Q417" s="484">
        <v>336.67839999999967</v>
      </c>
      <c r="R417" s="497"/>
    </row>
    <row r="418" spans="1:18" ht="15" customHeight="1">
      <c r="A418" s="411">
        <v>404</v>
      </c>
      <c r="B418" s="413" t="s">
        <v>4116</v>
      </c>
      <c r="C418" s="411">
        <f t="shared" si="8"/>
        <v>404</v>
      </c>
      <c r="D418" s="443" t="s">
        <v>4081</v>
      </c>
      <c r="E418" s="412" t="s">
        <v>4778</v>
      </c>
      <c r="F418" s="912">
        <v>4.9543999999999998E-2</v>
      </c>
      <c r="G418" s="480">
        <v>2538.4744000000001</v>
      </c>
      <c r="H418" s="414">
        <v>487.2</v>
      </c>
      <c r="I418" s="413" t="s">
        <v>481</v>
      </c>
      <c r="J418" s="411">
        <v>1</v>
      </c>
      <c r="K418" s="411" t="s">
        <v>4084</v>
      </c>
      <c r="L418" s="482">
        <v>348</v>
      </c>
      <c r="M418" s="461" t="s">
        <v>2412</v>
      </c>
      <c r="N418" s="483">
        <v>67.071199999999919</v>
      </c>
      <c r="O418" s="483">
        <v>134.15400000000011</v>
      </c>
      <c r="P418" s="913" t="s">
        <v>2413</v>
      </c>
      <c r="Q418" s="484">
        <v>336.67839999999967</v>
      </c>
      <c r="R418" s="497"/>
    </row>
    <row r="419" spans="1:18" ht="15" customHeight="1">
      <c r="A419" s="233">
        <v>405</v>
      </c>
      <c r="B419" s="413" t="s">
        <v>4085</v>
      </c>
      <c r="C419" s="411">
        <f t="shared" si="8"/>
        <v>405</v>
      </c>
      <c r="D419" s="443" t="s">
        <v>4081</v>
      </c>
      <c r="E419" s="412" t="s">
        <v>4086</v>
      </c>
      <c r="F419" s="912">
        <v>3.9910000000000001E-2</v>
      </c>
      <c r="G419" s="480">
        <v>2538.48</v>
      </c>
      <c r="H419" s="414">
        <v>487.2</v>
      </c>
      <c r="I419" s="413" t="s">
        <v>481</v>
      </c>
      <c r="J419" s="411">
        <v>1</v>
      </c>
      <c r="K419" s="411" t="s">
        <v>4087</v>
      </c>
      <c r="L419" s="482">
        <v>348</v>
      </c>
      <c r="M419" s="461" t="s">
        <v>2412</v>
      </c>
      <c r="N419" s="483">
        <v>67.071199999999919</v>
      </c>
      <c r="O419" s="483">
        <v>134.15400000000011</v>
      </c>
      <c r="P419" s="913" t="s">
        <v>2413</v>
      </c>
      <c r="Q419" s="484">
        <v>336.67839999999967</v>
      </c>
      <c r="R419" s="497"/>
    </row>
    <row r="420" spans="1:18" ht="15" customHeight="1">
      <c r="A420" s="411">
        <v>406</v>
      </c>
      <c r="B420" s="413" t="s">
        <v>11038</v>
      </c>
      <c r="C420" s="411">
        <f t="shared" si="8"/>
        <v>406</v>
      </c>
      <c r="D420" s="443" t="s">
        <v>4081</v>
      </c>
      <c r="E420" s="412" t="s">
        <v>11052</v>
      </c>
      <c r="F420" s="912">
        <v>3.9910000000000001E-2</v>
      </c>
      <c r="G420" s="480">
        <v>2538.48</v>
      </c>
      <c r="H420" s="414">
        <v>487.2</v>
      </c>
      <c r="I420" s="413" t="s">
        <v>481</v>
      </c>
      <c r="J420" s="411">
        <v>1</v>
      </c>
      <c r="K420" s="411" t="s">
        <v>11063</v>
      </c>
      <c r="L420" s="482">
        <v>348</v>
      </c>
      <c r="M420" s="461" t="s">
        <v>2412</v>
      </c>
      <c r="N420" s="483">
        <v>67.071199999999919</v>
      </c>
      <c r="O420" s="483">
        <v>134.15399999999985</v>
      </c>
      <c r="P420" s="913" t="s">
        <v>2413</v>
      </c>
      <c r="Q420" s="484">
        <v>336.67840000000001</v>
      </c>
      <c r="R420" s="497"/>
    </row>
    <row r="421" spans="1:18" ht="15" customHeight="1">
      <c r="A421" s="411">
        <v>407</v>
      </c>
      <c r="B421" s="413" t="s">
        <v>4242</v>
      </c>
      <c r="C421" s="411">
        <f t="shared" si="8"/>
        <v>407</v>
      </c>
      <c r="D421" s="443" t="s">
        <v>4081</v>
      </c>
      <c r="E421" s="412" t="s">
        <v>4248</v>
      </c>
      <c r="F421" s="912">
        <v>3.09754E-2</v>
      </c>
      <c r="G421" s="480">
        <v>2538.48</v>
      </c>
      <c r="H421" s="414">
        <v>487.2</v>
      </c>
      <c r="I421" s="413" t="s">
        <v>481</v>
      </c>
      <c r="J421" s="411">
        <v>1</v>
      </c>
      <c r="K421" s="411" t="s">
        <v>4254</v>
      </c>
      <c r="L421" s="482">
        <v>348</v>
      </c>
      <c r="M421" s="461" t="s">
        <v>2412</v>
      </c>
      <c r="N421" s="483">
        <v>67.071199999999919</v>
      </c>
      <c r="O421" s="483">
        <v>134.15400000000011</v>
      </c>
      <c r="P421" s="913" t="s">
        <v>2413</v>
      </c>
      <c r="Q421" s="484">
        <v>336.67839999999967</v>
      </c>
      <c r="R421" s="497"/>
    </row>
    <row r="422" spans="1:18" ht="15" customHeight="1">
      <c r="A422" s="233">
        <v>408</v>
      </c>
      <c r="B422" s="413" t="s">
        <v>5165</v>
      </c>
      <c r="C422" s="411">
        <f t="shared" si="8"/>
        <v>408</v>
      </c>
      <c r="D422" s="443" t="s">
        <v>4081</v>
      </c>
      <c r="E422" s="412" t="s">
        <v>5185</v>
      </c>
      <c r="F422" s="912">
        <v>3.9910000000000001E-2</v>
      </c>
      <c r="G422" s="480">
        <v>2538.48</v>
      </c>
      <c r="H422" s="414">
        <v>487.2</v>
      </c>
      <c r="I422" s="413" t="s">
        <v>481</v>
      </c>
      <c r="J422" s="411">
        <v>1</v>
      </c>
      <c r="K422" s="411" t="s">
        <v>5204</v>
      </c>
      <c r="L422" s="482">
        <v>348</v>
      </c>
      <c r="M422" s="461" t="s">
        <v>2412</v>
      </c>
      <c r="N422" s="483">
        <v>67.071199999999919</v>
      </c>
      <c r="O422" s="483">
        <v>134.15399999999985</v>
      </c>
      <c r="P422" s="913" t="s">
        <v>2413</v>
      </c>
      <c r="Q422" s="484">
        <v>336.67840000000001</v>
      </c>
      <c r="R422" s="497"/>
    </row>
    <row r="423" spans="1:18" ht="15" customHeight="1">
      <c r="A423" s="411">
        <v>409</v>
      </c>
      <c r="B423" s="413" t="s">
        <v>4855</v>
      </c>
      <c r="C423" s="411">
        <f t="shared" si="8"/>
        <v>409</v>
      </c>
      <c r="D423" s="443" t="s">
        <v>4081</v>
      </c>
      <c r="E423" s="412" t="s">
        <v>4884</v>
      </c>
      <c r="F423" s="912">
        <v>3.4355999999999998E-2</v>
      </c>
      <c r="G423" s="480">
        <v>2538.48</v>
      </c>
      <c r="H423" s="414">
        <v>487.2</v>
      </c>
      <c r="I423" s="413" t="s">
        <v>481</v>
      </c>
      <c r="J423" s="411">
        <v>1</v>
      </c>
      <c r="K423" s="411" t="s">
        <v>4914</v>
      </c>
      <c r="L423" s="482">
        <v>348</v>
      </c>
      <c r="M423" s="461" t="s">
        <v>2412</v>
      </c>
      <c r="N423" s="483">
        <v>67.071199999999919</v>
      </c>
      <c r="O423" s="483">
        <v>134.15399999999985</v>
      </c>
      <c r="P423" s="913" t="s">
        <v>2413</v>
      </c>
      <c r="Q423" s="484">
        <v>336.67840000000001</v>
      </c>
      <c r="R423" s="497"/>
    </row>
    <row r="424" spans="1:18" ht="15" customHeight="1">
      <c r="A424" s="411">
        <v>410</v>
      </c>
      <c r="B424" s="413" t="s">
        <v>3241</v>
      </c>
      <c r="C424" s="411">
        <f t="shared" si="8"/>
        <v>410</v>
      </c>
      <c r="D424" s="443" t="s">
        <v>251</v>
      </c>
      <c r="E424" s="412" t="s">
        <v>3267</v>
      </c>
      <c r="F424" s="912">
        <v>3.8453000000000001E-2</v>
      </c>
      <c r="G424" s="480">
        <v>2538.4744000000001</v>
      </c>
      <c r="H424" s="414">
        <v>487.2</v>
      </c>
      <c r="I424" s="413" t="s">
        <v>481</v>
      </c>
      <c r="J424" s="411">
        <v>1</v>
      </c>
      <c r="K424" s="411" t="s">
        <v>3291</v>
      </c>
      <c r="L424" s="482">
        <v>348</v>
      </c>
      <c r="M424" s="461" t="s">
        <v>2412</v>
      </c>
      <c r="N424" s="483">
        <v>67.071199999999919</v>
      </c>
      <c r="O424" s="483">
        <v>134.15400000000011</v>
      </c>
      <c r="P424" s="913" t="s">
        <v>2413</v>
      </c>
      <c r="Q424" s="484">
        <v>336.67839999999967</v>
      </c>
      <c r="R424" s="497"/>
    </row>
    <row r="425" spans="1:18" ht="15" customHeight="1">
      <c r="A425" s="233">
        <v>411</v>
      </c>
      <c r="B425" s="413" t="s">
        <v>3242</v>
      </c>
      <c r="C425" s="411">
        <f t="shared" si="8"/>
        <v>411</v>
      </c>
      <c r="D425" s="443" t="s">
        <v>251</v>
      </c>
      <c r="E425" s="412" t="s">
        <v>3268</v>
      </c>
      <c r="F425" s="912">
        <v>3.8453000000000001E-2</v>
      </c>
      <c r="G425" s="480">
        <v>2538.4744000000001</v>
      </c>
      <c r="H425" s="414">
        <v>487.2</v>
      </c>
      <c r="I425" s="413" t="s">
        <v>481</v>
      </c>
      <c r="J425" s="411">
        <v>1</v>
      </c>
      <c r="K425" s="411" t="s">
        <v>3292</v>
      </c>
      <c r="L425" s="482">
        <v>348</v>
      </c>
      <c r="M425" s="461" t="s">
        <v>2412</v>
      </c>
      <c r="N425" s="483">
        <v>67.071199999999919</v>
      </c>
      <c r="O425" s="483">
        <v>134.15400000000011</v>
      </c>
      <c r="P425" s="913" t="s">
        <v>2413</v>
      </c>
      <c r="Q425" s="484">
        <v>336.67839999999967</v>
      </c>
      <c r="R425" s="497"/>
    </row>
    <row r="426" spans="1:18" ht="15" customHeight="1">
      <c r="A426" s="411">
        <v>412</v>
      </c>
      <c r="B426" s="413" t="s">
        <v>3243</v>
      </c>
      <c r="C426" s="411">
        <f t="shared" si="8"/>
        <v>412</v>
      </c>
      <c r="D426" s="443" t="s">
        <v>251</v>
      </c>
      <c r="E426" s="412" t="s">
        <v>3269</v>
      </c>
      <c r="F426" s="912">
        <v>3.8453000000000001E-2</v>
      </c>
      <c r="G426" s="480">
        <v>2538.4744000000001</v>
      </c>
      <c r="H426" s="414">
        <v>487.2</v>
      </c>
      <c r="I426" s="413" t="s">
        <v>481</v>
      </c>
      <c r="J426" s="411">
        <v>1</v>
      </c>
      <c r="K426" s="411" t="s">
        <v>3293</v>
      </c>
      <c r="L426" s="482">
        <v>348</v>
      </c>
      <c r="M426" s="461" t="s">
        <v>2412</v>
      </c>
      <c r="N426" s="483">
        <v>67.071199999999919</v>
      </c>
      <c r="O426" s="483">
        <v>134.15400000000011</v>
      </c>
      <c r="P426" s="913" t="s">
        <v>2413</v>
      </c>
      <c r="Q426" s="484">
        <v>336.67839999999967</v>
      </c>
      <c r="R426" s="497"/>
    </row>
    <row r="427" spans="1:18" ht="15" customHeight="1">
      <c r="A427" s="411">
        <v>413</v>
      </c>
      <c r="B427" s="413" t="s">
        <v>3244</v>
      </c>
      <c r="C427" s="411">
        <f t="shared" si="8"/>
        <v>413</v>
      </c>
      <c r="D427" s="443" t="s">
        <v>251</v>
      </c>
      <c r="E427" s="412" t="s">
        <v>3270</v>
      </c>
      <c r="F427" s="912">
        <v>3.8453000000000001E-2</v>
      </c>
      <c r="G427" s="480">
        <v>2538.4744000000001</v>
      </c>
      <c r="H427" s="414">
        <v>487.2</v>
      </c>
      <c r="I427" s="413" t="s">
        <v>481</v>
      </c>
      <c r="J427" s="411">
        <v>1</v>
      </c>
      <c r="K427" s="411" t="s">
        <v>3294</v>
      </c>
      <c r="L427" s="482">
        <v>348</v>
      </c>
      <c r="M427" s="461" t="s">
        <v>2412</v>
      </c>
      <c r="N427" s="483">
        <v>67.071199999999919</v>
      </c>
      <c r="O427" s="483">
        <v>134.15400000000011</v>
      </c>
      <c r="P427" s="913" t="s">
        <v>2413</v>
      </c>
      <c r="Q427" s="484">
        <v>336.67839999999967</v>
      </c>
      <c r="R427" s="497"/>
    </row>
    <row r="428" spans="1:18" ht="15" customHeight="1">
      <c r="A428" s="233">
        <v>414</v>
      </c>
      <c r="B428" s="413" t="s">
        <v>3245</v>
      </c>
      <c r="C428" s="411">
        <f t="shared" si="8"/>
        <v>414</v>
      </c>
      <c r="D428" s="443" t="s">
        <v>251</v>
      </c>
      <c r="E428" s="412" t="s">
        <v>3271</v>
      </c>
      <c r="F428" s="912">
        <v>3.8453000000000001E-2</v>
      </c>
      <c r="G428" s="480">
        <v>2538.4744000000001</v>
      </c>
      <c r="H428" s="414">
        <v>487.2</v>
      </c>
      <c r="I428" s="413" t="s">
        <v>481</v>
      </c>
      <c r="J428" s="411">
        <v>1</v>
      </c>
      <c r="K428" s="411" t="s">
        <v>3295</v>
      </c>
      <c r="L428" s="482">
        <v>348</v>
      </c>
      <c r="M428" s="461" t="s">
        <v>2412</v>
      </c>
      <c r="N428" s="483">
        <v>67.071199999999919</v>
      </c>
      <c r="O428" s="483">
        <v>134.15400000000011</v>
      </c>
      <c r="P428" s="913" t="s">
        <v>2413</v>
      </c>
      <c r="Q428" s="484">
        <v>336.67839999999967</v>
      </c>
      <c r="R428" s="497"/>
    </row>
    <row r="429" spans="1:18" ht="15" customHeight="1">
      <c r="A429" s="411">
        <v>415</v>
      </c>
      <c r="B429" s="413" t="s">
        <v>3246</v>
      </c>
      <c r="C429" s="411">
        <f t="shared" si="8"/>
        <v>415</v>
      </c>
      <c r="D429" s="443" t="s">
        <v>251</v>
      </c>
      <c r="E429" s="412" t="s">
        <v>3272</v>
      </c>
      <c r="F429" s="912">
        <v>3.8453000000000001E-2</v>
      </c>
      <c r="G429" s="480">
        <v>2538.4744000000001</v>
      </c>
      <c r="H429" s="414">
        <v>487.2</v>
      </c>
      <c r="I429" s="413" t="s">
        <v>481</v>
      </c>
      <c r="J429" s="411">
        <v>1</v>
      </c>
      <c r="K429" s="411" t="s">
        <v>3296</v>
      </c>
      <c r="L429" s="482">
        <v>348</v>
      </c>
      <c r="M429" s="461" t="s">
        <v>2412</v>
      </c>
      <c r="N429" s="483">
        <v>67.071199999999919</v>
      </c>
      <c r="O429" s="483">
        <v>134.15400000000011</v>
      </c>
      <c r="P429" s="913" t="s">
        <v>2413</v>
      </c>
      <c r="Q429" s="484">
        <v>336.67839999999967</v>
      </c>
      <c r="R429" s="497"/>
    </row>
    <row r="430" spans="1:18" ht="15" customHeight="1">
      <c r="A430" s="411">
        <v>416</v>
      </c>
      <c r="B430" s="413" t="s">
        <v>3247</v>
      </c>
      <c r="C430" s="411">
        <f t="shared" si="8"/>
        <v>416</v>
      </c>
      <c r="D430" s="443" t="s">
        <v>251</v>
      </c>
      <c r="E430" s="412" t="s">
        <v>3273</v>
      </c>
      <c r="F430" s="912">
        <v>3.8453000000000001E-2</v>
      </c>
      <c r="G430" s="480">
        <v>2538.4744000000001</v>
      </c>
      <c r="H430" s="414">
        <v>487.2</v>
      </c>
      <c r="I430" s="413" t="s">
        <v>481</v>
      </c>
      <c r="J430" s="411">
        <v>1</v>
      </c>
      <c r="K430" s="411" t="s">
        <v>3297</v>
      </c>
      <c r="L430" s="482">
        <v>348</v>
      </c>
      <c r="M430" s="461" t="s">
        <v>2412</v>
      </c>
      <c r="N430" s="483">
        <v>67.071199999999919</v>
      </c>
      <c r="O430" s="483">
        <v>134.15400000000011</v>
      </c>
      <c r="P430" s="913" t="s">
        <v>2413</v>
      </c>
      <c r="Q430" s="484">
        <v>336.67839999999967</v>
      </c>
      <c r="R430" s="497"/>
    </row>
    <row r="431" spans="1:18" ht="15" customHeight="1">
      <c r="A431" s="233">
        <v>417</v>
      </c>
      <c r="B431" s="413" t="s">
        <v>4088</v>
      </c>
      <c r="C431" s="411">
        <f t="shared" si="8"/>
        <v>417</v>
      </c>
      <c r="D431" s="443" t="s">
        <v>251</v>
      </c>
      <c r="E431" s="412" t="s">
        <v>4089</v>
      </c>
      <c r="F431" s="912">
        <v>3.8453000000000001E-2</v>
      </c>
      <c r="G431" s="480">
        <v>2538.4744000000001</v>
      </c>
      <c r="H431" s="414">
        <v>487.2</v>
      </c>
      <c r="I431" s="413" t="s">
        <v>481</v>
      </c>
      <c r="J431" s="411">
        <v>1</v>
      </c>
      <c r="K431" s="411" t="s">
        <v>4090</v>
      </c>
      <c r="L431" s="482">
        <v>348</v>
      </c>
      <c r="M431" s="461" t="s">
        <v>2412</v>
      </c>
      <c r="N431" s="483">
        <v>67.071199999999919</v>
      </c>
      <c r="O431" s="483">
        <v>134.15400000000011</v>
      </c>
      <c r="P431" s="913" t="s">
        <v>2413</v>
      </c>
      <c r="Q431" s="484">
        <v>336.67839999999967</v>
      </c>
      <c r="R431" s="497"/>
    </row>
    <row r="432" spans="1:18" ht="15" customHeight="1">
      <c r="A432" s="411">
        <v>418</v>
      </c>
      <c r="B432" s="413" t="s">
        <v>11039</v>
      </c>
      <c r="C432" s="411">
        <f t="shared" si="8"/>
        <v>418</v>
      </c>
      <c r="D432" s="443" t="s">
        <v>251</v>
      </c>
      <c r="E432" s="412" t="s">
        <v>11053</v>
      </c>
      <c r="F432" s="912">
        <v>3.8453000000000001E-2</v>
      </c>
      <c r="G432" s="480">
        <v>2538.4744000000001</v>
      </c>
      <c r="H432" s="414">
        <v>487.2</v>
      </c>
      <c r="I432" s="413" t="s">
        <v>481</v>
      </c>
      <c r="J432" s="411">
        <v>1</v>
      </c>
      <c r="K432" s="411" t="s">
        <v>11064</v>
      </c>
      <c r="L432" s="482">
        <v>348</v>
      </c>
      <c r="M432" s="461" t="s">
        <v>2412</v>
      </c>
      <c r="N432" s="483">
        <v>67.071199999999919</v>
      </c>
      <c r="O432" s="483">
        <v>134.15400000000011</v>
      </c>
      <c r="P432" s="913" t="s">
        <v>2413</v>
      </c>
      <c r="Q432" s="484">
        <v>336.67840000000001</v>
      </c>
      <c r="R432" s="497"/>
    </row>
    <row r="433" spans="1:18" ht="15" customHeight="1">
      <c r="A433" s="411">
        <v>419</v>
      </c>
      <c r="B433" s="413" t="s">
        <v>3433</v>
      </c>
      <c r="C433" s="411">
        <f t="shared" si="8"/>
        <v>419</v>
      </c>
      <c r="D433" s="443" t="s">
        <v>251</v>
      </c>
      <c r="E433" s="412" t="s">
        <v>3602</v>
      </c>
      <c r="F433" s="912">
        <v>3.8453000000000001E-2</v>
      </c>
      <c r="G433" s="480">
        <v>2538.4744000000001</v>
      </c>
      <c r="H433" s="414">
        <v>487.2</v>
      </c>
      <c r="I433" s="413" t="s">
        <v>481</v>
      </c>
      <c r="J433" s="411">
        <v>1</v>
      </c>
      <c r="K433" s="411" t="s">
        <v>3517</v>
      </c>
      <c r="L433" s="482">
        <v>348</v>
      </c>
      <c r="M433" s="461" t="s">
        <v>2412</v>
      </c>
      <c r="N433" s="483">
        <v>67.071199999999919</v>
      </c>
      <c r="O433" s="483">
        <v>134.15400000000011</v>
      </c>
      <c r="P433" s="913" t="s">
        <v>2413</v>
      </c>
      <c r="Q433" s="484">
        <v>336.67839999999967</v>
      </c>
      <c r="R433" s="497"/>
    </row>
    <row r="434" spans="1:18" ht="15" customHeight="1">
      <c r="A434" s="233">
        <v>420</v>
      </c>
      <c r="B434" s="413" t="s">
        <v>3248</v>
      </c>
      <c r="C434" s="411">
        <f t="shared" si="8"/>
        <v>420</v>
      </c>
      <c r="D434" s="443" t="s">
        <v>251</v>
      </c>
      <c r="E434" s="412" t="s">
        <v>3274</v>
      </c>
      <c r="F434" s="912">
        <v>3.8453000000000001E-2</v>
      </c>
      <c r="G434" s="480">
        <v>2538.4744000000001</v>
      </c>
      <c r="H434" s="414">
        <v>487.2</v>
      </c>
      <c r="I434" s="413" t="s">
        <v>481</v>
      </c>
      <c r="J434" s="411">
        <v>1</v>
      </c>
      <c r="K434" s="411" t="s">
        <v>3298</v>
      </c>
      <c r="L434" s="482">
        <v>348</v>
      </c>
      <c r="M434" s="461" t="s">
        <v>2412</v>
      </c>
      <c r="N434" s="483">
        <v>67.071199999999919</v>
      </c>
      <c r="O434" s="483">
        <v>134.15400000000011</v>
      </c>
      <c r="P434" s="913" t="s">
        <v>2413</v>
      </c>
      <c r="Q434" s="484">
        <v>336.67839999999967</v>
      </c>
      <c r="R434" s="497"/>
    </row>
    <row r="435" spans="1:18" ht="15" customHeight="1">
      <c r="A435" s="411">
        <v>421</v>
      </c>
      <c r="B435" s="413" t="s">
        <v>3434</v>
      </c>
      <c r="C435" s="411">
        <f t="shared" si="8"/>
        <v>421</v>
      </c>
      <c r="D435" s="443" t="s">
        <v>251</v>
      </c>
      <c r="E435" s="412" t="s">
        <v>3603</v>
      </c>
      <c r="F435" s="912">
        <v>3.8453000000000001E-2</v>
      </c>
      <c r="G435" s="480">
        <v>2538.4744000000001</v>
      </c>
      <c r="H435" s="414">
        <v>487.2</v>
      </c>
      <c r="I435" s="413" t="s">
        <v>481</v>
      </c>
      <c r="J435" s="411">
        <v>1</v>
      </c>
      <c r="K435" s="411" t="s">
        <v>3518</v>
      </c>
      <c r="L435" s="482">
        <v>348</v>
      </c>
      <c r="M435" s="461" t="s">
        <v>2412</v>
      </c>
      <c r="N435" s="483">
        <v>67.071199999999919</v>
      </c>
      <c r="O435" s="483">
        <v>134.15400000000011</v>
      </c>
      <c r="P435" s="913" t="s">
        <v>2413</v>
      </c>
      <c r="Q435" s="484">
        <v>336.67839999999967</v>
      </c>
      <c r="R435" s="497"/>
    </row>
    <row r="436" spans="1:18" ht="15" customHeight="1">
      <c r="A436" s="411">
        <v>422</v>
      </c>
      <c r="B436" s="413" t="s">
        <v>10956</v>
      </c>
      <c r="C436" s="411">
        <f t="shared" si="8"/>
        <v>422</v>
      </c>
      <c r="D436" s="443" t="s">
        <v>251</v>
      </c>
      <c r="E436" s="412" t="s">
        <v>10969</v>
      </c>
      <c r="F436" s="912">
        <v>3.8453000000000001E-2</v>
      </c>
      <c r="G436" s="480">
        <v>2538.4744000000001</v>
      </c>
      <c r="H436" s="414">
        <v>487.2</v>
      </c>
      <c r="I436" s="413" t="s">
        <v>481</v>
      </c>
      <c r="J436" s="411">
        <v>1</v>
      </c>
      <c r="K436" s="411" t="s">
        <v>10982</v>
      </c>
      <c r="L436" s="482">
        <v>348</v>
      </c>
      <c r="M436" s="461" t="s">
        <v>2412</v>
      </c>
      <c r="N436" s="483">
        <v>67.071199999999919</v>
      </c>
      <c r="O436" s="483">
        <v>134.15399999999985</v>
      </c>
      <c r="P436" s="913" t="s">
        <v>2413</v>
      </c>
      <c r="Q436" s="484">
        <v>336.67840000000001</v>
      </c>
      <c r="R436" s="497"/>
    </row>
    <row r="437" spans="1:18" ht="15" customHeight="1">
      <c r="A437" s="233">
        <v>423</v>
      </c>
      <c r="B437" s="413" t="s">
        <v>3307</v>
      </c>
      <c r="C437" s="411">
        <f t="shared" si="8"/>
        <v>423</v>
      </c>
      <c r="D437" s="443" t="s">
        <v>251</v>
      </c>
      <c r="E437" s="412" t="s">
        <v>3308</v>
      </c>
      <c r="F437" s="912">
        <v>3.8453000000000001E-2</v>
      </c>
      <c r="G437" s="480">
        <v>2538.4744000000001</v>
      </c>
      <c r="H437" s="414">
        <v>487.2</v>
      </c>
      <c r="I437" s="413" t="s">
        <v>481</v>
      </c>
      <c r="J437" s="411">
        <v>1</v>
      </c>
      <c r="K437" s="411" t="s">
        <v>3309</v>
      </c>
      <c r="L437" s="482">
        <v>348</v>
      </c>
      <c r="M437" s="461" t="s">
        <v>2412</v>
      </c>
      <c r="N437" s="483">
        <v>67.071199999999919</v>
      </c>
      <c r="O437" s="483">
        <v>134.15400000000011</v>
      </c>
      <c r="P437" s="913" t="s">
        <v>2413</v>
      </c>
      <c r="Q437" s="484">
        <v>336.67839999999967</v>
      </c>
      <c r="R437" s="497"/>
    </row>
    <row r="438" spans="1:18" ht="15" customHeight="1">
      <c r="A438" s="411">
        <v>424</v>
      </c>
      <c r="B438" s="413" t="s">
        <v>4856</v>
      </c>
      <c r="C438" s="411">
        <f t="shared" si="8"/>
        <v>424</v>
      </c>
      <c r="D438" s="443" t="s">
        <v>3604</v>
      </c>
      <c r="E438" s="412" t="s">
        <v>4885</v>
      </c>
      <c r="F438" s="912">
        <v>2.6136E-2</v>
      </c>
      <c r="G438" s="480">
        <v>8691.4159999999993</v>
      </c>
      <c r="H438" s="414">
        <v>487.2</v>
      </c>
      <c r="I438" s="413" t="s">
        <v>3620</v>
      </c>
      <c r="J438" s="411">
        <v>3</v>
      </c>
      <c r="K438" s="411" t="s">
        <v>4915</v>
      </c>
      <c r="L438" s="482">
        <v>348</v>
      </c>
      <c r="M438" s="461" t="s">
        <v>2412</v>
      </c>
      <c r="N438" s="483">
        <v>354.90199999999999</v>
      </c>
      <c r="O438" s="483">
        <v>709.80399999999997</v>
      </c>
      <c r="P438" s="913" t="s">
        <v>2413</v>
      </c>
      <c r="Q438" s="484">
        <v>0</v>
      </c>
      <c r="R438" s="497"/>
    </row>
    <row r="439" spans="1:18" ht="15" customHeight="1">
      <c r="A439" s="411">
        <v>425</v>
      </c>
      <c r="B439" s="413" t="s">
        <v>4857</v>
      </c>
      <c r="C439" s="411">
        <f t="shared" si="8"/>
        <v>425</v>
      </c>
      <c r="D439" s="443" t="s">
        <v>3604</v>
      </c>
      <c r="E439" s="412" t="s">
        <v>4886</v>
      </c>
      <c r="F439" s="912">
        <v>2.6136E-2</v>
      </c>
      <c r="G439" s="480">
        <v>8691.42</v>
      </c>
      <c r="H439" s="414">
        <v>487.2</v>
      </c>
      <c r="I439" s="413" t="s">
        <v>3620</v>
      </c>
      <c r="J439" s="411">
        <v>3</v>
      </c>
      <c r="K439" s="411" t="s">
        <v>4916</v>
      </c>
      <c r="L439" s="482">
        <v>348</v>
      </c>
      <c r="M439" s="461" t="s">
        <v>2412</v>
      </c>
      <c r="N439" s="483">
        <v>354.90200000000084</v>
      </c>
      <c r="O439" s="483">
        <v>709.80400000000066</v>
      </c>
      <c r="P439" s="913" t="s">
        <v>2413</v>
      </c>
      <c r="Q439" s="484">
        <v>0</v>
      </c>
      <c r="R439" s="497"/>
    </row>
    <row r="440" spans="1:18" ht="15" customHeight="1">
      <c r="A440" s="233">
        <v>426</v>
      </c>
      <c r="B440" s="413" t="s">
        <v>4797</v>
      </c>
      <c r="C440" s="411">
        <f t="shared" si="8"/>
        <v>426</v>
      </c>
      <c r="D440" s="443" t="s">
        <v>3604</v>
      </c>
      <c r="E440" s="412" t="s">
        <v>4806</v>
      </c>
      <c r="F440" s="912">
        <v>4.9057000000000003E-2</v>
      </c>
      <c r="G440" s="480">
        <v>11870.23</v>
      </c>
      <c r="H440" s="414">
        <v>487.2</v>
      </c>
      <c r="I440" s="413" t="s">
        <v>3620</v>
      </c>
      <c r="J440" s="411">
        <v>3</v>
      </c>
      <c r="K440" s="411" t="s">
        <v>4817</v>
      </c>
      <c r="L440" s="482">
        <v>348</v>
      </c>
      <c r="M440" s="461" t="s">
        <v>2412</v>
      </c>
      <c r="N440" s="483">
        <v>415.31500000000051</v>
      </c>
      <c r="O440" s="483">
        <v>830.63000000000102</v>
      </c>
      <c r="P440" s="913" t="s">
        <v>2413</v>
      </c>
      <c r="Q440" s="484">
        <v>0</v>
      </c>
      <c r="R440" s="497"/>
    </row>
    <row r="441" spans="1:18" ht="15" customHeight="1">
      <c r="A441" s="411">
        <v>427</v>
      </c>
      <c r="B441" s="413" t="s">
        <v>3435</v>
      </c>
      <c r="C441" s="411">
        <f t="shared" si="8"/>
        <v>427</v>
      </c>
      <c r="D441" s="443" t="s">
        <v>3604</v>
      </c>
      <c r="E441" s="412" t="s">
        <v>3605</v>
      </c>
      <c r="F441" s="912">
        <v>3.1363000000000002E-2</v>
      </c>
      <c r="G441" s="480">
        <v>7453.37</v>
      </c>
      <c r="H441" s="414">
        <v>487.2</v>
      </c>
      <c r="I441" s="413" t="s">
        <v>3620</v>
      </c>
      <c r="J441" s="411">
        <v>3</v>
      </c>
      <c r="K441" s="411" t="s">
        <v>3519</v>
      </c>
      <c r="L441" s="482">
        <v>348</v>
      </c>
      <c r="M441" s="461" t="s">
        <v>2412</v>
      </c>
      <c r="N441" s="483">
        <v>298.14</v>
      </c>
      <c r="O441" s="483">
        <v>596.29</v>
      </c>
      <c r="P441" s="913" t="s">
        <v>2413</v>
      </c>
      <c r="Q441" s="484">
        <v>0</v>
      </c>
      <c r="R441" s="497"/>
    </row>
    <row r="442" spans="1:18" ht="15" customHeight="1">
      <c r="A442" s="411">
        <v>428</v>
      </c>
      <c r="B442" s="413" t="s">
        <v>5166</v>
      </c>
      <c r="C442" s="411">
        <f t="shared" si="8"/>
        <v>428</v>
      </c>
      <c r="D442" s="443" t="s">
        <v>3604</v>
      </c>
      <c r="E442" s="412" t="s">
        <v>5186</v>
      </c>
      <c r="F442" s="912">
        <v>3.1363000000000002E-2</v>
      </c>
      <c r="G442" s="480">
        <v>7453.37</v>
      </c>
      <c r="H442" s="414">
        <v>487.2</v>
      </c>
      <c r="I442" s="413" t="s">
        <v>3620</v>
      </c>
      <c r="J442" s="411">
        <v>3</v>
      </c>
      <c r="K442" s="411" t="s">
        <v>5205</v>
      </c>
      <c r="L442" s="482">
        <v>348</v>
      </c>
      <c r="M442" s="461" t="s">
        <v>2412</v>
      </c>
      <c r="N442" s="483">
        <v>298.14319999999947</v>
      </c>
      <c r="O442" s="483">
        <v>596.28639999999996</v>
      </c>
      <c r="P442" s="913" t="s">
        <v>2413</v>
      </c>
      <c r="Q442" s="484">
        <v>0</v>
      </c>
      <c r="R442" s="497"/>
    </row>
    <row r="443" spans="1:18" ht="15" customHeight="1">
      <c r="A443" s="233">
        <v>429</v>
      </c>
      <c r="B443" s="413" t="s">
        <v>4858</v>
      </c>
      <c r="C443" s="411">
        <f t="shared" si="8"/>
        <v>429</v>
      </c>
      <c r="D443" s="443" t="s">
        <v>3604</v>
      </c>
      <c r="E443" s="412" t="s">
        <v>4887</v>
      </c>
      <c r="F443" s="912">
        <v>3.1363000000000002E-2</v>
      </c>
      <c r="G443" s="480">
        <v>7453.3711999999996</v>
      </c>
      <c r="H443" s="414">
        <v>487.2</v>
      </c>
      <c r="I443" s="413" t="s">
        <v>3620</v>
      </c>
      <c r="J443" s="411">
        <v>3</v>
      </c>
      <c r="K443" s="411" t="s">
        <v>4917</v>
      </c>
      <c r="L443" s="482">
        <v>348</v>
      </c>
      <c r="M443" s="461" t="s">
        <v>2412</v>
      </c>
      <c r="N443" s="483">
        <v>298.14319999999947</v>
      </c>
      <c r="O443" s="483">
        <v>596.28639999999996</v>
      </c>
      <c r="P443" s="913" t="s">
        <v>2413</v>
      </c>
      <c r="Q443" s="484">
        <v>0</v>
      </c>
      <c r="R443" s="497"/>
    </row>
    <row r="444" spans="1:18" ht="15" customHeight="1">
      <c r="A444" s="411">
        <v>430</v>
      </c>
      <c r="B444" s="413" t="s">
        <v>5167</v>
      </c>
      <c r="C444" s="411">
        <f t="shared" si="8"/>
        <v>430</v>
      </c>
      <c r="D444" s="443" t="s">
        <v>3604</v>
      </c>
      <c r="E444" s="412" t="s">
        <v>5187</v>
      </c>
      <c r="F444" s="912">
        <v>2.8934000000000001E-2</v>
      </c>
      <c r="G444" s="480">
        <v>8154.31</v>
      </c>
      <c r="H444" s="414">
        <v>487.2</v>
      </c>
      <c r="I444" s="413" t="s">
        <v>3620</v>
      </c>
      <c r="J444" s="411">
        <v>3</v>
      </c>
      <c r="K444" s="411" t="s">
        <v>5206</v>
      </c>
      <c r="L444" s="482">
        <v>348</v>
      </c>
      <c r="M444" s="461" t="s">
        <v>2412</v>
      </c>
      <c r="N444" s="483">
        <v>330.29</v>
      </c>
      <c r="O444" s="483">
        <v>660.56199999999978</v>
      </c>
      <c r="P444" s="913" t="s">
        <v>2413</v>
      </c>
      <c r="Q444" s="484">
        <v>0</v>
      </c>
      <c r="R444" s="497"/>
    </row>
    <row r="445" spans="1:18" ht="15" customHeight="1">
      <c r="A445" s="411">
        <v>431</v>
      </c>
      <c r="B445" s="413" t="s">
        <v>4767</v>
      </c>
      <c r="C445" s="411">
        <f t="shared" si="8"/>
        <v>431</v>
      </c>
      <c r="D445" s="443" t="s">
        <v>3604</v>
      </c>
      <c r="E445" s="412" t="s">
        <v>4772</v>
      </c>
      <c r="F445" s="912">
        <v>4.9057000000000003E-2</v>
      </c>
      <c r="G445" s="480">
        <v>11870.23</v>
      </c>
      <c r="H445" s="414">
        <v>487.2</v>
      </c>
      <c r="I445" s="413" t="s">
        <v>3620</v>
      </c>
      <c r="J445" s="411">
        <v>3</v>
      </c>
      <c r="K445" s="411" t="s">
        <v>4281</v>
      </c>
      <c r="L445" s="482">
        <v>348</v>
      </c>
      <c r="M445" s="461" t="s">
        <v>2412</v>
      </c>
      <c r="N445" s="483">
        <v>415.31500000000051</v>
      </c>
      <c r="O445" s="483">
        <v>830.63000000000102</v>
      </c>
      <c r="P445" s="913" t="s">
        <v>2413</v>
      </c>
      <c r="Q445" s="484">
        <v>0</v>
      </c>
      <c r="R445" s="497"/>
    </row>
    <row r="446" spans="1:18" ht="15" customHeight="1">
      <c r="A446" s="233">
        <v>432</v>
      </c>
      <c r="B446" s="413" t="s">
        <v>4768</v>
      </c>
      <c r="C446" s="411">
        <f t="shared" si="8"/>
        <v>432</v>
      </c>
      <c r="D446" s="443" t="s">
        <v>3604</v>
      </c>
      <c r="E446" s="412" t="s">
        <v>4773</v>
      </c>
      <c r="F446" s="912">
        <v>4.9057000000000003E-2</v>
      </c>
      <c r="G446" s="480">
        <v>11870.23</v>
      </c>
      <c r="H446" s="414">
        <v>487.2</v>
      </c>
      <c r="I446" s="413" t="s">
        <v>3620</v>
      </c>
      <c r="J446" s="411">
        <v>3</v>
      </c>
      <c r="K446" s="411" t="s">
        <v>4282</v>
      </c>
      <c r="L446" s="482">
        <v>348</v>
      </c>
      <c r="M446" s="461" t="s">
        <v>2412</v>
      </c>
      <c r="N446" s="483">
        <v>415.31500000000051</v>
      </c>
      <c r="O446" s="483">
        <v>830.63000000000102</v>
      </c>
      <c r="P446" s="913" t="s">
        <v>2413</v>
      </c>
      <c r="Q446" s="484">
        <v>0</v>
      </c>
      <c r="R446" s="497"/>
    </row>
    <row r="447" spans="1:18" ht="15" customHeight="1">
      <c r="A447" s="411">
        <v>433</v>
      </c>
      <c r="B447" s="413" t="s">
        <v>4859</v>
      </c>
      <c r="C447" s="411">
        <f t="shared" si="8"/>
        <v>433</v>
      </c>
      <c r="D447" s="443" t="s">
        <v>3604</v>
      </c>
      <c r="E447" s="412" t="s">
        <v>4888</v>
      </c>
      <c r="F447" s="912">
        <v>4.9057000000000003E-2</v>
      </c>
      <c r="G447" s="480">
        <v>11870.233599999998</v>
      </c>
      <c r="H447" s="414">
        <v>487.2</v>
      </c>
      <c r="I447" s="413" t="s">
        <v>3620</v>
      </c>
      <c r="J447" s="411">
        <v>3</v>
      </c>
      <c r="K447" s="411" t="s">
        <v>4918</v>
      </c>
      <c r="L447" s="482">
        <v>348</v>
      </c>
      <c r="M447" s="461" t="s">
        <v>2412</v>
      </c>
      <c r="N447" s="483">
        <v>481.77120000000002</v>
      </c>
      <c r="O447" s="483">
        <v>963.5308</v>
      </c>
      <c r="P447" s="913" t="s">
        <v>2413</v>
      </c>
      <c r="Q447" s="484">
        <v>0</v>
      </c>
      <c r="R447" s="497"/>
    </row>
    <row r="448" spans="1:18" ht="15" customHeight="1">
      <c r="A448" s="411">
        <v>434</v>
      </c>
      <c r="B448" s="413" t="s">
        <v>4860</v>
      </c>
      <c r="C448" s="411">
        <f t="shared" si="8"/>
        <v>434</v>
      </c>
      <c r="D448" s="443" t="s">
        <v>3604</v>
      </c>
      <c r="E448" s="412" t="s">
        <v>4889</v>
      </c>
      <c r="F448" s="912">
        <v>4.9057000000000003E-2</v>
      </c>
      <c r="G448" s="480">
        <v>11870.233599999998</v>
      </c>
      <c r="H448" s="414">
        <v>487.2</v>
      </c>
      <c r="I448" s="413" t="s">
        <v>3620</v>
      </c>
      <c r="J448" s="411">
        <v>3</v>
      </c>
      <c r="K448" s="411" t="s">
        <v>4919</v>
      </c>
      <c r="L448" s="482">
        <v>348</v>
      </c>
      <c r="M448" s="461" t="s">
        <v>2412</v>
      </c>
      <c r="N448" s="483">
        <v>481.77120000000002</v>
      </c>
      <c r="O448" s="483">
        <v>963.5308</v>
      </c>
      <c r="P448" s="913" t="s">
        <v>2413</v>
      </c>
      <c r="Q448" s="484">
        <v>0</v>
      </c>
      <c r="R448" s="497"/>
    </row>
    <row r="449" spans="1:18" ht="15" customHeight="1">
      <c r="A449" s="233">
        <v>435</v>
      </c>
      <c r="B449" s="413" t="s">
        <v>4798</v>
      </c>
      <c r="C449" s="411">
        <f t="shared" si="8"/>
        <v>435</v>
      </c>
      <c r="D449" s="443" t="s">
        <v>3604</v>
      </c>
      <c r="E449" s="412" t="s">
        <v>4807</v>
      </c>
      <c r="F449" s="912">
        <v>2.6136E-2</v>
      </c>
      <c r="G449" s="480">
        <v>8691.42</v>
      </c>
      <c r="H449" s="414">
        <v>487.2</v>
      </c>
      <c r="I449" s="413" t="s">
        <v>3620</v>
      </c>
      <c r="J449" s="411">
        <v>3</v>
      </c>
      <c r="K449" s="411" t="s">
        <v>4818</v>
      </c>
      <c r="L449" s="482">
        <v>348</v>
      </c>
      <c r="M449" s="461" t="s">
        <v>2412</v>
      </c>
      <c r="N449" s="483">
        <v>305.95000000000073</v>
      </c>
      <c r="O449" s="483">
        <v>611.90000000000055</v>
      </c>
      <c r="P449" s="913" t="s">
        <v>2413</v>
      </c>
      <c r="Q449" s="484">
        <v>0</v>
      </c>
      <c r="R449" s="497"/>
    </row>
    <row r="450" spans="1:18" ht="15" customHeight="1">
      <c r="A450" s="411">
        <v>436</v>
      </c>
      <c r="B450" s="413" t="s">
        <v>5141</v>
      </c>
      <c r="C450" s="411">
        <f t="shared" si="8"/>
        <v>436</v>
      </c>
      <c r="D450" s="443" t="s">
        <v>2192</v>
      </c>
      <c r="E450" s="412" t="s">
        <v>5142</v>
      </c>
      <c r="F450" s="912">
        <v>4.8640000000000003E-2</v>
      </c>
      <c r="G450" s="480">
        <v>3463</v>
      </c>
      <c r="H450" s="414">
        <v>487.2</v>
      </c>
      <c r="I450" s="413" t="s">
        <v>533</v>
      </c>
      <c r="J450" s="411">
        <v>2</v>
      </c>
      <c r="K450" s="411" t="s">
        <v>5143</v>
      </c>
      <c r="L450" s="482">
        <v>348</v>
      </c>
      <c r="M450" s="461" t="s">
        <v>2412</v>
      </c>
      <c r="N450" s="483">
        <v>121.62599999999989</v>
      </c>
      <c r="O450" s="483">
        <v>243.24039999999999</v>
      </c>
      <c r="P450" s="913" t="s">
        <v>2413</v>
      </c>
      <c r="Q450" s="484">
        <v>336.67840000000001</v>
      </c>
      <c r="R450" s="497"/>
    </row>
    <row r="451" spans="1:18" ht="15" customHeight="1">
      <c r="A451" s="411">
        <v>437</v>
      </c>
      <c r="B451" s="413" t="s">
        <v>2648</v>
      </c>
      <c r="C451" s="411">
        <f t="shared" si="8"/>
        <v>437</v>
      </c>
      <c r="D451" s="443" t="s">
        <v>2192</v>
      </c>
      <c r="E451" s="412" t="s">
        <v>218</v>
      </c>
      <c r="F451" s="912">
        <v>4.8639700000000001E-2</v>
      </c>
      <c r="G451" s="480">
        <v>3463.0023344000001</v>
      </c>
      <c r="H451" s="414">
        <v>487.2</v>
      </c>
      <c r="I451" s="413" t="s">
        <v>533</v>
      </c>
      <c r="J451" s="411">
        <v>2</v>
      </c>
      <c r="K451" s="411" t="s">
        <v>697</v>
      </c>
      <c r="L451" s="482">
        <v>348</v>
      </c>
      <c r="M451" s="461" t="s">
        <v>2412</v>
      </c>
      <c r="N451" s="483">
        <v>121.62599999999989</v>
      </c>
      <c r="O451" s="483">
        <v>243.24040000000008</v>
      </c>
      <c r="P451" s="913" t="s">
        <v>2413</v>
      </c>
      <c r="Q451" s="484">
        <v>336.67839999999967</v>
      </c>
      <c r="R451" s="497"/>
    </row>
    <row r="452" spans="1:18" ht="15" customHeight="1">
      <c r="A452" s="233">
        <v>438</v>
      </c>
      <c r="B452" s="413" t="s">
        <v>2649</v>
      </c>
      <c r="C452" s="411">
        <f t="shared" si="8"/>
        <v>438</v>
      </c>
      <c r="D452" s="443" t="s">
        <v>2192</v>
      </c>
      <c r="E452" s="412" t="s">
        <v>219</v>
      </c>
      <c r="F452" s="912">
        <v>5.0458100000000006E-2</v>
      </c>
      <c r="G452" s="480">
        <v>3463.0023344000001</v>
      </c>
      <c r="H452" s="414">
        <v>487.2</v>
      </c>
      <c r="I452" s="413" t="s">
        <v>533</v>
      </c>
      <c r="J452" s="411">
        <v>2</v>
      </c>
      <c r="K452" s="411" t="s">
        <v>698</v>
      </c>
      <c r="L452" s="482">
        <v>348</v>
      </c>
      <c r="M452" s="461" t="s">
        <v>2412</v>
      </c>
      <c r="N452" s="483">
        <v>121.62599999999989</v>
      </c>
      <c r="O452" s="483">
        <v>243.24040000000008</v>
      </c>
      <c r="P452" s="913" t="s">
        <v>2413</v>
      </c>
      <c r="Q452" s="484">
        <v>336.67839999999967</v>
      </c>
      <c r="R452" s="497"/>
    </row>
    <row r="453" spans="1:18" ht="15" customHeight="1">
      <c r="A453" s="411">
        <v>439</v>
      </c>
      <c r="B453" s="413" t="s">
        <v>2650</v>
      </c>
      <c r="C453" s="411">
        <f t="shared" si="8"/>
        <v>439</v>
      </c>
      <c r="D453" s="443" t="s">
        <v>2192</v>
      </c>
      <c r="E453" s="412" t="s">
        <v>220</v>
      </c>
      <c r="F453" s="912">
        <v>5.0458100000000006E-2</v>
      </c>
      <c r="G453" s="480">
        <v>3463.0023344000001</v>
      </c>
      <c r="H453" s="414">
        <v>487.2</v>
      </c>
      <c r="I453" s="413" t="s">
        <v>533</v>
      </c>
      <c r="J453" s="411">
        <v>2</v>
      </c>
      <c r="K453" s="411" t="s">
        <v>699</v>
      </c>
      <c r="L453" s="482">
        <v>348</v>
      </c>
      <c r="M453" s="461" t="s">
        <v>2412</v>
      </c>
      <c r="N453" s="483">
        <v>121.62599999999989</v>
      </c>
      <c r="O453" s="483">
        <v>243.24040000000008</v>
      </c>
      <c r="P453" s="913" t="s">
        <v>2413</v>
      </c>
      <c r="Q453" s="484">
        <v>336.67839999999967</v>
      </c>
      <c r="R453" s="497"/>
    </row>
    <row r="454" spans="1:18" ht="15" customHeight="1">
      <c r="A454" s="411">
        <v>440</v>
      </c>
      <c r="B454" s="413" t="s">
        <v>2651</v>
      </c>
      <c r="C454" s="411">
        <f t="shared" si="8"/>
        <v>440</v>
      </c>
      <c r="D454" s="443" t="s">
        <v>2192</v>
      </c>
      <c r="E454" s="412" t="s">
        <v>221</v>
      </c>
      <c r="F454" s="912">
        <v>5.0458100000000006E-2</v>
      </c>
      <c r="G454" s="480">
        <v>3463.0023344000001</v>
      </c>
      <c r="H454" s="414">
        <v>487.2</v>
      </c>
      <c r="I454" s="413" t="s">
        <v>533</v>
      </c>
      <c r="J454" s="411">
        <v>2</v>
      </c>
      <c r="K454" s="411" t="s">
        <v>700</v>
      </c>
      <c r="L454" s="482">
        <v>348</v>
      </c>
      <c r="M454" s="461" t="s">
        <v>2412</v>
      </c>
      <c r="N454" s="483">
        <v>121.62599999999989</v>
      </c>
      <c r="O454" s="483">
        <v>243.24040000000008</v>
      </c>
      <c r="P454" s="913" t="s">
        <v>2413</v>
      </c>
      <c r="Q454" s="484">
        <v>336.67839999999967</v>
      </c>
      <c r="R454" s="497"/>
    </row>
    <row r="455" spans="1:18" ht="15" customHeight="1">
      <c r="A455" s="233">
        <v>441</v>
      </c>
      <c r="B455" s="413" t="s">
        <v>2652</v>
      </c>
      <c r="C455" s="411">
        <f t="shared" si="8"/>
        <v>441</v>
      </c>
      <c r="D455" s="443" t="s">
        <v>2192</v>
      </c>
      <c r="E455" s="412" t="s">
        <v>222</v>
      </c>
      <c r="F455" s="912">
        <v>4.1784200000000001E-2</v>
      </c>
      <c r="G455" s="480">
        <v>3463.0023344000001</v>
      </c>
      <c r="H455" s="414">
        <v>487.2</v>
      </c>
      <c r="I455" s="413" t="s">
        <v>533</v>
      </c>
      <c r="J455" s="411">
        <v>2</v>
      </c>
      <c r="K455" s="411" t="s">
        <v>701</v>
      </c>
      <c r="L455" s="482">
        <v>348</v>
      </c>
      <c r="M455" s="461" t="s">
        <v>2412</v>
      </c>
      <c r="N455" s="483">
        <v>121.62599999999989</v>
      </c>
      <c r="O455" s="483">
        <v>243.24040000000008</v>
      </c>
      <c r="P455" s="913" t="s">
        <v>2413</v>
      </c>
      <c r="Q455" s="484">
        <v>336.67839999999967</v>
      </c>
      <c r="R455" s="497"/>
    </row>
    <row r="456" spans="1:18" ht="15" customHeight="1">
      <c r="A456" s="411">
        <v>442</v>
      </c>
      <c r="B456" s="413" t="s">
        <v>2653</v>
      </c>
      <c r="C456" s="411">
        <f t="shared" si="8"/>
        <v>442</v>
      </c>
      <c r="D456" s="443" t="s">
        <v>2192</v>
      </c>
      <c r="E456" s="412" t="s">
        <v>223</v>
      </c>
      <c r="F456" s="912">
        <v>4.1784200000000001E-2</v>
      </c>
      <c r="G456" s="480">
        <v>3463.0023344000001</v>
      </c>
      <c r="H456" s="414">
        <v>487.2</v>
      </c>
      <c r="I456" s="413" t="s">
        <v>533</v>
      </c>
      <c r="J456" s="411">
        <v>2</v>
      </c>
      <c r="K456" s="411" t="s">
        <v>702</v>
      </c>
      <c r="L456" s="482">
        <v>348</v>
      </c>
      <c r="M456" s="461" t="s">
        <v>2412</v>
      </c>
      <c r="N456" s="483">
        <v>121.62599999999989</v>
      </c>
      <c r="O456" s="483">
        <v>243.24040000000008</v>
      </c>
      <c r="P456" s="913" t="s">
        <v>2413</v>
      </c>
      <c r="Q456" s="484">
        <v>336.67839999999967</v>
      </c>
      <c r="R456" s="497"/>
    </row>
    <row r="457" spans="1:18" ht="15" customHeight="1">
      <c r="A457" s="411">
        <v>443</v>
      </c>
      <c r="B457" s="413" t="s">
        <v>4224</v>
      </c>
      <c r="C457" s="411">
        <f t="shared" si="8"/>
        <v>443</v>
      </c>
      <c r="D457" s="443" t="s">
        <v>2192</v>
      </c>
      <c r="E457" s="412" t="s">
        <v>4229</v>
      </c>
      <c r="F457" s="912">
        <v>2.8934000000000001E-2</v>
      </c>
      <c r="G457" s="480">
        <v>8154.31</v>
      </c>
      <c r="H457" s="414">
        <v>487.2</v>
      </c>
      <c r="I457" s="413" t="s">
        <v>3620</v>
      </c>
      <c r="J457" s="411">
        <v>3</v>
      </c>
      <c r="K457" s="411" t="s">
        <v>4234</v>
      </c>
      <c r="L457" s="482">
        <v>348</v>
      </c>
      <c r="M457" s="461" t="s">
        <v>2412</v>
      </c>
      <c r="N457" s="483">
        <v>330.29</v>
      </c>
      <c r="O457" s="483">
        <v>660.56</v>
      </c>
      <c r="P457" s="913" t="s">
        <v>2413</v>
      </c>
      <c r="Q457" s="484">
        <v>0</v>
      </c>
      <c r="R457" s="497"/>
    </row>
    <row r="458" spans="1:18" ht="15" customHeight="1">
      <c r="A458" s="233">
        <v>444</v>
      </c>
      <c r="B458" s="413" t="s">
        <v>2654</v>
      </c>
      <c r="C458" s="411">
        <f t="shared" si="8"/>
        <v>444</v>
      </c>
      <c r="D458" s="443" t="s">
        <v>2192</v>
      </c>
      <c r="E458" s="412" t="s">
        <v>2368</v>
      </c>
      <c r="F458" s="912">
        <v>4.1784200000000001E-2</v>
      </c>
      <c r="G458" s="480">
        <v>3463.0023344000001</v>
      </c>
      <c r="H458" s="414">
        <v>487.2</v>
      </c>
      <c r="I458" s="413" t="s">
        <v>533</v>
      </c>
      <c r="J458" s="411">
        <v>2</v>
      </c>
      <c r="K458" s="411" t="s">
        <v>2369</v>
      </c>
      <c r="L458" s="482">
        <v>348</v>
      </c>
      <c r="M458" s="461" t="s">
        <v>2412</v>
      </c>
      <c r="N458" s="483">
        <v>121.62599999999989</v>
      </c>
      <c r="O458" s="483">
        <v>243.24040000000008</v>
      </c>
      <c r="P458" s="913" t="s">
        <v>2413</v>
      </c>
      <c r="Q458" s="484">
        <v>336.67839999999967</v>
      </c>
      <c r="R458" s="497"/>
    </row>
    <row r="459" spans="1:18" ht="15" customHeight="1">
      <c r="A459" s="411">
        <v>445</v>
      </c>
      <c r="B459" s="413" t="s">
        <v>2655</v>
      </c>
      <c r="C459" s="411">
        <f t="shared" si="8"/>
        <v>445</v>
      </c>
      <c r="D459" s="443" t="s">
        <v>2193</v>
      </c>
      <c r="E459" s="412" t="s">
        <v>224</v>
      </c>
      <c r="F459" s="912">
        <v>4.8639700000000001E-2</v>
      </c>
      <c r="G459" s="480">
        <v>3463.0023344000001</v>
      </c>
      <c r="H459" s="414">
        <v>487.2</v>
      </c>
      <c r="I459" s="413" t="s">
        <v>533</v>
      </c>
      <c r="J459" s="411">
        <v>2</v>
      </c>
      <c r="K459" s="411" t="s">
        <v>703</v>
      </c>
      <c r="L459" s="482">
        <v>348</v>
      </c>
      <c r="M459" s="461" t="s">
        <v>2412</v>
      </c>
      <c r="N459" s="483">
        <v>121.62599999999989</v>
      </c>
      <c r="O459" s="483">
        <v>243.24040000000008</v>
      </c>
      <c r="P459" s="913" t="s">
        <v>2413</v>
      </c>
      <c r="Q459" s="484">
        <v>336.67839999999967</v>
      </c>
      <c r="R459" s="497"/>
    </row>
    <row r="460" spans="1:18" ht="15" customHeight="1">
      <c r="A460" s="411">
        <v>446</v>
      </c>
      <c r="B460" s="413" t="s">
        <v>2656</v>
      </c>
      <c r="C460" s="411">
        <f t="shared" si="8"/>
        <v>446</v>
      </c>
      <c r="D460" s="443" t="s">
        <v>2193</v>
      </c>
      <c r="E460" s="412" t="s">
        <v>225</v>
      </c>
      <c r="F460" s="912">
        <v>5.0458100000000006E-2</v>
      </c>
      <c r="G460" s="480">
        <v>3463.0023344000001</v>
      </c>
      <c r="H460" s="414">
        <v>487.2</v>
      </c>
      <c r="I460" s="413" t="s">
        <v>533</v>
      </c>
      <c r="J460" s="411">
        <v>2</v>
      </c>
      <c r="K460" s="411" t="s">
        <v>704</v>
      </c>
      <c r="L460" s="482">
        <v>348</v>
      </c>
      <c r="M460" s="461" t="s">
        <v>2412</v>
      </c>
      <c r="N460" s="483">
        <v>121.62599999999989</v>
      </c>
      <c r="O460" s="483">
        <v>243.24040000000008</v>
      </c>
      <c r="P460" s="913" t="s">
        <v>2413</v>
      </c>
      <c r="Q460" s="484">
        <v>336.67839999999967</v>
      </c>
      <c r="R460" s="497"/>
    </row>
    <row r="461" spans="1:18" ht="15" customHeight="1">
      <c r="A461" s="233">
        <v>447</v>
      </c>
      <c r="B461" s="413" t="s">
        <v>2657</v>
      </c>
      <c r="C461" s="411">
        <f t="shared" si="8"/>
        <v>447</v>
      </c>
      <c r="D461" s="443" t="s">
        <v>2193</v>
      </c>
      <c r="E461" s="412" t="s">
        <v>226</v>
      </c>
      <c r="F461" s="912">
        <v>5.0458100000000006E-2</v>
      </c>
      <c r="G461" s="480">
        <v>3463.0023344000001</v>
      </c>
      <c r="H461" s="414">
        <v>487.2</v>
      </c>
      <c r="I461" s="413" t="s">
        <v>533</v>
      </c>
      <c r="J461" s="411">
        <v>2</v>
      </c>
      <c r="K461" s="411" t="s">
        <v>705</v>
      </c>
      <c r="L461" s="482">
        <v>348</v>
      </c>
      <c r="M461" s="461" t="s">
        <v>2412</v>
      </c>
      <c r="N461" s="483">
        <v>121.62599999999989</v>
      </c>
      <c r="O461" s="483">
        <v>243.24040000000008</v>
      </c>
      <c r="P461" s="913" t="s">
        <v>2413</v>
      </c>
      <c r="Q461" s="484">
        <v>336.67839999999967</v>
      </c>
      <c r="R461" s="497"/>
    </row>
    <row r="462" spans="1:18" ht="15" customHeight="1">
      <c r="A462" s="411">
        <v>448</v>
      </c>
      <c r="B462" s="413" t="s">
        <v>2658</v>
      </c>
      <c r="C462" s="411">
        <f t="shared" si="8"/>
        <v>448</v>
      </c>
      <c r="D462" s="443" t="s">
        <v>2193</v>
      </c>
      <c r="E462" s="412" t="s">
        <v>2370</v>
      </c>
      <c r="F462" s="912">
        <v>5.0458100000000006E-2</v>
      </c>
      <c r="G462" s="480">
        <v>3463.0023344000001</v>
      </c>
      <c r="H462" s="414">
        <v>487.2</v>
      </c>
      <c r="I462" s="413" t="s">
        <v>533</v>
      </c>
      <c r="J462" s="411">
        <v>2</v>
      </c>
      <c r="K462" s="411" t="s">
        <v>2371</v>
      </c>
      <c r="L462" s="482">
        <v>348</v>
      </c>
      <c r="M462" s="461" t="s">
        <v>2412</v>
      </c>
      <c r="N462" s="483">
        <v>121.62599999999989</v>
      </c>
      <c r="O462" s="483">
        <v>243.24040000000008</v>
      </c>
      <c r="P462" s="913" t="s">
        <v>2413</v>
      </c>
      <c r="Q462" s="484">
        <v>336.67839999999967</v>
      </c>
      <c r="R462" s="497"/>
    </row>
    <row r="463" spans="1:18" ht="15" customHeight="1">
      <c r="A463" s="411">
        <v>449</v>
      </c>
      <c r="B463" s="413" t="s">
        <v>2659</v>
      </c>
      <c r="C463" s="411">
        <f t="shared" si="8"/>
        <v>449</v>
      </c>
      <c r="D463" s="443" t="s">
        <v>2193</v>
      </c>
      <c r="E463" s="412" t="s">
        <v>227</v>
      </c>
      <c r="F463" s="912">
        <v>5.0458100000000006E-2</v>
      </c>
      <c r="G463" s="480">
        <v>3463.0023344000001</v>
      </c>
      <c r="H463" s="414">
        <v>487.2</v>
      </c>
      <c r="I463" s="413" t="s">
        <v>533</v>
      </c>
      <c r="J463" s="411">
        <v>2</v>
      </c>
      <c r="K463" s="411" t="s">
        <v>706</v>
      </c>
      <c r="L463" s="482">
        <v>348</v>
      </c>
      <c r="M463" s="461" t="s">
        <v>2412</v>
      </c>
      <c r="N463" s="483">
        <v>121.62599999999989</v>
      </c>
      <c r="O463" s="483">
        <v>243.24040000000008</v>
      </c>
      <c r="P463" s="913" t="s">
        <v>2413</v>
      </c>
      <c r="Q463" s="484">
        <v>336.67839999999967</v>
      </c>
      <c r="R463" s="497"/>
    </row>
    <row r="464" spans="1:18" ht="15" customHeight="1">
      <c r="A464" s="233">
        <v>450</v>
      </c>
      <c r="B464" s="413" t="s">
        <v>2660</v>
      </c>
      <c r="C464" s="411">
        <f t="shared" ref="C464:C527" si="9">A464</f>
        <v>450</v>
      </c>
      <c r="D464" s="443" t="s">
        <v>2194</v>
      </c>
      <c r="E464" s="412" t="s">
        <v>2194</v>
      </c>
      <c r="F464" s="912">
        <v>1.5361E-2</v>
      </c>
      <c r="G464" s="480">
        <v>2538.4744000000001</v>
      </c>
      <c r="H464" s="414">
        <v>487.2</v>
      </c>
      <c r="I464" s="413" t="s">
        <v>481</v>
      </c>
      <c r="J464" s="411">
        <v>1</v>
      </c>
      <c r="K464" s="411" t="s">
        <v>707</v>
      </c>
      <c r="L464" s="482">
        <v>348</v>
      </c>
      <c r="M464" s="461" t="s">
        <v>2412</v>
      </c>
      <c r="N464" s="483">
        <v>67.071199999999919</v>
      </c>
      <c r="O464" s="483">
        <v>134.15400000000011</v>
      </c>
      <c r="P464" s="913" t="s">
        <v>2413</v>
      </c>
      <c r="Q464" s="484">
        <v>336.67839999999967</v>
      </c>
      <c r="R464" s="497"/>
    </row>
    <row r="465" spans="1:18" ht="15" customHeight="1">
      <c r="A465" s="411">
        <v>451</v>
      </c>
      <c r="B465" s="413" t="s">
        <v>4108</v>
      </c>
      <c r="C465" s="411">
        <f t="shared" si="9"/>
        <v>451</v>
      </c>
      <c r="D465" s="443" t="s">
        <v>4109</v>
      </c>
      <c r="E465" s="412" t="s">
        <v>4110</v>
      </c>
      <c r="F465" s="912">
        <v>2.8934000000000001E-2</v>
      </c>
      <c r="G465" s="480">
        <v>8154.31</v>
      </c>
      <c r="H465" s="414">
        <v>487.2</v>
      </c>
      <c r="I465" s="413" t="s">
        <v>3620</v>
      </c>
      <c r="J465" s="411">
        <v>3</v>
      </c>
      <c r="K465" s="411" t="s">
        <v>4111</v>
      </c>
      <c r="L465" s="482">
        <v>348</v>
      </c>
      <c r="M465" s="461" t="s">
        <v>2412</v>
      </c>
      <c r="N465" s="483">
        <v>330.29</v>
      </c>
      <c r="O465" s="483">
        <v>660.56</v>
      </c>
      <c r="P465" s="913" t="s">
        <v>2413</v>
      </c>
      <c r="Q465" s="484">
        <v>0</v>
      </c>
      <c r="R465" s="497"/>
    </row>
    <row r="466" spans="1:18" ht="15" customHeight="1">
      <c r="A466" s="411">
        <v>452</v>
      </c>
      <c r="B466" s="413" t="s">
        <v>4769</v>
      </c>
      <c r="C466" s="411">
        <f t="shared" si="9"/>
        <v>452</v>
      </c>
      <c r="D466" s="443" t="s">
        <v>4109</v>
      </c>
      <c r="E466" s="412" t="s">
        <v>4777</v>
      </c>
      <c r="F466" s="912">
        <v>4.9454999999999999E-2</v>
      </c>
      <c r="G466" s="480">
        <v>11870.23</v>
      </c>
      <c r="H466" s="414">
        <v>487.2</v>
      </c>
      <c r="I466" s="413" t="s">
        <v>3620</v>
      </c>
      <c r="J466" s="411">
        <v>3</v>
      </c>
      <c r="K466" s="411" t="s">
        <v>4283</v>
      </c>
      <c r="L466" s="482">
        <v>348</v>
      </c>
      <c r="M466" s="461" t="s">
        <v>2412</v>
      </c>
      <c r="N466" s="483">
        <v>415.31500000000051</v>
      </c>
      <c r="O466" s="483">
        <v>830.63000000000102</v>
      </c>
      <c r="P466" s="913" t="s">
        <v>2413</v>
      </c>
      <c r="Q466" s="484">
        <v>0</v>
      </c>
      <c r="R466" s="497"/>
    </row>
    <row r="467" spans="1:18" ht="15" customHeight="1">
      <c r="A467" s="233">
        <v>453</v>
      </c>
      <c r="B467" s="413" t="s">
        <v>4861</v>
      </c>
      <c r="C467" s="411">
        <f t="shared" si="9"/>
        <v>453</v>
      </c>
      <c r="D467" s="443" t="s">
        <v>4109</v>
      </c>
      <c r="E467" s="412" t="s">
        <v>4890</v>
      </c>
      <c r="F467" s="912">
        <v>4.9454999999999999E-2</v>
      </c>
      <c r="G467" s="480">
        <v>11870.233599999998</v>
      </c>
      <c r="H467" s="414">
        <v>487.2</v>
      </c>
      <c r="I467" s="413" t="s">
        <v>3620</v>
      </c>
      <c r="J467" s="411">
        <v>3</v>
      </c>
      <c r="K467" s="411" t="s">
        <v>4920</v>
      </c>
      <c r="L467" s="482">
        <v>348</v>
      </c>
      <c r="M467" s="461" t="s">
        <v>2412</v>
      </c>
      <c r="N467" s="483">
        <v>481.77120000000002</v>
      </c>
      <c r="O467" s="483">
        <v>963.5308</v>
      </c>
      <c r="P467" s="913" t="s">
        <v>2413</v>
      </c>
      <c r="Q467" s="484">
        <v>0</v>
      </c>
      <c r="R467" s="497"/>
    </row>
    <row r="468" spans="1:18" ht="15" customHeight="1">
      <c r="A468" s="411">
        <v>454</v>
      </c>
      <c r="B468" s="413" t="s">
        <v>4770</v>
      </c>
      <c r="C468" s="411">
        <f t="shared" si="9"/>
        <v>454</v>
      </c>
      <c r="D468" s="443" t="s">
        <v>4109</v>
      </c>
      <c r="E468" s="412" t="s">
        <v>4774</v>
      </c>
      <c r="F468" s="912">
        <v>4.9454999999999999E-2</v>
      </c>
      <c r="G468" s="480">
        <v>11870.23</v>
      </c>
      <c r="H468" s="414">
        <v>487.2</v>
      </c>
      <c r="I468" s="413" t="s">
        <v>3620</v>
      </c>
      <c r="J468" s="411">
        <v>3</v>
      </c>
      <c r="K468" s="411" t="s">
        <v>4284</v>
      </c>
      <c r="L468" s="482">
        <v>348</v>
      </c>
      <c r="M468" s="461" t="s">
        <v>2412</v>
      </c>
      <c r="N468" s="483">
        <v>415.31500000000051</v>
      </c>
      <c r="O468" s="483">
        <v>830.63000000000102</v>
      </c>
      <c r="P468" s="913" t="s">
        <v>2413</v>
      </c>
      <c r="Q468" s="484">
        <v>0</v>
      </c>
      <c r="R468" s="497"/>
    </row>
    <row r="469" spans="1:18" ht="15" customHeight="1">
      <c r="A469" s="411">
        <v>455</v>
      </c>
      <c r="B469" s="413" t="s">
        <v>4834</v>
      </c>
      <c r="C469" s="411">
        <f t="shared" si="9"/>
        <v>455</v>
      </c>
      <c r="D469" s="443" t="s">
        <v>4829</v>
      </c>
      <c r="E469" s="412" t="s">
        <v>4831</v>
      </c>
      <c r="F469" s="912">
        <v>4.0341000000000002E-2</v>
      </c>
      <c r="G469" s="480">
        <v>2538.48</v>
      </c>
      <c r="H469" s="414">
        <v>487.2</v>
      </c>
      <c r="I469" s="413" t="s">
        <v>481</v>
      </c>
      <c r="J469" s="411">
        <v>1</v>
      </c>
      <c r="K469" s="411" t="s">
        <v>4837</v>
      </c>
      <c r="L469" s="482">
        <v>348</v>
      </c>
      <c r="M469" s="461" t="s">
        <v>2412</v>
      </c>
      <c r="N469" s="483">
        <v>67.071199999999919</v>
      </c>
      <c r="O469" s="483">
        <v>134.15400000000011</v>
      </c>
      <c r="P469" s="913" t="s">
        <v>2413</v>
      </c>
      <c r="Q469" s="484">
        <v>336.67839999999967</v>
      </c>
      <c r="R469" s="497"/>
    </row>
    <row r="470" spans="1:18" ht="15" customHeight="1">
      <c r="A470" s="233">
        <v>456</v>
      </c>
      <c r="B470" s="413" t="s">
        <v>5618</v>
      </c>
      <c r="C470" s="411">
        <f t="shared" si="9"/>
        <v>456</v>
      </c>
      <c r="D470" s="443" t="s">
        <v>4829</v>
      </c>
      <c r="E470" s="412" t="s">
        <v>5667</v>
      </c>
      <c r="F470" s="912">
        <v>3.0974999999999999E-2</v>
      </c>
      <c r="G470" s="480">
        <v>2538.48</v>
      </c>
      <c r="H470" s="414">
        <v>487.2</v>
      </c>
      <c r="I470" s="413" t="s">
        <v>481</v>
      </c>
      <c r="J470" s="411">
        <v>1</v>
      </c>
      <c r="K470" s="411" t="s">
        <v>5714</v>
      </c>
      <c r="L470" s="482">
        <v>348</v>
      </c>
      <c r="M470" s="461" t="s">
        <v>2412</v>
      </c>
      <c r="N470" s="483">
        <v>67.071199999999919</v>
      </c>
      <c r="O470" s="483">
        <v>134.15399999999985</v>
      </c>
      <c r="P470" s="913" t="s">
        <v>2413</v>
      </c>
      <c r="Q470" s="484">
        <v>336.67840000000001</v>
      </c>
      <c r="R470" s="497"/>
    </row>
    <row r="471" spans="1:18" ht="15" customHeight="1">
      <c r="A471" s="411">
        <v>457</v>
      </c>
      <c r="B471" s="413" t="s">
        <v>5619</v>
      </c>
      <c r="C471" s="411">
        <f t="shared" si="9"/>
        <v>457</v>
      </c>
      <c r="D471" s="443" t="s">
        <v>4829</v>
      </c>
      <c r="E471" s="412" t="s">
        <v>5668</v>
      </c>
      <c r="F471" s="912">
        <v>3.7824000000000003E-2</v>
      </c>
      <c r="G471" s="480">
        <v>2538.48</v>
      </c>
      <c r="H471" s="414">
        <v>487.2</v>
      </c>
      <c r="I471" s="413" t="s">
        <v>481</v>
      </c>
      <c r="J471" s="411">
        <v>1</v>
      </c>
      <c r="K471" s="411" t="s">
        <v>5715</v>
      </c>
      <c r="L471" s="482">
        <v>348</v>
      </c>
      <c r="M471" s="461" t="s">
        <v>2412</v>
      </c>
      <c r="N471" s="483">
        <v>67.071199999999919</v>
      </c>
      <c r="O471" s="483">
        <v>134.15399999999985</v>
      </c>
      <c r="P471" s="913" t="s">
        <v>2413</v>
      </c>
      <c r="Q471" s="484">
        <v>336.67840000000001</v>
      </c>
      <c r="R471" s="497"/>
    </row>
    <row r="472" spans="1:18" ht="15" customHeight="1">
      <c r="A472" s="411">
        <v>458</v>
      </c>
      <c r="B472" s="413" t="s">
        <v>4833</v>
      </c>
      <c r="C472" s="411">
        <f t="shared" si="9"/>
        <v>458</v>
      </c>
      <c r="D472" s="443" t="s">
        <v>4829</v>
      </c>
      <c r="E472" s="412" t="s">
        <v>4830</v>
      </c>
      <c r="F472" s="912">
        <v>3.7824000000000003E-2</v>
      </c>
      <c r="G472" s="480">
        <v>2538.48</v>
      </c>
      <c r="H472" s="414">
        <v>487.2</v>
      </c>
      <c r="I472" s="413" t="s">
        <v>481</v>
      </c>
      <c r="J472" s="411">
        <v>1</v>
      </c>
      <c r="K472" s="411" t="s">
        <v>4836</v>
      </c>
      <c r="L472" s="482">
        <v>348</v>
      </c>
      <c r="M472" s="461" t="s">
        <v>2412</v>
      </c>
      <c r="N472" s="483">
        <v>67.071199999999919</v>
      </c>
      <c r="O472" s="483">
        <v>134.15400000000011</v>
      </c>
      <c r="P472" s="913" t="s">
        <v>2413</v>
      </c>
      <c r="Q472" s="484">
        <v>336.67839999999967</v>
      </c>
      <c r="R472" s="497"/>
    </row>
    <row r="473" spans="1:18" ht="15" customHeight="1">
      <c r="A473" s="233">
        <v>459</v>
      </c>
      <c r="B473" s="413" t="s">
        <v>5620</v>
      </c>
      <c r="C473" s="411">
        <f t="shared" si="9"/>
        <v>459</v>
      </c>
      <c r="D473" s="443" t="s">
        <v>4829</v>
      </c>
      <c r="E473" s="412" t="s">
        <v>5669</v>
      </c>
      <c r="F473" s="912">
        <v>3.8408999999999999E-2</v>
      </c>
      <c r="G473" s="480">
        <v>2538.48</v>
      </c>
      <c r="H473" s="414">
        <v>487.2</v>
      </c>
      <c r="I473" s="413" t="s">
        <v>481</v>
      </c>
      <c r="J473" s="411">
        <v>1</v>
      </c>
      <c r="K473" s="411" t="s">
        <v>5716</v>
      </c>
      <c r="L473" s="482">
        <v>348</v>
      </c>
      <c r="M473" s="461" t="s">
        <v>2412</v>
      </c>
      <c r="N473" s="483">
        <v>67.071199999999919</v>
      </c>
      <c r="O473" s="483">
        <v>134.15399999999985</v>
      </c>
      <c r="P473" s="913" t="s">
        <v>2413</v>
      </c>
      <c r="Q473" s="484">
        <v>336.67840000000001</v>
      </c>
      <c r="R473" s="497"/>
    </row>
    <row r="474" spans="1:18" ht="15" customHeight="1">
      <c r="A474" s="411">
        <v>460</v>
      </c>
      <c r="B474" s="413" t="s">
        <v>4835</v>
      </c>
      <c r="C474" s="411">
        <f t="shared" si="9"/>
        <v>460</v>
      </c>
      <c r="D474" s="443" t="s">
        <v>4829</v>
      </c>
      <c r="E474" s="412" t="s">
        <v>4832</v>
      </c>
      <c r="F474" s="912">
        <v>2.8972000000000001E-2</v>
      </c>
      <c r="G474" s="480">
        <v>2538.48</v>
      </c>
      <c r="H474" s="414">
        <v>487.2</v>
      </c>
      <c r="I474" s="413" t="s">
        <v>481</v>
      </c>
      <c r="J474" s="411">
        <v>1</v>
      </c>
      <c r="K474" s="411" t="s">
        <v>4838</v>
      </c>
      <c r="L474" s="482">
        <v>348</v>
      </c>
      <c r="M474" s="461" t="s">
        <v>2412</v>
      </c>
      <c r="N474" s="483">
        <v>67.071199999999919</v>
      </c>
      <c r="O474" s="483">
        <v>134.15400000000011</v>
      </c>
      <c r="P474" s="913" t="s">
        <v>2413</v>
      </c>
      <c r="Q474" s="484">
        <v>336.67839999999967</v>
      </c>
      <c r="R474" s="497"/>
    </row>
    <row r="475" spans="1:18" ht="15" customHeight="1">
      <c r="A475" s="411">
        <v>461</v>
      </c>
      <c r="B475" s="413" t="s">
        <v>3208</v>
      </c>
      <c r="C475" s="411">
        <f t="shared" si="9"/>
        <v>461</v>
      </c>
      <c r="D475" s="443" t="s">
        <v>2195</v>
      </c>
      <c r="E475" s="412" t="s">
        <v>3216</v>
      </c>
      <c r="F475" s="912">
        <v>4.5221600000000001E-2</v>
      </c>
      <c r="G475" s="480">
        <v>2538.48</v>
      </c>
      <c r="H475" s="414">
        <v>487.2</v>
      </c>
      <c r="I475" s="413" t="s">
        <v>481</v>
      </c>
      <c r="J475" s="411">
        <v>1</v>
      </c>
      <c r="K475" s="411" t="s">
        <v>3224</v>
      </c>
      <c r="L475" s="482">
        <v>348</v>
      </c>
      <c r="M475" s="461" t="s">
        <v>2412</v>
      </c>
      <c r="N475" s="483">
        <v>67.071199999999919</v>
      </c>
      <c r="O475" s="483">
        <v>134.15400000000011</v>
      </c>
      <c r="P475" s="913" t="s">
        <v>2413</v>
      </c>
      <c r="Q475" s="484">
        <v>336.67839999999967</v>
      </c>
      <c r="R475" s="497"/>
    </row>
    <row r="476" spans="1:18" ht="15" customHeight="1">
      <c r="A476" s="233">
        <v>462</v>
      </c>
      <c r="B476" s="413" t="s">
        <v>5144</v>
      </c>
      <c r="C476" s="411">
        <f t="shared" si="9"/>
        <v>462</v>
      </c>
      <c r="D476" s="443" t="s">
        <v>2195</v>
      </c>
      <c r="E476" s="412" t="s">
        <v>5145</v>
      </c>
      <c r="F476" s="912">
        <v>4.5221999999999998E-2</v>
      </c>
      <c r="G476" s="480">
        <v>2538.48</v>
      </c>
      <c r="H476" s="414">
        <v>487.2</v>
      </c>
      <c r="I476" s="413" t="s">
        <v>481</v>
      </c>
      <c r="J476" s="411">
        <v>1</v>
      </c>
      <c r="K476" s="411" t="s">
        <v>5146</v>
      </c>
      <c r="L476" s="482">
        <v>348</v>
      </c>
      <c r="M476" s="461" t="s">
        <v>2412</v>
      </c>
      <c r="N476" s="483">
        <v>67.071199999999919</v>
      </c>
      <c r="O476" s="483">
        <v>134.15399999999985</v>
      </c>
      <c r="P476" s="913" t="s">
        <v>2413</v>
      </c>
      <c r="Q476" s="484">
        <v>336.67840000000001</v>
      </c>
      <c r="R476" s="497"/>
    </row>
    <row r="477" spans="1:18" ht="15" customHeight="1">
      <c r="A477" s="411">
        <v>463</v>
      </c>
      <c r="B477" s="413" t="s">
        <v>2661</v>
      </c>
      <c r="C477" s="411">
        <f t="shared" si="9"/>
        <v>463</v>
      </c>
      <c r="D477" s="443" t="s">
        <v>2195</v>
      </c>
      <c r="E477" s="412" t="s">
        <v>2195</v>
      </c>
      <c r="F477" s="912">
        <v>4.5221600000000001E-2</v>
      </c>
      <c r="G477" s="480">
        <v>2538.48</v>
      </c>
      <c r="H477" s="414">
        <v>487.2</v>
      </c>
      <c r="I477" s="413" t="s">
        <v>481</v>
      </c>
      <c r="J477" s="411">
        <v>1</v>
      </c>
      <c r="K477" s="411" t="s">
        <v>708</v>
      </c>
      <c r="L477" s="482">
        <v>348</v>
      </c>
      <c r="M477" s="461" t="s">
        <v>2412</v>
      </c>
      <c r="N477" s="483">
        <v>67.071199999999919</v>
      </c>
      <c r="O477" s="483">
        <v>134.15400000000011</v>
      </c>
      <c r="P477" s="913" t="s">
        <v>2413</v>
      </c>
      <c r="Q477" s="484">
        <v>336.67839999999967</v>
      </c>
      <c r="R477" s="497"/>
    </row>
    <row r="478" spans="1:18" ht="15" customHeight="1">
      <c r="A478" s="411">
        <v>464</v>
      </c>
      <c r="B478" s="413" t="s">
        <v>4839</v>
      </c>
      <c r="C478" s="411">
        <f t="shared" si="9"/>
        <v>464</v>
      </c>
      <c r="D478" s="443" t="s">
        <v>2195</v>
      </c>
      <c r="E478" s="412" t="s">
        <v>228</v>
      </c>
      <c r="F478" s="912">
        <v>4.5221600000000001E-2</v>
      </c>
      <c r="G478" s="480">
        <v>2538.48</v>
      </c>
      <c r="H478" s="414">
        <v>487.2</v>
      </c>
      <c r="I478" s="413" t="s">
        <v>481</v>
      </c>
      <c r="J478" s="411">
        <v>1</v>
      </c>
      <c r="K478" s="411" t="s">
        <v>709</v>
      </c>
      <c r="L478" s="482">
        <v>348</v>
      </c>
      <c r="M478" s="461" t="s">
        <v>2412</v>
      </c>
      <c r="N478" s="483">
        <v>67.071199999999919</v>
      </c>
      <c r="O478" s="483">
        <v>134.15400000000011</v>
      </c>
      <c r="P478" s="913" t="s">
        <v>2413</v>
      </c>
      <c r="Q478" s="484">
        <v>336.67839999999967</v>
      </c>
      <c r="R478" s="497"/>
    </row>
    <row r="479" spans="1:18" ht="15" customHeight="1">
      <c r="A479" s="233">
        <v>465</v>
      </c>
      <c r="B479" s="413" t="s">
        <v>4202</v>
      </c>
      <c r="C479" s="411">
        <f t="shared" si="9"/>
        <v>465</v>
      </c>
      <c r="D479" s="443" t="s">
        <v>2195</v>
      </c>
      <c r="E479" s="412" t="s">
        <v>4205</v>
      </c>
      <c r="F479" s="912">
        <v>4.5221600000000001E-2</v>
      </c>
      <c r="G479" s="480">
        <v>2538.48</v>
      </c>
      <c r="H479" s="414">
        <v>487.2</v>
      </c>
      <c r="I479" s="413" t="s">
        <v>481</v>
      </c>
      <c r="J479" s="411">
        <v>1</v>
      </c>
      <c r="K479" s="411" t="s">
        <v>4208</v>
      </c>
      <c r="L479" s="482">
        <v>348</v>
      </c>
      <c r="M479" s="461" t="s">
        <v>2412</v>
      </c>
      <c r="N479" s="483">
        <v>67.071199999999919</v>
      </c>
      <c r="O479" s="483">
        <v>134.15400000000011</v>
      </c>
      <c r="P479" s="913" t="s">
        <v>2413</v>
      </c>
      <c r="Q479" s="484">
        <v>336.67839999999967</v>
      </c>
      <c r="R479" s="497"/>
    </row>
    <row r="480" spans="1:18" ht="15" customHeight="1">
      <c r="A480" s="411">
        <v>466</v>
      </c>
      <c r="B480" s="413" t="s">
        <v>3250</v>
      </c>
      <c r="C480" s="411">
        <f t="shared" si="9"/>
        <v>466</v>
      </c>
      <c r="D480" s="443" t="s">
        <v>3261</v>
      </c>
      <c r="E480" s="412" t="s">
        <v>3275</v>
      </c>
      <c r="F480" s="912">
        <v>5.3744899999999998E-2</v>
      </c>
      <c r="G480" s="480">
        <v>2538.48</v>
      </c>
      <c r="H480" s="414">
        <v>487.2</v>
      </c>
      <c r="I480" s="413" t="s">
        <v>481</v>
      </c>
      <c r="J480" s="411">
        <v>1</v>
      </c>
      <c r="K480" s="411" t="s">
        <v>3322</v>
      </c>
      <c r="L480" s="482">
        <v>348</v>
      </c>
      <c r="M480" s="461" t="s">
        <v>2412</v>
      </c>
      <c r="N480" s="483">
        <v>67.071199999999919</v>
      </c>
      <c r="O480" s="483">
        <v>134.15400000000011</v>
      </c>
      <c r="P480" s="913" t="s">
        <v>2413</v>
      </c>
      <c r="Q480" s="484">
        <v>336.67839999999967</v>
      </c>
      <c r="R480" s="497"/>
    </row>
    <row r="481" spans="1:18" ht="15" customHeight="1">
      <c r="A481" s="411">
        <v>467</v>
      </c>
      <c r="B481" s="413" t="s">
        <v>3251</v>
      </c>
      <c r="C481" s="411">
        <f t="shared" si="9"/>
        <v>467</v>
      </c>
      <c r="D481" s="443" t="s">
        <v>3261</v>
      </c>
      <c r="E481" s="412" t="s">
        <v>3276</v>
      </c>
      <c r="F481" s="912">
        <v>5.6226599999999995E-2</v>
      </c>
      <c r="G481" s="480">
        <v>2538.48</v>
      </c>
      <c r="H481" s="414">
        <v>487.2</v>
      </c>
      <c r="I481" s="413" t="s">
        <v>481</v>
      </c>
      <c r="J481" s="411">
        <v>1</v>
      </c>
      <c r="K481" s="411" t="s">
        <v>3323</v>
      </c>
      <c r="L481" s="482">
        <v>348</v>
      </c>
      <c r="M481" s="461" t="s">
        <v>2412</v>
      </c>
      <c r="N481" s="483">
        <v>67.071199999999919</v>
      </c>
      <c r="O481" s="483">
        <v>134.15400000000011</v>
      </c>
      <c r="P481" s="913" t="s">
        <v>2413</v>
      </c>
      <c r="Q481" s="484">
        <v>336.67839999999967</v>
      </c>
      <c r="R481" s="497"/>
    </row>
    <row r="482" spans="1:18" ht="15" customHeight="1">
      <c r="A482" s="233">
        <v>468</v>
      </c>
      <c r="B482" s="413" t="s">
        <v>3249</v>
      </c>
      <c r="C482" s="411">
        <f t="shared" si="9"/>
        <v>468</v>
      </c>
      <c r="D482" s="443" t="s">
        <v>3261</v>
      </c>
      <c r="E482" s="412" t="s">
        <v>3261</v>
      </c>
      <c r="F482" s="912">
        <v>3.2575E-2</v>
      </c>
      <c r="G482" s="480">
        <v>2538.4744000000001</v>
      </c>
      <c r="H482" s="414">
        <v>487.2</v>
      </c>
      <c r="I482" s="413" t="s">
        <v>481</v>
      </c>
      <c r="J482" s="411">
        <v>1</v>
      </c>
      <c r="K482" s="411" t="s">
        <v>3321</v>
      </c>
      <c r="L482" s="482">
        <v>348</v>
      </c>
      <c r="M482" s="461" t="s">
        <v>2412</v>
      </c>
      <c r="N482" s="483">
        <v>67.071199999999919</v>
      </c>
      <c r="O482" s="483">
        <v>134.15400000000011</v>
      </c>
      <c r="P482" s="913" t="s">
        <v>2413</v>
      </c>
      <c r="Q482" s="484">
        <v>336.67839999999967</v>
      </c>
      <c r="R482" s="497"/>
    </row>
    <row r="483" spans="1:18" ht="15" customHeight="1">
      <c r="A483" s="411">
        <v>469</v>
      </c>
      <c r="B483" s="413" t="s">
        <v>4135</v>
      </c>
      <c r="C483" s="411">
        <f t="shared" si="9"/>
        <v>469</v>
      </c>
      <c r="D483" s="443" t="s">
        <v>3261</v>
      </c>
      <c r="E483" s="412" t="s">
        <v>4775</v>
      </c>
      <c r="F483" s="912">
        <v>2.8749E-2</v>
      </c>
      <c r="G483" s="480">
        <v>2538.4744000000001</v>
      </c>
      <c r="H483" s="414">
        <v>487.2</v>
      </c>
      <c r="I483" s="413" t="s">
        <v>481</v>
      </c>
      <c r="J483" s="411">
        <v>1</v>
      </c>
      <c r="K483" s="411" t="s">
        <v>4101</v>
      </c>
      <c r="L483" s="482">
        <v>348</v>
      </c>
      <c r="M483" s="461" t="s">
        <v>2412</v>
      </c>
      <c r="N483" s="483">
        <v>67.071199999999919</v>
      </c>
      <c r="O483" s="483">
        <v>134.15400000000011</v>
      </c>
      <c r="P483" s="913" t="s">
        <v>2413</v>
      </c>
      <c r="Q483" s="484">
        <v>336.67839999999967</v>
      </c>
      <c r="R483" s="497"/>
    </row>
    <row r="484" spans="1:18" ht="15" customHeight="1">
      <c r="A484" s="411">
        <v>470</v>
      </c>
      <c r="B484" s="413" t="s">
        <v>3252</v>
      </c>
      <c r="C484" s="411">
        <f t="shared" si="9"/>
        <v>470</v>
      </c>
      <c r="D484" s="443" t="s">
        <v>3261</v>
      </c>
      <c r="E484" s="412" t="s">
        <v>3277</v>
      </c>
      <c r="F484" s="912">
        <v>3.2575E-2</v>
      </c>
      <c r="G484" s="480">
        <v>2538.4744000000001</v>
      </c>
      <c r="H484" s="414">
        <v>487.2</v>
      </c>
      <c r="I484" s="413" t="s">
        <v>481</v>
      </c>
      <c r="J484" s="411">
        <v>1</v>
      </c>
      <c r="K484" s="411" t="s">
        <v>3324</v>
      </c>
      <c r="L484" s="482">
        <v>348</v>
      </c>
      <c r="M484" s="461" t="s">
        <v>2412</v>
      </c>
      <c r="N484" s="483">
        <v>67.071199999999919</v>
      </c>
      <c r="O484" s="483">
        <v>134.15400000000011</v>
      </c>
      <c r="P484" s="913" t="s">
        <v>2413</v>
      </c>
      <c r="Q484" s="484">
        <v>336.67839999999967</v>
      </c>
      <c r="R484" s="497"/>
    </row>
    <row r="485" spans="1:18" ht="15" customHeight="1">
      <c r="A485" s="233">
        <v>471</v>
      </c>
      <c r="B485" s="413" t="s">
        <v>3253</v>
      </c>
      <c r="C485" s="411">
        <f t="shared" si="9"/>
        <v>471</v>
      </c>
      <c r="D485" s="443" t="s">
        <v>3261</v>
      </c>
      <c r="E485" s="412" t="s">
        <v>3278</v>
      </c>
      <c r="F485" s="912">
        <v>3.1488000000000002E-2</v>
      </c>
      <c r="G485" s="480">
        <v>2538.4744000000001</v>
      </c>
      <c r="H485" s="414">
        <v>487.2</v>
      </c>
      <c r="I485" s="413" t="s">
        <v>481</v>
      </c>
      <c r="J485" s="411">
        <v>1</v>
      </c>
      <c r="K485" s="411" t="s">
        <v>3325</v>
      </c>
      <c r="L485" s="482">
        <v>348</v>
      </c>
      <c r="M485" s="461" t="s">
        <v>2412</v>
      </c>
      <c r="N485" s="483">
        <v>67.071199999999919</v>
      </c>
      <c r="O485" s="483">
        <v>134.15400000000011</v>
      </c>
      <c r="P485" s="913" t="s">
        <v>2413</v>
      </c>
      <c r="Q485" s="484">
        <v>336.67839999999967</v>
      </c>
      <c r="R485" s="497"/>
    </row>
    <row r="486" spans="1:18" ht="15" customHeight="1">
      <c r="A486" s="411">
        <v>472</v>
      </c>
      <c r="B486" s="413" t="s">
        <v>3254</v>
      </c>
      <c r="C486" s="411">
        <f t="shared" si="9"/>
        <v>472</v>
      </c>
      <c r="D486" s="443" t="s">
        <v>3261</v>
      </c>
      <c r="E486" s="412" t="s">
        <v>3279</v>
      </c>
      <c r="F486" s="912">
        <v>3.2575E-2</v>
      </c>
      <c r="G486" s="480">
        <v>2538.4744000000001</v>
      </c>
      <c r="H486" s="414">
        <v>487.2</v>
      </c>
      <c r="I486" s="413" t="s">
        <v>481</v>
      </c>
      <c r="J486" s="411">
        <v>1</v>
      </c>
      <c r="K486" s="411" t="s">
        <v>3326</v>
      </c>
      <c r="L486" s="482">
        <v>348</v>
      </c>
      <c r="M486" s="461" t="s">
        <v>2412</v>
      </c>
      <c r="N486" s="483">
        <v>67.071199999999919</v>
      </c>
      <c r="O486" s="483">
        <v>134.15400000000011</v>
      </c>
      <c r="P486" s="913" t="s">
        <v>2413</v>
      </c>
      <c r="Q486" s="484">
        <v>336.67839999999967</v>
      </c>
      <c r="R486" s="497"/>
    </row>
    <row r="487" spans="1:18" ht="15" customHeight="1">
      <c r="A487" s="411">
        <v>473</v>
      </c>
      <c r="B487" s="413" t="s">
        <v>3255</v>
      </c>
      <c r="C487" s="411">
        <f t="shared" si="9"/>
        <v>473</v>
      </c>
      <c r="D487" s="443" t="s">
        <v>3261</v>
      </c>
      <c r="E487" s="412" t="s">
        <v>3280</v>
      </c>
      <c r="F487" s="912">
        <v>3.5915999999999997E-2</v>
      </c>
      <c r="G487" s="480">
        <v>2538.4744000000001</v>
      </c>
      <c r="H487" s="414">
        <v>487.2</v>
      </c>
      <c r="I487" s="413" t="s">
        <v>481</v>
      </c>
      <c r="J487" s="411">
        <v>1</v>
      </c>
      <c r="K487" s="411" t="s">
        <v>3327</v>
      </c>
      <c r="L487" s="482">
        <v>348</v>
      </c>
      <c r="M487" s="461" t="s">
        <v>2412</v>
      </c>
      <c r="N487" s="483">
        <v>67.071199999999919</v>
      </c>
      <c r="O487" s="483">
        <v>134.15400000000011</v>
      </c>
      <c r="P487" s="913" t="s">
        <v>2413</v>
      </c>
      <c r="Q487" s="484">
        <v>336.67839999999967</v>
      </c>
      <c r="R487" s="497"/>
    </row>
    <row r="488" spans="1:18" ht="15" customHeight="1">
      <c r="A488" s="233">
        <v>474</v>
      </c>
      <c r="B488" s="413" t="s">
        <v>3256</v>
      </c>
      <c r="C488" s="411">
        <f t="shared" si="9"/>
        <v>474</v>
      </c>
      <c r="D488" s="443" t="s">
        <v>3261</v>
      </c>
      <c r="E488" s="412" t="s">
        <v>3281</v>
      </c>
      <c r="F488" s="912">
        <v>4.7998700000000005E-2</v>
      </c>
      <c r="G488" s="480">
        <v>3463.0023344000001</v>
      </c>
      <c r="H488" s="414">
        <v>487.2</v>
      </c>
      <c r="I488" s="413" t="s">
        <v>533</v>
      </c>
      <c r="J488" s="411">
        <v>2</v>
      </c>
      <c r="K488" s="411" t="s">
        <v>3299</v>
      </c>
      <c r="L488" s="482">
        <v>348</v>
      </c>
      <c r="M488" s="461" t="s">
        <v>2412</v>
      </c>
      <c r="N488" s="483">
        <v>121.62599999999989</v>
      </c>
      <c r="O488" s="483">
        <v>243.24039999999999</v>
      </c>
      <c r="P488" s="913" t="s">
        <v>2413</v>
      </c>
      <c r="Q488" s="484">
        <v>336.67839999999967</v>
      </c>
      <c r="R488" s="497"/>
    </row>
    <row r="489" spans="1:18" ht="15" customHeight="1">
      <c r="A489" s="411">
        <v>475</v>
      </c>
      <c r="B489" s="413" t="s">
        <v>3257</v>
      </c>
      <c r="C489" s="411">
        <f t="shared" si="9"/>
        <v>475</v>
      </c>
      <c r="D489" s="443" t="s">
        <v>3261</v>
      </c>
      <c r="E489" s="412" t="s">
        <v>3282</v>
      </c>
      <c r="F489" s="912">
        <v>3.2575E-2</v>
      </c>
      <c r="G489" s="480">
        <v>2538.4744000000001</v>
      </c>
      <c r="H489" s="414">
        <v>487.2</v>
      </c>
      <c r="I489" s="413" t="s">
        <v>481</v>
      </c>
      <c r="J489" s="411">
        <v>1</v>
      </c>
      <c r="K489" s="411" t="s">
        <v>3328</v>
      </c>
      <c r="L489" s="482">
        <v>348</v>
      </c>
      <c r="M489" s="461" t="s">
        <v>2412</v>
      </c>
      <c r="N489" s="483">
        <v>67.071199999999919</v>
      </c>
      <c r="O489" s="483">
        <v>134.15400000000011</v>
      </c>
      <c r="P489" s="913" t="s">
        <v>2413</v>
      </c>
      <c r="Q489" s="484">
        <v>336.67839999999967</v>
      </c>
      <c r="R489" s="497"/>
    </row>
    <row r="490" spans="1:18" ht="15" customHeight="1">
      <c r="A490" s="411">
        <v>476</v>
      </c>
      <c r="B490" s="413" t="s">
        <v>2662</v>
      </c>
      <c r="C490" s="411">
        <f t="shared" si="9"/>
        <v>476</v>
      </c>
      <c r="D490" s="443" t="s">
        <v>2196</v>
      </c>
      <c r="E490" s="412" t="s">
        <v>229</v>
      </c>
      <c r="F490" s="912">
        <v>6.2873600000000002E-2</v>
      </c>
      <c r="G490" s="480">
        <v>2538.48</v>
      </c>
      <c r="H490" s="414">
        <v>487.2</v>
      </c>
      <c r="I490" s="413" t="s">
        <v>481</v>
      </c>
      <c r="J490" s="411">
        <v>1</v>
      </c>
      <c r="K490" s="411" t="s">
        <v>710</v>
      </c>
      <c r="L490" s="482">
        <v>348</v>
      </c>
      <c r="M490" s="461" t="s">
        <v>2412</v>
      </c>
      <c r="N490" s="483">
        <v>67.071199999999919</v>
      </c>
      <c r="O490" s="483">
        <v>134.15400000000011</v>
      </c>
      <c r="P490" s="913" t="s">
        <v>2413</v>
      </c>
      <c r="Q490" s="484">
        <v>336.67839999999967</v>
      </c>
      <c r="R490" s="497"/>
    </row>
    <row r="491" spans="1:18" ht="15" customHeight="1">
      <c r="A491" s="233">
        <v>477</v>
      </c>
      <c r="B491" s="413" t="s">
        <v>2663</v>
      </c>
      <c r="C491" s="411">
        <f t="shared" si="9"/>
        <v>477</v>
      </c>
      <c r="D491" s="443" t="s">
        <v>2196</v>
      </c>
      <c r="E491" s="412" t="s">
        <v>230</v>
      </c>
      <c r="F491" s="912">
        <v>6.2873600000000002E-2</v>
      </c>
      <c r="G491" s="480">
        <v>2538.48</v>
      </c>
      <c r="H491" s="414">
        <v>487.2</v>
      </c>
      <c r="I491" s="413" t="s">
        <v>481</v>
      </c>
      <c r="J491" s="411">
        <v>1</v>
      </c>
      <c r="K491" s="411" t="s">
        <v>711</v>
      </c>
      <c r="L491" s="482">
        <v>348</v>
      </c>
      <c r="M491" s="461" t="s">
        <v>2412</v>
      </c>
      <c r="N491" s="483">
        <v>67.071199999999919</v>
      </c>
      <c r="O491" s="483">
        <v>134.15400000000011</v>
      </c>
      <c r="P491" s="913" t="s">
        <v>2413</v>
      </c>
      <c r="Q491" s="484">
        <v>336.67839999999967</v>
      </c>
      <c r="R491" s="497"/>
    </row>
    <row r="492" spans="1:18" ht="15" customHeight="1">
      <c r="A492" s="411">
        <v>478</v>
      </c>
      <c r="B492" s="413" t="s">
        <v>4929</v>
      </c>
      <c r="C492" s="411">
        <f t="shared" si="9"/>
        <v>478</v>
      </c>
      <c r="D492" s="443" t="s">
        <v>4161</v>
      </c>
      <c r="E492" s="412" t="s">
        <v>4891</v>
      </c>
      <c r="F492" s="912">
        <v>2.6136E-2</v>
      </c>
      <c r="G492" s="480">
        <v>8691.42</v>
      </c>
      <c r="H492" s="414">
        <v>487.2</v>
      </c>
      <c r="I492" s="413" t="s">
        <v>3620</v>
      </c>
      <c r="J492" s="411">
        <v>3</v>
      </c>
      <c r="K492" s="411" t="s">
        <v>4921</v>
      </c>
      <c r="L492" s="482">
        <v>348</v>
      </c>
      <c r="M492" s="461" t="s">
        <v>2412</v>
      </c>
      <c r="N492" s="483">
        <v>354.90200000000084</v>
      </c>
      <c r="O492" s="483">
        <v>709.80400000000066</v>
      </c>
      <c r="P492" s="913" t="s">
        <v>2413</v>
      </c>
      <c r="Q492" s="484">
        <v>0</v>
      </c>
      <c r="R492" s="497"/>
    </row>
    <row r="493" spans="1:18" ht="15" customHeight="1">
      <c r="A493" s="411">
        <v>479</v>
      </c>
      <c r="B493" s="413" t="s">
        <v>4157</v>
      </c>
      <c r="C493" s="411">
        <f t="shared" si="9"/>
        <v>479</v>
      </c>
      <c r="D493" s="443" t="s">
        <v>4161</v>
      </c>
      <c r="E493" s="412" t="s">
        <v>4163</v>
      </c>
      <c r="F493" s="912">
        <v>3.8318999999999999E-2</v>
      </c>
      <c r="G493" s="480">
        <v>11870.23</v>
      </c>
      <c r="H493" s="414">
        <v>487.2</v>
      </c>
      <c r="I493" s="413" t="s">
        <v>3620</v>
      </c>
      <c r="J493" s="411">
        <v>3</v>
      </c>
      <c r="K493" s="411" t="s">
        <v>4167</v>
      </c>
      <c r="L493" s="482">
        <v>348</v>
      </c>
      <c r="M493" s="461" t="s">
        <v>2412</v>
      </c>
      <c r="N493" s="483">
        <v>415.31500000000051</v>
      </c>
      <c r="O493" s="483">
        <v>830.63000000000102</v>
      </c>
      <c r="P493" s="913" t="s">
        <v>2413</v>
      </c>
      <c r="Q493" s="484">
        <v>0</v>
      </c>
      <c r="R493" s="497"/>
    </row>
    <row r="494" spans="1:18" ht="15" customHeight="1">
      <c r="A494" s="233">
        <v>480</v>
      </c>
      <c r="B494" s="413" t="s">
        <v>4930</v>
      </c>
      <c r="C494" s="411">
        <f t="shared" si="9"/>
        <v>480</v>
      </c>
      <c r="D494" s="443" t="s">
        <v>4161</v>
      </c>
      <c r="E494" s="412" t="s">
        <v>4892</v>
      </c>
      <c r="F494" s="912">
        <v>3.8318999999999999E-2</v>
      </c>
      <c r="G494" s="480">
        <v>11870.233599999998</v>
      </c>
      <c r="H494" s="414">
        <v>487.2</v>
      </c>
      <c r="I494" s="413" t="s">
        <v>3620</v>
      </c>
      <c r="J494" s="411">
        <v>3</v>
      </c>
      <c r="K494" s="411" t="s">
        <v>4167</v>
      </c>
      <c r="L494" s="482">
        <v>348</v>
      </c>
      <c r="M494" s="461" t="s">
        <v>2412</v>
      </c>
      <c r="N494" s="483">
        <v>481.77120000000002</v>
      </c>
      <c r="O494" s="483">
        <v>963.5308</v>
      </c>
      <c r="P494" s="913" t="s">
        <v>2413</v>
      </c>
      <c r="Q494" s="484">
        <v>0</v>
      </c>
      <c r="R494" s="497"/>
    </row>
    <row r="495" spans="1:18" ht="15" customHeight="1">
      <c r="A495" s="411">
        <v>481</v>
      </c>
      <c r="B495" s="413" t="s">
        <v>3258</v>
      </c>
      <c r="C495" s="411">
        <f t="shared" si="9"/>
        <v>481</v>
      </c>
      <c r="D495" s="443" t="s">
        <v>2197</v>
      </c>
      <c r="E495" s="412" t="s">
        <v>2197</v>
      </c>
      <c r="F495" s="912">
        <v>6.0124999999999998E-2</v>
      </c>
      <c r="G495" s="480">
        <v>2538.4744000000001</v>
      </c>
      <c r="H495" s="414">
        <v>487.2</v>
      </c>
      <c r="I495" s="413" t="s">
        <v>481</v>
      </c>
      <c r="J495" s="411">
        <v>1</v>
      </c>
      <c r="K495" s="411" t="s">
        <v>712</v>
      </c>
      <c r="L495" s="482">
        <v>348</v>
      </c>
      <c r="M495" s="461" t="s">
        <v>2412</v>
      </c>
      <c r="N495" s="483">
        <v>67.071199999999919</v>
      </c>
      <c r="O495" s="483">
        <v>134.15400000000011</v>
      </c>
      <c r="P495" s="913" t="s">
        <v>2413</v>
      </c>
      <c r="Q495" s="484">
        <v>336.67839999999967</v>
      </c>
      <c r="R495" s="497"/>
    </row>
    <row r="496" spans="1:18" ht="15" customHeight="1">
      <c r="A496" s="411">
        <v>482</v>
      </c>
      <c r="B496" s="413" t="s">
        <v>2664</v>
      </c>
      <c r="C496" s="411">
        <f t="shared" si="9"/>
        <v>482</v>
      </c>
      <c r="D496" s="443" t="s">
        <v>2198</v>
      </c>
      <c r="E496" s="412" t="s">
        <v>4171</v>
      </c>
      <c r="F496" s="912">
        <v>2.9645700000000001E-2</v>
      </c>
      <c r="G496" s="480">
        <v>2538.48</v>
      </c>
      <c r="H496" s="414">
        <v>487.2</v>
      </c>
      <c r="I496" s="413" t="s">
        <v>481</v>
      </c>
      <c r="J496" s="411">
        <v>1</v>
      </c>
      <c r="K496" s="411" t="s">
        <v>713</v>
      </c>
      <c r="L496" s="482">
        <v>348</v>
      </c>
      <c r="M496" s="461" t="s">
        <v>2412</v>
      </c>
      <c r="N496" s="483">
        <v>67.071199999999919</v>
      </c>
      <c r="O496" s="483">
        <v>134.15400000000011</v>
      </c>
      <c r="P496" s="913" t="s">
        <v>2413</v>
      </c>
      <c r="Q496" s="484">
        <v>336.67839999999967</v>
      </c>
      <c r="R496" s="497"/>
    </row>
    <row r="497" spans="1:18" ht="15" customHeight="1">
      <c r="A497" s="233">
        <v>483</v>
      </c>
      <c r="B497" s="413" t="s">
        <v>2665</v>
      </c>
      <c r="C497" s="411">
        <f t="shared" si="9"/>
        <v>483</v>
      </c>
      <c r="D497" s="443" t="s">
        <v>2198</v>
      </c>
      <c r="E497" s="412" t="s">
        <v>4172</v>
      </c>
      <c r="F497" s="912">
        <v>3.2334100000000005E-2</v>
      </c>
      <c r="G497" s="480">
        <v>2538.48</v>
      </c>
      <c r="H497" s="414">
        <v>487.2</v>
      </c>
      <c r="I497" s="413" t="s">
        <v>481</v>
      </c>
      <c r="J497" s="411">
        <v>1</v>
      </c>
      <c r="K497" s="411" t="s">
        <v>714</v>
      </c>
      <c r="L497" s="482">
        <v>348</v>
      </c>
      <c r="M497" s="461" t="s">
        <v>2412</v>
      </c>
      <c r="N497" s="483">
        <v>67.071199999999919</v>
      </c>
      <c r="O497" s="483">
        <v>134.15400000000011</v>
      </c>
      <c r="P497" s="913" t="s">
        <v>2413</v>
      </c>
      <c r="Q497" s="484">
        <v>336.67839999999967</v>
      </c>
      <c r="R497" s="497"/>
    </row>
    <row r="498" spans="1:18" ht="15" customHeight="1">
      <c r="A498" s="411">
        <v>484</v>
      </c>
      <c r="B498" s="413" t="s">
        <v>2666</v>
      </c>
      <c r="C498" s="411">
        <f t="shared" si="9"/>
        <v>484</v>
      </c>
      <c r="D498" s="443" t="s">
        <v>2198</v>
      </c>
      <c r="E498" s="412" t="s">
        <v>4173</v>
      </c>
      <c r="F498" s="912">
        <v>3.8366900000000002E-2</v>
      </c>
      <c r="G498" s="480">
        <v>2538.48</v>
      </c>
      <c r="H498" s="414">
        <v>487.2</v>
      </c>
      <c r="I498" s="413" t="s">
        <v>481</v>
      </c>
      <c r="J498" s="411">
        <v>1</v>
      </c>
      <c r="K498" s="411" t="s">
        <v>715</v>
      </c>
      <c r="L498" s="482">
        <v>348</v>
      </c>
      <c r="M498" s="461" t="s">
        <v>2412</v>
      </c>
      <c r="N498" s="483">
        <v>67.071199999999919</v>
      </c>
      <c r="O498" s="483">
        <v>134.15400000000011</v>
      </c>
      <c r="P498" s="913" t="s">
        <v>2413</v>
      </c>
      <c r="Q498" s="484">
        <v>336.67839999999967</v>
      </c>
      <c r="R498" s="497"/>
    </row>
    <row r="499" spans="1:18" ht="15" customHeight="1">
      <c r="A499" s="411">
        <v>485</v>
      </c>
      <c r="B499" s="413" t="s">
        <v>2667</v>
      </c>
      <c r="C499" s="411">
        <f t="shared" si="9"/>
        <v>485</v>
      </c>
      <c r="D499" s="443" t="s">
        <v>2198</v>
      </c>
      <c r="E499" s="412" t="s">
        <v>4174</v>
      </c>
      <c r="F499" s="912">
        <v>2.9672999999999998E-2</v>
      </c>
      <c r="G499" s="480">
        <v>2538.48</v>
      </c>
      <c r="H499" s="414">
        <v>487.2</v>
      </c>
      <c r="I499" s="413" t="s">
        <v>481</v>
      </c>
      <c r="J499" s="411">
        <v>1</v>
      </c>
      <c r="K499" s="411" t="s">
        <v>716</v>
      </c>
      <c r="L499" s="482">
        <v>348</v>
      </c>
      <c r="M499" s="461" t="s">
        <v>2412</v>
      </c>
      <c r="N499" s="483">
        <v>67.071199999999919</v>
      </c>
      <c r="O499" s="483">
        <v>134.15400000000011</v>
      </c>
      <c r="P499" s="913" t="s">
        <v>2413</v>
      </c>
      <c r="Q499" s="484">
        <v>336.67839999999967</v>
      </c>
      <c r="R499" s="497"/>
    </row>
    <row r="500" spans="1:18" ht="15" customHeight="1">
      <c r="A500" s="233">
        <v>486</v>
      </c>
      <c r="B500" s="413" t="s">
        <v>5621</v>
      </c>
      <c r="C500" s="411">
        <f t="shared" si="9"/>
        <v>486</v>
      </c>
      <c r="D500" s="443" t="s">
        <v>2198</v>
      </c>
      <c r="E500" s="412" t="s">
        <v>5670</v>
      </c>
      <c r="F500" s="912">
        <v>2.9645999999999999E-2</v>
      </c>
      <c r="G500" s="480">
        <v>2538.48</v>
      </c>
      <c r="H500" s="414">
        <v>487.2</v>
      </c>
      <c r="I500" s="413" t="s">
        <v>481</v>
      </c>
      <c r="J500" s="411">
        <v>1</v>
      </c>
      <c r="K500" s="411" t="s">
        <v>5717</v>
      </c>
      <c r="L500" s="482">
        <v>348</v>
      </c>
      <c r="M500" s="461" t="s">
        <v>2412</v>
      </c>
      <c r="N500" s="483">
        <v>67.071199999999919</v>
      </c>
      <c r="O500" s="483">
        <v>134.15399999999985</v>
      </c>
      <c r="P500" s="913" t="s">
        <v>2413</v>
      </c>
      <c r="Q500" s="484">
        <v>336.67840000000001</v>
      </c>
      <c r="R500" s="497"/>
    </row>
    <row r="501" spans="1:18" ht="15" customHeight="1">
      <c r="A501" s="411">
        <v>487</v>
      </c>
      <c r="B501" s="413" t="s">
        <v>2668</v>
      </c>
      <c r="C501" s="411">
        <f t="shared" si="9"/>
        <v>487</v>
      </c>
      <c r="D501" s="443" t="s">
        <v>2198</v>
      </c>
      <c r="E501" s="412" t="s">
        <v>2669</v>
      </c>
      <c r="F501" s="912">
        <v>2.89722E-2</v>
      </c>
      <c r="G501" s="480">
        <v>2538.48</v>
      </c>
      <c r="H501" s="414">
        <v>487.2</v>
      </c>
      <c r="I501" s="413" t="s">
        <v>481</v>
      </c>
      <c r="J501" s="411">
        <v>1</v>
      </c>
      <c r="K501" s="411" t="s">
        <v>2670</v>
      </c>
      <c r="L501" s="482">
        <v>348</v>
      </c>
      <c r="M501" s="461" t="s">
        <v>2412</v>
      </c>
      <c r="N501" s="483">
        <v>67.071199999999919</v>
      </c>
      <c r="O501" s="483">
        <v>134.15400000000011</v>
      </c>
      <c r="P501" s="913" t="s">
        <v>2413</v>
      </c>
      <c r="Q501" s="484">
        <v>336.67839999999967</v>
      </c>
      <c r="R501" s="497"/>
    </row>
    <row r="502" spans="1:18" ht="15" customHeight="1">
      <c r="A502" s="411">
        <v>488</v>
      </c>
      <c r="B502" s="413" t="s">
        <v>2671</v>
      </c>
      <c r="C502" s="411">
        <f t="shared" si="9"/>
        <v>488</v>
      </c>
      <c r="D502" s="443" t="s">
        <v>2198</v>
      </c>
      <c r="E502" s="412" t="s">
        <v>231</v>
      </c>
      <c r="F502" s="912">
        <v>3.0901499999999998E-2</v>
      </c>
      <c r="G502" s="480">
        <v>2538.48</v>
      </c>
      <c r="H502" s="414">
        <v>487.2</v>
      </c>
      <c r="I502" s="413" t="s">
        <v>481</v>
      </c>
      <c r="J502" s="411">
        <v>1</v>
      </c>
      <c r="K502" s="411" t="s">
        <v>717</v>
      </c>
      <c r="L502" s="482">
        <v>348</v>
      </c>
      <c r="M502" s="461" t="s">
        <v>2412</v>
      </c>
      <c r="N502" s="483">
        <v>67.071199999999919</v>
      </c>
      <c r="O502" s="483">
        <v>134.15400000000011</v>
      </c>
      <c r="P502" s="913" t="s">
        <v>2413</v>
      </c>
      <c r="Q502" s="484">
        <v>336.67839999999967</v>
      </c>
      <c r="R502" s="497"/>
    </row>
    <row r="503" spans="1:18" ht="15" customHeight="1">
      <c r="A503" s="233">
        <v>489</v>
      </c>
      <c r="B503" s="413" t="s">
        <v>2672</v>
      </c>
      <c r="C503" s="411">
        <f t="shared" si="9"/>
        <v>489</v>
      </c>
      <c r="D503" s="443" t="s">
        <v>2198</v>
      </c>
      <c r="E503" s="412" t="s">
        <v>232</v>
      </c>
      <c r="F503" s="912">
        <v>3.0488300000000003E-2</v>
      </c>
      <c r="G503" s="480">
        <v>2538.48</v>
      </c>
      <c r="H503" s="414">
        <v>487.2</v>
      </c>
      <c r="I503" s="413" t="s">
        <v>481</v>
      </c>
      <c r="J503" s="411">
        <v>1</v>
      </c>
      <c r="K503" s="411" t="s">
        <v>718</v>
      </c>
      <c r="L503" s="482">
        <v>348</v>
      </c>
      <c r="M503" s="461" t="s">
        <v>2412</v>
      </c>
      <c r="N503" s="483">
        <v>67.071199999999919</v>
      </c>
      <c r="O503" s="483">
        <v>134.15400000000011</v>
      </c>
      <c r="P503" s="913" t="s">
        <v>2413</v>
      </c>
      <c r="Q503" s="484">
        <v>336.67839999999967</v>
      </c>
      <c r="R503" s="497"/>
    </row>
    <row r="504" spans="1:18" ht="15" customHeight="1">
      <c r="A504" s="411">
        <v>490</v>
      </c>
      <c r="B504" s="413" t="s">
        <v>2673</v>
      </c>
      <c r="C504" s="411">
        <f t="shared" si="9"/>
        <v>490</v>
      </c>
      <c r="D504" s="443" t="s">
        <v>2198</v>
      </c>
      <c r="E504" s="412" t="s">
        <v>233</v>
      </c>
      <c r="F504" s="912">
        <v>2.9878599999999998E-2</v>
      </c>
      <c r="G504" s="480">
        <v>2538.48</v>
      </c>
      <c r="H504" s="414">
        <v>487.2</v>
      </c>
      <c r="I504" s="413" t="s">
        <v>481</v>
      </c>
      <c r="J504" s="411">
        <v>1</v>
      </c>
      <c r="K504" s="411" t="s">
        <v>719</v>
      </c>
      <c r="L504" s="482">
        <v>348</v>
      </c>
      <c r="M504" s="461" t="s">
        <v>2412</v>
      </c>
      <c r="N504" s="483">
        <v>67.071199999999919</v>
      </c>
      <c r="O504" s="483">
        <v>134.15400000000011</v>
      </c>
      <c r="P504" s="913" t="s">
        <v>2413</v>
      </c>
      <c r="Q504" s="484">
        <v>336.67839999999967</v>
      </c>
      <c r="R504" s="497"/>
    </row>
    <row r="505" spans="1:18" ht="15" customHeight="1">
      <c r="A505" s="411">
        <v>491</v>
      </c>
      <c r="B505" s="413" t="s">
        <v>2674</v>
      </c>
      <c r="C505" s="411">
        <f t="shared" si="9"/>
        <v>491</v>
      </c>
      <c r="D505" s="443" t="s">
        <v>2198</v>
      </c>
      <c r="E505" s="412" t="s">
        <v>234</v>
      </c>
      <c r="F505" s="912">
        <v>3.0901499999999998E-2</v>
      </c>
      <c r="G505" s="480">
        <v>2538.48</v>
      </c>
      <c r="H505" s="414">
        <v>487.2</v>
      </c>
      <c r="I505" s="413" t="s">
        <v>481</v>
      </c>
      <c r="J505" s="411">
        <v>1</v>
      </c>
      <c r="K505" s="411" t="s">
        <v>720</v>
      </c>
      <c r="L505" s="482">
        <v>348</v>
      </c>
      <c r="M505" s="461" t="s">
        <v>2412</v>
      </c>
      <c r="N505" s="483">
        <v>67.071199999999919</v>
      </c>
      <c r="O505" s="483">
        <v>134.15400000000011</v>
      </c>
      <c r="P505" s="913" t="s">
        <v>2413</v>
      </c>
      <c r="Q505" s="484">
        <v>336.67839999999967</v>
      </c>
      <c r="R505" s="497"/>
    </row>
    <row r="506" spans="1:18" ht="15" customHeight="1">
      <c r="A506" s="233">
        <v>492</v>
      </c>
      <c r="B506" s="413" t="s">
        <v>5622</v>
      </c>
      <c r="C506" s="411">
        <f t="shared" si="9"/>
        <v>492</v>
      </c>
      <c r="D506" s="443" t="s">
        <v>2199</v>
      </c>
      <c r="E506" s="412" t="s">
        <v>5671</v>
      </c>
      <c r="F506" s="912">
        <v>3.0097700000000002E-2</v>
      </c>
      <c r="G506" s="480">
        <v>2538.48</v>
      </c>
      <c r="H506" s="414">
        <v>487.2</v>
      </c>
      <c r="I506" s="413" t="s">
        <v>481</v>
      </c>
      <c r="J506" s="411">
        <v>1</v>
      </c>
      <c r="K506" s="411" t="s">
        <v>4218</v>
      </c>
      <c r="L506" s="482">
        <v>348</v>
      </c>
      <c r="M506" s="461" t="s">
        <v>2412</v>
      </c>
      <c r="N506" s="483">
        <v>67.071199999999919</v>
      </c>
      <c r="O506" s="483">
        <v>134.15400000000011</v>
      </c>
      <c r="P506" s="913" t="s">
        <v>2413</v>
      </c>
      <c r="Q506" s="484">
        <v>336.67839999999967</v>
      </c>
      <c r="R506" s="497"/>
    </row>
    <row r="507" spans="1:18" ht="15" customHeight="1">
      <c r="A507" s="411">
        <v>493</v>
      </c>
      <c r="B507" s="413" t="s">
        <v>5623</v>
      </c>
      <c r="C507" s="411">
        <f t="shared" si="9"/>
        <v>493</v>
      </c>
      <c r="D507" s="443" t="s">
        <v>2199</v>
      </c>
      <c r="E507" s="412" t="s">
        <v>5672</v>
      </c>
      <c r="F507" s="912">
        <v>3.0097700000000002E-2</v>
      </c>
      <c r="G507" s="480">
        <v>2538.48</v>
      </c>
      <c r="H507" s="414">
        <v>487.2</v>
      </c>
      <c r="I507" s="413" t="s">
        <v>481</v>
      </c>
      <c r="J507" s="411">
        <v>1</v>
      </c>
      <c r="K507" s="411" t="s">
        <v>3520</v>
      </c>
      <c r="L507" s="482">
        <v>348</v>
      </c>
      <c r="M507" s="461" t="s">
        <v>2412</v>
      </c>
      <c r="N507" s="483">
        <v>67.071199999999919</v>
      </c>
      <c r="O507" s="483">
        <v>134.15400000000011</v>
      </c>
      <c r="P507" s="913" t="s">
        <v>2413</v>
      </c>
      <c r="Q507" s="484">
        <v>336.67839999999967</v>
      </c>
      <c r="R507" s="497"/>
    </row>
    <row r="508" spans="1:18" ht="15" customHeight="1">
      <c r="A508" s="411">
        <v>494</v>
      </c>
      <c r="B508" s="413" t="s">
        <v>5624</v>
      </c>
      <c r="C508" s="411">
        <f t="shared" si="9"/>
        <v>494</v>
      </c>
      <c r="D508" s="443" t="s">
        <v>2199</v>
      </c>
      <c r="E508" s="412" t="s">
        <v>5673</v>
      </c>
      <c r="F508" s="912">
        <v>3.0097700000000002E-2</v>
      </c>
      <c r="G508" s="480">
        <v>2538.48</v>
      </c>
      <c r="H508" s="414">
        <v>487.2</v>
      </c>
      <c r="I508" s="413" t="s">
        <v>481</v>
      </c>
      <c r="J508" s="411">
        <v>1</v>
      </c>
      <c r="K508" s="411" t="s">
        <v>3310</v>
      </c>
      <c r="L508" s="482">
        <v>348</v>
      </c>
      <c r="M508" s="461" t="s">
        <v>2412</v>
      </c>
      <c r="N508" s="483">
        <v>67.071199999999919</v>
      </c>
      <c r="O508" s="483">
        <v>134.15400000000011</v>
      </c>
      <c r="P508" s="913" t="s">
        <v>2413</v>
      </c>
      <c r="Q508" s="484">
        <v>336.67839999999967</v>
      </c>
      <c r="R508" s="497"/>
    </row>
    <row r="509" spans="1:18" ht="15" customHeight="1">
      <c r="A509" s="233">
        <v>495</v>
      </c>
      <c r="B509" s="413" t="s">
        <v>5625</v>
      </c>
      <c r="C509" s="411">
        <f t="shared" si="9"/>
        <v>495</v>
      </c>
      <c r="D509" s="443" t="s">
        <v>2199</v>
      </c>
      <c r="E509" s="412" t="s">
        <v>5674</v>
      </c>
      <c r="F509" s="912">
        <v>3.0098E-2</v>
      </c>
      <c r="G509" s="480">
        <v>2538.48</v>
      </c>
      <c r="H509" s="414">
        <v>487.2</v>
      </c>
      <c r="I509" s="413" t="s">
        <v>481</v>
      </c>
      <c r="J509" s="411">
        <v>1</v>
      </c>
      <c r="K509" s="411" t="s">
        <v>5718</v>
      </c>
      <c r="L509" s="482">
        <v>348</v>
      </c>
      <c r="M509" s="461" t="s">
        <v>2412</v>
      </c>
      <c r="N509" s="483">
        <v>67.071199999999919</v>
      </c>
      <c r="O509" s="483">
        <v>134.15399999999985</v>
      </c>
      <c r="P509" s="913" t="s">
        <v>2413</v>
      </c>
      <c r="Q509" s="484">
        <v>336.67840000000001</v>
      </c>
      <c r="R509" s="497"/>
    </row>
    <row r="510" spans="1:18" ht="15" customHeight="1">
      <c r="A510" s="411">
        <v>496</v>
      </c>
      <c r="B510" s="413" t="s">
        <v>5626</v>
      </c>
      <c r="C510" s="411">
        <f t="shared" si="9"/>
        <v>496</v>
      </c>
      <c r="D510" s="443" t="s">
        <v>2199</v>
      </c>
      <c r="E510" s="412" t="s">
        <v>5675</v>
      </c>
      <c r="F510" s="912">
        <v>3.0097700000000002E-2</v>
      </c>
      <c r="G510" s="480">
        <v>2538.48</v>
      </c>
      <c r="H510" s="414">
        <v>487.2</v>
      </c>
      <c r="I510" s="413" t="s">
        <v>481</v>
      </c>
      <c r="J510" s="411">
        <v>1</v>
      </c>
      <c r="K510" s="411" t="s">
        <v>3521</v>
      </c>
      <c r="L510" s="482">
        <v>348</v>
      </c>
      <c r="M510" s="461" t="s">
        <v>2412</v>
      </c>
      <c r="N510" s="483">
        <v>67.071199999999919</v>
      </c>
      <c r="O510" s="483">
        <v>134.15400000000011</v>
      </c>
      <c r="P510" s="913" t="s">
        <v>2413</v>
      </c>
      <c r="Q510" s="484">
        <v>336.67839999999967</v>
      </c>
      <c r="R510" s="497"/>
    </row>
    <row r="511" spans="1:18" ht="15" customHeight="1">
      <c r="A511" s="411">
        <v>497</v>
      </c>
      <c r="B511" s="413" t="s">
        <v>5627</v>
      </c>
      <c r="C511" s="411">
        <f t="shared" si="9"/>
        <v>497</v>
      </c>
      <c r="D511" s="443" t="s">
        <v>2199</v>
      </c>
      <c r="E511" s="412" t="s">
        <v>5676</v>
      </c>
      <c r="F511" s="912">
        <v>3.0097700000000002E-2</v>
      </c>
      <c r="G511" s="480">
        <v>2538.48</v>
      </c>
      <c r="H511" s="414">
        <v>487.2</v>
      </c>
      <c r="I511" s="413" t="s">
        <v>481</v>
      </c>
      <c r="J511" s="411">
        <v>1</v>
      </c>
      <c r="K511" s="411" t="s">
        <v>2372</v>
      </c>
      <c r="L511" s="482">
        <v>348</v>
      </c>
      <c r="M511" s="461" t="s">
        <v>2412</v>
      </c>
      <c r="N511" s="483">
        <v>67.071199999999919</v>
      </c>
      <c r="O511" s="483">
        <v>134.15400000000011</v>
      </c>
      <c r="P511" s="913" t="s">
        <v>2413</v>
      </c>
      <c r="Q511" s="484">
        <v>336.67839999999967</v>
      </c>
      <c r="R511" s="497"/>
    </row>
    <row r="512" spans="1:18" ht="15" customHeight="1">
      <c r="A512" s="233">
        <v>498</v>
      </c>
      <c r="B512" s="413" t="s">
        <v>5628</v>
      </c>
      <c r="C512" s="411">
        <f t="shared" si="9"/>
        <v>498</v>
      </c>
      <c r="D512" s="443" t="s">
        <v>2199</v>
      </c>
      <c r="E512" s="412" t="s">
        <v>5677</v>
      </c>
      <c r="F512" s="912">
        <v>3.0097700000000002E-2</v>
      </c>
      <c r="G512" s="480">
        <v>2538.48</v>
      </c>
      <c r="H512" s="414">
        <v>487.2</v>
      </c>
      <c r="I512" s="413" t="s">
        <v>481</v>
      </c>
      <c r="J512" s="411">
        <v>1</v>
      </c>
      <c r="K512" s="411" t="s">
        <v>2373</v>
      </c>
      <c r="L512" s="482">
        <v>348</v>
      </c>
      <c r="M512" s="461" t="s">
        <v>2412</v>
      </c>
      <c r="N512" s="483">
        <v>67.071199999999919</v>
      </c>
      <c r="O512" s="483">
        <v>134.15400000000011</v>
      </c>
      <c r="P512" s="913" t="s">
        <v>2413</v>
      </c>
      <c r="Q512" s="484">
        <v>336.67839999999967</v>
      </c>
      <c r="R512" s="497"/>
    </row>
    <row r="513" spans="1:18" ht="15" customHeight="1">
      <c r="A513" s="411">
        <v>499</v>
      </c>
      <c r="B513" s="413" t="s">
        <v>5629</v>
      </c>
      <c r="C513" s="411">
        <f t="shared" si="9"/>
        <v>499</v>
      </c>
      <c r="D513" s="443" t="s">
        <v>2199</v>
      </c>
      <c r="E513" s="412" t="s">
        <v>5678</v>
      </c>
      <c r="F513" s="912">
        <v>3.0097700000000002E-2</v>
      </c>
      <c r="G513" s="480">
        <v>2538.48</v>
      </c>
      <c r="H513" s="414">
        <v>487.2</v>
      </c>
      <c r="I513" s="413" t="s">
        <v>481</v>
      </c>
      <c r="J513" s="411">
        <v>1</v>
      </c>
      <c r="K513" s="411" t="s">
        <v>3187</v>
      </c>
      <c r="L513" s="482">
        <v>348</v>
      </c>
      <c r="M513" s="461" t="s">
        <v>2412</v>
      </c>
      <c r="N513" s="483">
        <v>67.071199999999919</v>
      </c>
      <c r="O513" s="483">
        <v>134.15400000000011</v>
      </c>
      <c r="P513" s="913" t="s">
        <v>2413</v>
      </c>
      <c r="Q513" s="484">
        <v>336.67839999999967</v>
      </c>
      <c r="R513" s="497"/>
    </row>
    <row r="514" spans="1:18" ht="15" customHeight="1">
      <c r="A514" s="411">
        <v>500</v>
      </c>
      <c r="B514" s="413" t="s">
        <v>5630</v>
      </c>
      <c r="C514" s="411">
        <f t="shared" si="9"/>
        <v>500</v>
      </c>
      <c r="D514" s="443" t="s">
        <v>2199</v>
      </c>
      <c r="E514" s="412" t="s">
        <v>5679</v>
      </c>
      <c r="F514" s="912">
        <v>3.0097700000000002E-2</v>
      </c>
      <c r="G514" s="480">
        <v>2538.48</v>
      </c>
      <c r="H514" s="414">
        <v>487.2</v>
      </c>
      <c r="I514" s="413" t="s">
        <v>481</v>
      </c>
      <c r="J514" s="411">
        <v>1</v>
      </c>
      <c r="K514" s="411" t="s">
        <v>3225</v>
      </c>
      <c r="L514" s="482">
        <v>348</v>
      </c>
      <c r="M514" s="461" t="s">
        <v>2412</v>
      </c>
      <c r="N514" s="483">
        <v>67.071199999999919</v>
      </c>
      <c r="O514" s="483">
        <v>134.15400000000011</v>
      </c>
      <c r="P514" s="913" t="s">
        <v>2413</v>
      </c>
      <c r="Q514" s="484">
        <v>336.67839999999967</v>
      </c>
      <c r="R514" s="497"/>
    </row>
    <row r="515" spans="1:18" ht="15" customHeight="1">
      <c r="A515" s="233">
        <v>501</v>
      </c>
      <c r="B515" s="413" t="s">
        <v>5631</v>
      </c>
      <c r="C515" s="411">
        <f t="shared" si="9"/>
        <v>501</v>
      </c>
      <c r="D515" s="443" t="s">
        <v>2199</v>
      </c>
      <c r="E515" s="412" t="s">
        <v>5680</v>
      </c>
      <c r="F515" s="912">
        <v>3.6269999999999997E-2</v>
      </c>
      <c r="G515" s="480">
        <v>2538.48</v>
      </c>
      <c r="H515" s="414">
        <v>487.2</v>
      </c>
      <c r="I515" s="413" t="s">
        <v>481</v>
      </c>
      <c r="J515" s="411">
        <v>1</v>
      </c>
      <c r="K515" s="411" t="s">
        <v>4922</v>
      </c>
      <c r="L515" s="482">
        <v>348</v>
      </c>
      <c r="M515" s="461" t="s">
        <v>2412</v>
      </c>
      <c r="N515" s="483">
        <v>67.071199999999919</v>
      </c>
      <c r="O515" s="483">
        <v>134.15399999999985</v>
      </c>
      <c r="P515" s="913" t="s">
        <v>2413</v>
      </c>
      <c r="Q515" s="484">
        <v>336.67840000000001</v>
      </c>
      <c r="R515" s="497"/>
    </row>
    <row r="516" spans="1:18" ht="15" customHeight="1">
      <c r="A516" s="411">
        <v>502</v>
      </c>
      <c r="B516" s="413" t="s">
        <v>5632</v>
      </c>
      <c r="C516" s="411">
        <f t="shared" si="9"/>
        <v>502</v>
      </c>
      <c r="D516" s="443" t="s">
        <v>2199</v>
      </c>
      <c r="E516" s="412" t="s">
        <v>5681</v>
      </c>
      <c r="F516" s="912">
        <v>3.0098E-2</v>
      </c>
      <c r="G516" s="480">
        <v>2538.48</v>
      </c>
      <c r="H516" s="414">
        <v>487.2</v>
      </c>
      <c r="I516" s="413" t="s">
        <v>481</v>
      </c>
      <c r="J516" s="411">
        <v>1</v>
      </c>
      <c r="K516" s="411" t="s">
        <v>5147</v>
      </c>
      <c r="L516" s="482">
        <v>348</v>
      </c>
      <c r="M516" s="461" t="s">
        <v>2412</v>
      </c>
      <c r="N516" s="483">
        <v>67.071199999999919</v>
      </c>
      <c r="O516" s="483">
        <v>134.15399999999985</v>
      </c>
      <c r="P516" s="913" t="s">
        <v>2413</v>
      </c>
      <c r="Q516" s="484">
        <v>336.67840000000001</v>
      </c>
      <c r="R516" s="497"/>
    </row>
    <row r="517" spans="1:18" ht="15" customHeight="1">
      <c r="A517" s="411">
        <v>503</v>
      </c>
      <c r="B517" s="413" t="s">
        <v>5633</v>
      </c>
      <c r="C517" s="411">
        <f t="shared" si="9"/>
        <v>503</v>
      </c>
      <c r="D517" s="443" t="s">
        <v>2199</v>
      </c>
      <c r="E517" s="412" t="s">
        <v>5682</v>
      </c>
      <c r="F517" s="912">
        <v>3.0097700000000002E-2</v>
      </c>
      <c r="G517" s="480">
        <v>2538.48</v>
      </c>
      <c r="H517" s="414">
        <v>487.2</v>
      </c>
      <c r="I517" s="413" t="s">
        <v>481</v>
      </c>
      <c r="J517" s="411">
        <v>1</v>
      </c>
      <c r="K517" s="411" t="s">
        <v>3226</v>
      </c>
      <c r="L517" s="482">
        <v>348</v>
      </c>
      <c r="M517" s="461" t="s">
        <v>2412</v>
      </c>
      <c r="N517" s="483">
        <v>67.071199999999919</v>
      </c>
      <c r="O517" s="483">
        <v>134.15400000000011</v>
      </c>
      <c r="P517" s="913" t="s">
        <v>2413</v>
      </c>
      <c r="Q517" s="484">
        <v>336.67839999999967</v>
      </c>
      <c r="R517" s="497"/>
    </row>
    <row r="518" spans="1:18" ht="15" customHeight="1">
      <c r="A518" s="233">
        <v>504</v>
      </c>
      <c r="B518" s="413" t="s">
        <v>5634</v>
      </c>
      <c r="C518" s="411">
        <f t="shared" si="9"/>
        <v>504</v>
      </c>
      <c r="D518" s="443" t="s">
        <v>2199</v>
      </c>
      <c r="E518" s="412" t="s">
        <v>5683</v>
      </c>
      <c r="F518" s="912">
        <v>3.0097700000000002E-2</v>
      </c>
      <c r="G518" s="480">
        <v>2538.48</v>
      </c>
      <c r="H518" s="414">
        <v>487.2</v>
      </c>
      <c r="I518" s="413" t="s">
        <v>481</v>
      </c>
      <c r="J518" s="411">
        <v>1</v>
      </c>
      <c r="K518" s="411" t="s">
        <v>3227</v>
      </c>
      <c r="L518" s="482">
        <v>348</v>
      </c>
      <c r="M518" s="461" t="s">
        <v>2412</v>
      </c>
      <c r="N518" s="483">
        <v>67.071199999999919</v>
      </c>
      <c r="O518" s="483">
        <v>134.15400000000011</v>
      </c>
      <c r="P518" s="913" t="s">
        <v>2413</v>
      </c>
      <c r="Q518" s="484">
        <v>336.67839999999967</v>
      </c>
      <c r="R518" s="497"/>
    </row>
    <row r="519" spans="1:18" ht="15" customHeight="1">
      <c r="A519" s="411">
        <v>505</v>
      </c>
      <c r="B519" s="413" t="s">
        <v>4151</v>
      </c>
      <c r="C519" s="411">
        <f t="shared" si="9"/>
        <v>505</v>
      </c>
      <c r="D519" s="443" t="s">
        <v>2199</v>
      </c>
      <c r="E519" s="412" t="s">
        <v>4141</v>
      </c>
      <c r="F519" s="912">
        <v>3.0097700000000002E-2</v>
      </c>
      <c r="G519" s="480">
        <v>2538.48</v>
      </c>
      <c r="H519" s="414">
        <v>487.2</v>
      </c>
      <c r="I519" s="413" t="s">
        <v>481</v>
      </c>
      <c r="J519" s="411">
        <v>1</v>
      </c>
      <c r="K519" s="411" t="s">
        <v>4142</v>
      </c>
      <c r="L519" s="482">
        <v>348</v>
      </c>
      <c r="M519" s="461" t="s">
        <v>2412</v>
      </c>
      <c r="N519" s="483">
        <v>67.071199999999919</v>
      </c>
      <c r="O519" s="483">
        <v>134.15400000000011</v>
      </c>
      <c r="P519" s="913" t="s">
        <v>2413</v>
      </c>
      <c r="Q519" s="484">
        <v>336.67839999999967</v>
      </c>
      <c r="R519" s="497"/>
    </row>
    <row r="520" spans="1:18" ht="15" customHeight="1">
      <c r="A520" s="411">
        <v>506</v>
      </c>
      <c r="B520" s="413" t="s">
        <v>5635</v>
      </c>
      <c r="C520" s="411">
        <f t="shared" si="9"/>
        <v>506</v>
      </c>
      <c r="D520" s="443" t="s">
        <v>2199</v>
      </c>
      <c r="E520" s="412" t="s">
        <v>5684</v>
      </c>
      <c r="F520" s="912">
        <v>3.0097700000000002E-2</v>
      </c>
      <c r="G520" s="480">
        <v>2538.48</v>
      </c>
      <c r="H520" s="414">
        <v>487.2</v>
      </c>
      <c r="I520" s="413" t="s">
        <v>481</v>
      </c>
      <c r="J520" s="411">
        <v>1</v>
      </c>
      <c r="K520" s="411" t="s">
        <v>4091</v>
      </c>
      <c r="L520" s="482">
        <v>348</v>
      </c>
      <c r="M520" s="461" t="s">
        <v>2412</v>
      </c>
      <c r="N520" s="483">
        <v>67.071199999999919</v>
      </c>
      <c r="O520" s="483">
        <v>134.15400000000011</v>
      </c>
      <c r="P520" s="913" t="s">
        <v>2413</v>
      </c>
      <c r="Q520" s="484">
        <v>336.67839999999967</v>
      </c>
      <c r="R520" s="497"/>
    </row>
    <row r="521" spans="1:18" ht="15" customHeight="1">
      <c r="A521" s="233">
        <v>507</v>
      </c>
      <c r="B521" s="413" t="s">
        <v>5636</v>
      </c>
      <c r="C521" s="411">
        <f t="shared" si="9"/>
        <v>507</v>
      </c>
      <c r="D521" s="443" t="s">
        <v>2199</v>
      </c>
      <c r="E521" s="412" t="s">
        <v>5685</v>
      </c>
      <c r="F521" s="912">
        <v>3.0098E-2</v>
      </c>
      <c r="G521" s="480">
        <v>2538.48</v>
      </c>
      <c r="H521" s="414">
        <v>487.2</v>
      </c>
      <c r="I521" s="413" t="s">
        <v>481</v>
      </c>
      <c r="J521" s="411">
        <v>1</v>
      </c>
      <c r="K521" s="411" t="s">
        <v>5148</v>
      </c>
      <c r="L521" s="482">
        <v>348</v>
      </c>
      <c r="M521" s="461" t="s">
        <v>2412</v>
      </c>
      <c r="N521" s="483">
        <v>67.071199999999919</v>
      </c>
      <c r="O521" s="483">
        <v>134.15399999999985</v>
      </c>
      <c r="P521" s="913" t="s">
        <v>2413</v>
      </c>
      <c r="Q521" s="484">
        <v>336.67840000000001</v>
      </c>
      <c r="R521" s="497"/>
    </row>
    <row r="522" spans="1:18" ht="15" customHeight="1">
      <c r="A522" s="411">
        <v>508</v>
      </c>
      <c r="B522" s="413" t="s">
        <v>5637</v>
      </c>
      <c r="C522" s="411">
        <f t="shared" si="9"/>
        <v>508</v>
      </c>
      <c r="D522" s="443" t="s">
        <v>2199</v>
      </c>
      <c r="E522" s="412" t="s">
        <v>5686</v>
      </c>
      <c r="F522" s="912">
        <v>3.0097700000000002E-2</v>
      </c>
      <c r="G522" s="480">
        <v>2538.48</v>
      </c>
      <c r="H522" s="414">
        <v>487.2</v>
      </c>
      <c r="I522" s="413" t="s">
        <v>481</v>
      </c>
      <c r="J522" s="411">
        <v>1</v>
      </c>
      <c r="K522" s="411" t="s">
        <v>3311</v>
      </c>
      <c r="L522" s="482">
        <v>348</v>
      </c>
      <c r="M522" s="461" t="s">
        <v>2412</v>
      </c>
      <c r="N522" s="483">
        <v>67.071199999999919</v>
      </c>
      <c r="O522" s="483">
        <v>134.15400000000011</v>
      </c>
      <c r="P522" s="913" t="s">
        <v>2413</v>
      </c>
      <c r="Q522" s="484">
        <v>336.67839999999967</v>
      </c>
      <c r="R522" s="497"/>
    </row>
    <row r="523" spans="1:18" ht="15" customHeight="1">
      <c r="A523" s="411">
        <v>509</v>
      </c>
      <c r="B523" s="413" t="s">
        <v>5638</v>
      </c>
      <c r="C523" s="411">
        <f t="shared" si="9"/>
        <v>509</v>
      </c>
      <c r="D523" s="443" t="s">
        <v>2199</v>
      </c>
      <c r="E523" s="412" t="s">
        <v>5687</v>
      </c>
      <c r="F523" s="912">
        <v>3.0097700000000002E-2</v>
      </c>
      <c r="G523" s="480">
        <v>2538.48</v>
      </c>
      <c r="H523" s="414">
        <v>487.2</v>
      </c>
      <c r="I523" s="413" t="s">
        <v>481</v>
      </c>
      <c r="J523" s="411">
        <v>1</v>
      </c>
      <c r="K523" s="411" t="s">
        <v>4136</v>
      </c>
      <c r="L523" s="482">
        <v>348</v>
      </c>
      <c r="M523" s="461" t="s">
        <v>2412</v>
      </c>
      <c r="N523" s="483">
        <v>67.071199999999919</v>
      </c>
      <c r="O523" s="483">
        <v>134.15400000000011</v>
      </c>
      <c r="P523" s="913" t="s">
        <v>2413</v>
      </c>
      <c r="Q523" s="484">
        <v>336.67839999999967</v>
      </c>
      <c r="R523" s="497"/>
    </row>
    <row r="524" spans="1:18" ht="15" customHeight="1">
      <c r="A524" s="233">
        <v>510</v>
      </c>
      <c r="B524" s="413" t="s">
        <v>5639</v>
      </c>
      <c r="C524" s="411">
        <f t="shared" si="9"/>
        <v>510</v>
      </c>
      <c r="D524" s="443" t="s">
        <v>2199</v>
      </c>
      <c r="E524" s="412" t="s">
        <v>5688</v>
      </c>
      <c r="F524" s="912">
        <v>3.0097700000000002E-2</v>
      </c>
      <c r="G524" s="480">
        <v>2538.48</v>
      </c>
      <c r="H524" s="414">
        <v>487.2</v>
      </c>
      <c r="I524" s="413" t="s">
        <v>481</v>
      </c>
      <c r="J524" s="411">
        <v>1</v>
      </c>
      <c r="K524" s="411" t="s">
        <v>4112</v>
      </c>
      <c r="L524" s="482">
        <v>348</v>
      </c>
      <c r="M524" s="461" t="s">
        <v>2412</v>
      </c>
      <c r="N524" s="483">
        <v>67.071199999999919</v>
      </c>
      <c r="O524" s="483">
        <v>134.15400000000011</v>
      </c>
      <c r="P524" s="913" t="s">
        <v>2413</v>
      </c>
      <c r="Q524" s="484">
        <v>336.67839999999967</v>
      </c>
      <c r="R524" s="497"/>
    </row>
    <row r="525" spans="1:18" ht="15" customHeight="1">
      <c r="A525" s="411">
        <v>511</v>
      </c>
      <c r="B525" s="413" t="s">
        <v>11073</v>
      </c>
      <c r="C525" s="411">
        <f t="shared" si="9"/>
        <v>511</v>
      </c>
      <c r="D525" s="443" t="s">
        <v>2199</v>
      </c>
      <c r="E525" s="412" t="s">
        <v>11072</v>
      </c>
      <c r="F525" s="912">
        <v>3.2291E-2</v>
      </c>
      <c r="G525" s="480">
        <v>2538.4744000000001</v>
      </c>
      <c r="H525" s="414">
        <v>487.2</v>
      </c>
      <c r="I525" s="413" t="s">
        <v>481</v>
      </c>
      <c r="J525" s="411">
        <v>1</v>
      </c>
      <c r="K525" s="411" t="s">
        <v>11065</v>
      </c>
      <c r="L525" s="482">
        <v>348</v>
      </c>
      <c r="M525" s="461" t="s">
        <v>2412</v>
      </c>
      <c r="N525" s="483">
        <v>67.071199999999919</v>
      </c>
      <c r="O525" s="483">
        <v>134.15400000000011</v>
      </c>
      <c r="P525" s="913" t="s">
        <v>2413</v>
      </c>
      <c r="Q525" s="484">
        <v>336.67840000000001</v>
      </c>
      <c r="R525" s="497"/>
    </row>
    <row r="526" spans="1:18" ht="15" customHeight="1">
      <c r="A526" s="411">
        <v>512</v>
      </c>
      <c r="B526" s="413" t="s">
        <v>5640</v>
      </c>
      <c r="C526" s="411">
        <f t="shared" si="9"/>
        <v>512</v>
      </c>
      <c r="D526" s="443" t="s">
        <v>2199</v>
      </c>
      <c r="E526" s="412" t="s">
        <v>5689</v>
      </c>
      <c r="F526" s="912">
        <v>3.0097700000000002E-2</v>
      </c>
      <c r="G526" s="480">
        <v>2538.48</v>
      </c>
      <c r="H526" s="414">
        <v>487.2</v>
      </c>
      <c r="I526" s="413" t="s">
        <v>481</v>
      </c>
      <c r="J526" s="411">
        <v>1</v>
      </c>
      <c r="K526" s="411" t="s">
        <v>3300</v>
      </c>
      <c r="L526" s="482">
        <v>348</v>
      </c>
      <c r="M526" s="461" t="s">
        <v>2412</v>
      </c>
      <c r="N526" s="483">
        <v>67.071199999999919</v>
      </c>
      <c r="O526" s="483">
        <v>134.15400000000011</v>
      </c>
      <c r="P526" s="913" t="s">
        <v>2413</v>
      </c>
      <c r="Q526" s="484">
        <v>336.67839999999967</v>
      </c>
      <c r="R526" s="497"/>
    </row>
    <row r="527" spans="1:18" ht="15" customHeight="1">
      <c r="A527" s="233">
        <v>513</v>
      </c>
      <c r="B527" s="413" t="s">
        <v>5168</v>
      </c>
      <c r="C527" s="411">
        <f t="shared" si="9"/>
        <v>513</v>
      </c>
      <c r="D527" s="443" t="s">
        <v>2199</v>
      </c>
      <c r="E527" s="412" t="s">
        <v>5188</v>
      </c>
      <c r="F527" s="912">
        <v>3.0098E-2</v>
      </c>
      <c r="G527" s="480">
        <v>2538.48</v>
      </c>
      <c r="H527" s="414">
        <v>487.2</v>
      </c>
      <c r="I527" s="413" t="s">
        <v>481</v>
      </c>
      <c r="J527" s="411">
        <v>1</v>
      </c>
      <c r="K527" s="411" t="s">
        <v>5207</v>
      </c>
      <c r="L527" s="482">
        <v>348</v>
      </c>
      <c r="M527" s="461" t="s">
        <v>2412</v>
      </c>
      <c r="N527" s="483">
        <v>67.071199999999919</v>
      </c>
      <c r="O527" s="483">
        <v>134.15399999999985</v>
      </c>
      <c r="P527" s="913" t="s">
        <v>2413</v>
      </c>
      <c r="Q527" s="484">
        <v>336.67840000000001</v>
      </c>
      <c r="R527" s="497"/>
    </row>
    <row r="528" spans="1:18" ht="15" customHeight="1">
      <c r="A528" s="411">
        <v>514</v>
      </c>
      <c r="B528" s="413" t="s">
        <v>4113</v>
      </c>
      <c r="C528" s="411">
        <f t="shared" ref="C528:C591" si="10">A528</f>
        <v>514</v>
      </c>
      <c r="D528" s="443" t="s">
        <v>2199</v>
      </c>
      <c r="E528" s="412" t="s">
        <v>4114</v>
      </c>
      <c r="F528" s="912">
        <v>3.0097700000000002E-2</v>
      </c>
      <c r="G528" s="480">
        <v>2538.48</v>
      </c>
      <c r="H528" s="414">
        <v>487.2</v>
      </c>
      <c r="I528" s="413" t="s">
        <v>481</v>
      </c>
      <c r="J528" s="411">
        <v>1</v>
      </c>
      <c r="K528" s="411" t="s">
        <v>4115</v>
      </c>
      <c r="L528" s="482">
        <v>348</v>
      </c>
      <c r="M528" s="461" t="s">
        <v>2412</v>
      </c>
      <c r="N528" s="483">
        <v>67.071199999999919</v>
      </c>
      <c r="O528" s="483">
        <v>134.15400000000011</v>
      </c>
      <c r="P528" s="913" t="s">
        <v>2413</v>
      </c>
      <c r="Q528" s="484">
        <v>336.67839999999967</v>
      </c>
      <c r="R528" s="497"/>
    </row>
    <row r="529" spans="1:18" ht="15" customHeight="1">
      <c r="A529" s="411">
        <v>515</v>
      </c>
      <c r="B529" s="413" t="s">
        <v>4862</v>
      </c>
      <c r="C529" s="411">
        <f t="shared" si="10"/>
        <v>515</v>
      </c>
      <c r="D529" s="443" t="s">
        <v>2199</v>
      </c>
      <c r="E529" s="412" t="s">
        <v>4893</v>
      </c>
      <c r="F529" s="912">
        <v>3.0098E-2</v>
      </c>
      <c r="G529" s="480">
        <v>2538.48</v>
      </c>
      <c r="H529" s="414">
        <v>487.2</v>
      </c>
      <c r="I529" s="413" t="s">
        <v>481</v>
      </c>
      <c r="J529" s="411">
        <v>1</v>
      </c>
      <c r="K529" s="411" t="s">
        <v>4819</v>
      </c>
      <c r="L529" s="482">
        <v>348</v>
      </c>
      <c r="M529" s="461" t="s">
        <v>2412</v>
      </c>
      <c r="N529" s="483">
        <v>67.071199999999919</v>
      </c>
      <c r="O529" s="483">
        <v>134.15400000000011</v>
      </c>
      <c r="P529" s="913" t="s">
        <v>2413</v>
      </c>
      <c r="Q529" s="484">
        <v>336.67839999999967</v>
      </c>
      <c r="R529" s="497"/>
    </row>
    <row r="530" spans="1:18" ht="15" customHeight="1">
      <c r="A530" s="233">
        <v>516</v>
      </c>
      <c r="B530" s="413" t="s">
        <v>4243</v>
      </c>
      <c r="C530" s="411">
        <f t="shared" si="10"/>
        <v>516</v>
      </c>
      <c r="D530" s="443" t="s">
        <v>2199</v>
      </c>
      <c r="E530" s="412" t="s">
        <v>4249</v>
      </c>
      <c r="F530" s="912">
        <v>3.0097700000000002E-2</v>
      </c>
      <c r="G530" s="480">
        <v>2538.48</v>
      </c>
      <c r="H530" s="414">
        <v>487.2</v>
      </c>
      <c r="I530" s="413" t="s">
        <v>481</v>
      </c>
      <c r="J530" s="411">
        <v>1</v>
      </c>
      <c r="K530" s="411" t="s">
        <v>4255</v>
      </c>
      <c r="L530" s="482">
        <v>348</v>
      </c>
      <c r="M530" s="461" t="s">
        <v>2412</v>
      </c>
      <c r="N530" s="483">
        <v>67.071199999999919</v>
      </c>
      <c r="O530" s="483">
        <v>134.15400000000011</v>
      </c>
      <c r="P530" s="913" t="s">
        <v>2413</v>
      </c>
      <c r="Q530" s="484">
        <v>336.67839999999967</v>
      </c>
      <c r="R530" s="497"/>
    </row>
    <row r="531" spans="1:18" ht="15" customHeight="1">
      <c r="A531" s="411">
        <v>517</v>
      </c>
      <c r="B531" s="413" t="s">
        <v>5169</v>
      </c>
      <c r="C531" s="411">
        <f t="shared" si="10"/>
        <v>517</v>
      </c>
      <c r="D531" s="443" t="s">
        <v>2199</v>
      </c>
      <c r="E531" s="412" t="s">
        <v>5189</v>
      </c>
      <c r="F531" s="912">
        <v>3.9858999999999999E-2</v>
      </c>
      <c r="G531" s="480">
        <v>2538.48</v>
      </c>
      <c r="H531" s="414">
        <v>487.2</v>
      </c>
      <c r="I531" s="413" t="s">
        <v>481</v>
      </c>
      <c r="J531" s="411">
        <v>1</v>
      </c>
      <c r="K531" s="411" t="s">
        <v>5208</v>
      </c>
      <c r="L531" s="482">
        <v>348</v>
      </c>
      <c r="M531" s="461" t="s">
        <v>2412</v>
      </c>
      <c r="N531" s="483">
        <v>67.071199999999919</v>
      </c>
      <c r="O531" s="483">
        <v>134.15399999999985</v>
      </c>
      <c r="P531" s="913" t="s">
        <v>2413</v>
      </c>
      <c r="Q531" s="484">
        <v>336.67840000000001</v>
      </c>
      <c r="R531" s="497"/>
    </row>
    <row r="532" spans="1:18" ht="15" customHeight="1">
      <c r="A532" s="411">
        <v>518</v>
      </c>
      <c r="B532" s="413" t="s">
        <v>5170</v>
      </c>
      <c r="C532" s="411">
        <f t="shared" si="10"/>
        <v>518</v>
      </c>
      <c r="D532" s="443" t="s">
        <v>2199</v>
      </c>
      <c r="E532" s="412" t="s">
        <v>5190</v>
      </c>
      <c r="F532" s="912">
        <v>3.7127E-2</v>
      </c>
      <c r="G532" s="480">
        <v>2538.4744000000001</v>
      </c>
      <c r="H532" s="414">
        <v>487.2</v>
      </c>
      <c r="I532" s="413" t="s">
        <v>481</v>
      </c>
      <c r="J532" s="411">
        <v>1</v>
      </c>
      <c r="K532" s="411" t="s">
        <v>5209</v>
      </c>
      <c r="L532" s="482">
        <v>348</v>
      </c>
      <c r="M532" s="461" t="s">
        <v>2412</v>
      </c>
      <c r="N532" s="483">
        <v>67.071199999999919</v>
      </c>
      <c r="O532" s="483">
        <v>134.15399999999985</v>
      </c>
      <c r="P532" s="913" t="s">
        <v>2413</v>
      </c>
      <c r="Q532" s="484">
        <v>336.67840000000001</v>
      </c>
      <c r="R532" s="497"/>
    </row>
    <row r="533" spans="1:18" ht="15" customHeight="1">
      <c r="A533" s="233">
        <v>519</v>
      </c>
      <c r="B533" s="413" t="s">
        <v>5641</v>
      </c>
      <c r="C533" s="411">
        <f t="shared" si="10"/>
        <v>519</v>
      </c>
      <c r="D533" s="443" t="s">
        <v>2199</v>
      </c>
      <c r="E533" s="412" t="s">
        <v>5690</v>
      </c>
      <c r="F533" s="912">
        <v>3.7127E-2</v>
      </c>
      <c r="G533" s="480">
        <v>2538.4744000000001</v>
      </c>
      <c r="H533" s="414">
        <v>487.2</v>
      </c>
      <c r="I533" s="413" t="s">
        <v>481</v>
      </c>
      <c r="J533" s="411">
        <v>1</v>
      </c>
      <c r="K533" s="411" t="s">
        <v>5719</v>
      </c>
      <c r="L533" s="482">
        <v>348</v>
      </c>
      <c r="M533" s="461" t="s">
        <v>2412</v>
      </c>
      <c r="N533" s="483">
        <v>67.071199999999919</v>
      </c>
      <c r="O533" s="483">
        <v>134.15399999999985</v>
      </c>
      <c r="P533" s="913" t="s">
        <v>2413</v>
      </c>
      <c r="Q533" s="484">
        <v>336.67840000000001</v>
      </c>
      <c r="R533" s="497"/>
    </row>
    <row r="534" spans="1:18" ht="15" customHeight="1">
      <c r="A534" s="411">
        <v>520</v>
      </c>
      <c r="B534" s="413" t="s">
        <v>5171</v>
      </c>
      <c r="C534" s="411">
        <f t="shared" si="10"/>
        <v>520</v>
      </c>
      <c r="D534" s="443" t="s">
        <v>2199</v>
      </c>
      <c r="E534" s="412" t="s">
        <v>5191</v>
      </c>
      <c r="F534" s="912">
        <v>3.7127E-2</v>
      </c>
      <c r="G534" s="480">
        <v>2538.4744000000001</v>
      </c>
      <c r="H534" s="414">
        <v>487.2</v>
      </c>
      <c r="I534" s="413" t="s">
        <v>481</v>
      </c>
      <c r="J534" s="411">
        <v>1</v>
      </c>
      <c r="K534" s="411" t="s">
        <v>5210</v>
      </c>
      <c r="L534" s="482">
        <v>348</v>
      </c>
      <c r="M534" s="461" t="s">
        <v>2412</v>
      </c>
      <c r="N534" s="483">
        <v>67.071199999999919</v>
      </c>
      <c r="O534" s="483">
        <v>134.15399999999985</v>
      </c>
      <c r="P534" s="913" t="s">
        <v>2413</v>
      </c>
      <c r="Q534" s="484">
        <v>336.67840000000001</v>
      </c>
      <c r="R534" s="497"/>
    </row>
    <row r="535" spans="1:18" ht="15" customHeight="1">
      <c r="A535" s="411">
        <v>521</v>
      </c>
      <c r="B535" s="413" t="s">
        <v>10957</v>
      </c>
      <c r="C535" s="411">
        <f t="shared" si="10"/>
        <v>521</v>
      </c>
      <c r="D535" s="443" t="s">
        <v>2199</v>
      </c>
      <c r="E535" s="412" t="s">
        <v>10970</v>
      </c>
      <c r="F535" s="912">
        <v>3.7127E-2</v>
      </c>
      <c r="G535" s="480">
        <v>2538.4744000000001</v>
      </c>
      <c r="H535" s="414">
        <v>487.2</v>
      </c>
      <c r="I535" s="413" t="s">
        <v>481</v>
      </c>
      <c r="J535" s="411">
        <v>1</v>
      </c>
      <c r="K535" s="411" t="s">
        <v>10983</v>
      </c>
      <c r="L535" s="482">
        <v>348</v>
      </c>
      <c r="M535" s="461" t="s">
        <v>2412</v>
      </c>
      <c r="N535" s="483">
        <v>67.071199999999919</v>
      </c>
      <c r="O535" s="483">
        <v>134.15399999999985</v>
      </c>
      <c r="P535" s="913" t="s">
        <v>2413</v>
      </c>
      <c r="Q535" s="484">
        <v>336.67840000000001</v>
      </c>
      <c r="R535" s="497"/>
    </row>
    <row r="536" spans="1:18" ht="15" customHeight="1">
      <c r="A536" s="233">
        <v>522</v>
      </c>
      <c r="B536" s="413" t="s">
        <v>5642</v>
      </c>
      <c r="C536" s="411">
        <f t="shared" si="10"/>
        <v>522</v>
      </c>
      <c r="D536" s="443" t="s">
        <v>2199</v>
      </c>
      <c r="E536" s="412" t="s">
        <v>5691</v>
      </c>
      <c r="F536" s="912">
        <v>3.7127E-2</v>
      </c>
      <c r="G536" s="480">
        <v>2538.4744000000001</v>
      </c>
      <c r="H536" s="414">
        <v>487.2</v>
      </c>
      <c r="I536" s="413" t="s">
        <v>481</v>
      </c>
      <c r="J536" s="411">
        <v>1</v>
      </c>
      <c r="K536" s="411" t="s">
        <v>5720</v>
      </c>
      <c r="L536" s="482">
        <v>348</v>
      </c>
      <c r="M536" s="461" t="s">
        <v>2412</v>
      </c>
      <c r="N536" s="483">
        <v>67.071199999999919</v>
      </c>
      <c r="O536" s="483">
        <v>134.15399999999985</v>
      </c>
      <c r="P536" s="913" t="s">
        <v>2413</v>
      </c>
      <c r="Q536" s="484">
        <v>336.67840000000001</v>
      </c>
      <c r="R536" s="497"/>
    </row>
    <row r="537" spans="1:18" ht="15" customHeight="1">
      <c r="A537" s="411">
        <v>523</v>
      </c>
      <c r="B537" s="413" t="s">
        <v>4863</v>
      </c>
      <c r="C537" s="411">
        <f t="shared" si="10"/>
        <v>523</v>
      </c>
      <c r="D537" s="443" t="s">
        <v>2199</v>
      </c>
      <c r="E537" s="412" t="s">
        <v>4894</v>
      </c>
      <c r="F537" s="912">
        <v>3.0098E-2</v>
      </c>
      <c r="G537" s="480">
        <v>2538.48</v>
      </c>
      <c r="H537" s="414">
        <v>487.2</v>
      </c>
      <c r="I537" s="413" t="s">
        <v>481</v>
      </c>
      <c r="J537" s="411">
        <v>1</v>
      </c>
      <c r="K537" s="411" t="s">
        <v>3302</v>
      </c>
      <c r="L537" s="482">
        <v>348</v>
      </c>
      <c r="M537" s="461" t="s">
        <v>2412</v>
      </c>
      <c r="N537" s="483">
        <v>67.071199999999919</v>
      </c>
      <c r="O537" s="483">
        <v>134.15400000000011</v>
      </c>
      <c r="P537" s="913" t="s">
        <v>2413</v>
      </c>
      <c r="Q537" s="484">
        <v>336.67839999999967</v>
      </c>
      <c r="R537" s="497"/>
    </row>
    <row r="538" spans="1:18" ht="15" customHeight="1">
      <c r="A538" s="411">
        <v>524</v>
      </c>
      <c r="B538" s="413" t="s">
        <v>10958</v>
      </c>
      <c r="C538" s="411">
        <f t="shared" si="10"/>
        <v>524</v>
      </c>
      <c r="D538" s="443" t="s">
        <v>2199</v>
      </c>
      <c r="E538" s="412" t="s">
        <v>10971</v>
      </c>
      <c r="F538" s="912">
        <v>3.9858999999999999E-2</v>
      </c>
      <c r="G538" s="480">
        <v>2538.48</v>
      </c>
      <c r="H538" s="414">
        <v>487.2</v>
      </c>
      <c r="I538" s="413" t="s">
        <v>481</v>
      </c>
      <c r="J538" s="411">
        <v>1</v>
      </c>
      <c r="K538" s="411" t="s">
        <v>10984</v>
      </c>
      <c r="L538" s="482">
        <v>348</v>
      </c>
      <c r="M538" s="461" t="s">
        <v>2412</v>
      </c>
      <c r="N538" s="483">
        <v>67.071199999999919</v>
      </c>
      <c r="O538" s="483">
        <v>134.15399999999985</v>
      </c>
      <c r="P538" s="913" t="s">
        <v>2413</v>
      </c>
      <c r="Q538" s="484">
        <v>336.67840000000001</v>
      </c>
      <c r="R538" s="497"/>
    </row>
    <row r="539" spans="1:18" ht="15" customHeight="1">
      <c r="A539" s="233">
        <v>525</v>
      </c>
      <c r="B539" s="413" t="s">
        <v>2675</v>
      </c>
      <c r="C539" s="411">
        <f t="shared" si="10"/>
        <v>525</v>
      </c>
      <c r="D539" s="443" t="s">
        <v>2199</v>
      </c>
      <c r="E539" s="412" t="s">
        <v>2199</v>
      </c>
      <c r="F539" s="912">
        <v>3.0097700000000002E-2</v>
      </c>
      <c r="G539" s="480">
        <v>2538.48</v>
      </c>
      <c r="H539" s="414">
        <v>487.2</v>
      </c>
      <c r="I539" s="413" t="s">
        <v>481</v>
      </c>
      <c r="J539" s="411">
        <v>1</v>
      </c>
      <c r="K539" s="411" t="s">
        <v>721</v>
      </c>
      <c r="L539" s="482">
        <v>348</v>
      </c>
      <c r="M539" s="461" t="s">
        <v>2412</v>
      </c>
      <c r="N539" s="483">
        <v>67.071199999999919</v>
      </c>
      <c r="O539" s="483">
        <v>134.15400000000011</v>
      </c>
      <c r="P539" s="913" t="s">
        <v>2413</v>
      </c>
      <c r="Q539" s="484">
        <v>336.67839999999967</v>
      </c>
      <c r="R539" s="497"/>
    </row>
    <row r="540" spans="1:18" ht="15" customHeight="1">
      <c r="A540" s="411">
        <v>526</v>
      </c>
      <c r="B540" s="413" t="s">
        <v>5643</v>
      </c>
      <c r="C540" s="411">
        <f t="shared" si="10"/>
        <v>526</v>
      </c>
      <c r="D540" s="443" t="s">
        <v>2199</v>
      </c>
      <c r="E540" s="412" t="s">
        <v>5692</v>
      </c>
      <c r="F540" s="912">
        <v>3.0097700000000002E-2</v>
      </c>
      <c r="G540" s="480">
        <v>2538.48</v>
      </c>
      <c r="H540" s="414">
        <v>487.2</v>
      </c>
      <c r="I540" s="413" t="s">
        <v>481</v>
      </c>
      <c r="J540" s="411">
        <v>1</v>
      </c>
      <c r="K540" s="411" t="s">
        <v>3188</v>
      </c>
      <c r="L540" s="482">
        <v>348</v>
      </c>
      <c r="M540" s="461" t="s">
        <v>2412</v>
      </c>
      <c r="N540" s="483">
        <v>67.071199999999919</v>
      </c>
      <c r="O540" s="483">
        <v>134.15400000000011</v>
      </c>
      <c r="P540" s="913" t="s">
        <v>2413</v>
      </c>
      <c r="Q540" s="484">
        <v>336.67839999999967</v>
      </c>
      <c r="R540" s="497"/>
    </row>
    <row r="541" spans="1:18" ht="15" customHeight="1">
      <c r="A541" s="411">
        <v>527</v>
      </c>
      <c r="B541" s="413" t="s">
        <v>5644</v>
      </c>
      <c r="C541" s="411">
        <f t="shared" si="10"/>
        <v>527</v>
      </c>
      <c r="D541" s="443" t="s">
        <v>2199</v>
      </c>
      <c r="E541" s="412" t="s">
        <v>5693</v>
      </c>
      <c r="F541" s="912">
        <v>4.3381000000000003E-2</v>
      </c>
      <c r="G541" s="480">
        <v>2538.48</v>
      </c>
      <c r="H541" s="414">
        <v>487.2</v>
      </c>
      <c r="I541" s="413" t="s">
        <v>481</v>
      </c>
      <c r="J541" s="411">
        <v>1</v>
      </c>
      <c r="K541" s="411" t="s">
        <v>5721</v>
      </c>
      <c r="L541" s="482">
        <v>348</v>
      </c>
      <c r="M541" s="461" t="s">
        <v>2412</v>
      </c>
      <c r="N541" s="483">
        <v>67.071199999999919</v>
      </c>
      <c r="O541" s="483">
        <v>134.15399999999985</v>
      </c>
      <c r="P541" s="913" t="s">
        <v>2413</v>
      </c>
      <c r="Q541" s="484">
        <v>336.67840000000001</v>
      </c>
      <c r="R541" s="497"/>
    </row>
    <row r="542" spans="1:18" ht="15" customHeight="1">
      <c r="A542" s="233">
        <v>528</v>
      </c>
      <c r="B542" s="413" t="s">
        <v>5645</v>
      </c>
      <c r="C542" s="411">
        <f t="shared" si="10"/>
        <v>528</v>
      </c>
      <c r="D542" s="443" t="s">
        <v>2199</v>
      </c>
      <c r="E542" s="412" t="s">
        <v>5694</v>
      </c>
      <c r="F542" s="912">
        <v>3.0097700000000002E-2</v>
      </c>
      <c r="G542" s="480">
        <v>2538.48</v>
      </c>
      <c r="H542" s="414">
        <v>487.2</v>
      </c>
      <c r="I542" s="413" t="s">
        <v>481</v>
      </c>
      <c r="J542" s="411">
        <v>1</v>
      </c>
      <c r="K542" s="411" t="s">
        <v>3301</v>
      </c>
      <c r="L542" s="482">
        <v>348</v>
      </c>
      <c r="M542" s="461" t="s">
        <v>2412</v>
      </c>
      <c r="N542" s="483">
        <v>67.071199999999919</v>
      </c>
      <c r="O542" s="483">
        <v>134.15400000000011</v>
      </c>
      <c r="P542" s="913" t="s">
        <v>2413</v>
      </c>
      <c r="Q542" s="484">
        <v>336.67839999999967</v>
      </c>
      <c r="R542" s="497"/>
    </row>
    <row r="543" spans="1:18" ht="15" customHeight="1">
      <c r="A543" s="411">
        <v>529</v>
      </c>
      <c r="B543" s="413" t="s">
        <v>4864</v>
      </c>
      <c r="C543" s="411">
        <f t="shared" si="10"/>
        <v>529</v>
      </c>
      <c r="D543" s="443" t="s">
        <v>2199</v>
      </c>
      <c r="E543" s="412" t="s">
        <v>4895</v>
      </c>
      <c r="F543" s="912">
        <v>4.4073000000000001E-2</v>
      </c>
      <c r="G543" s="480">
        <v>2538.4744000000001</v>
      </c>
      <c r="H543" s="414">
        <v>487.2</v>
      </c>
      <c r="I543" s="413" t="s">
        <v>481</v>
      </c>
      <c r="J543" s="411">
        <v>1</v>
      </c>
      <c r="K543" s="411" t="s">
        <v>4923</v>
      </c>
      <c r="L543" s="482">
        <v>348</v>
      </c>
      <c r="M543" s="461" t="s">
        <v>2412</v>
      </c>
      <c r="N543" s="483">
        <v>67.071199999999919</v>
      </c>
      <c r="O543" s="483">
        <v>134.15399999999985</v>
      </c>
      <c r="P543" s="913" t="s">
        <v>2413</v>
      </c>
      <c r="Q543" s="484">
        <v>336.67840000000001</v>
      </c>
      <c r="R543" s="497"/>
    </row>
    <row r="544" spans="1:18" ht="15" customHeight="1">
      <c r="A544" s="411">
        <v>530</v>
      </c>
      <c r="B544" s="413" t="s">
        <v>4865</v>
      </c>
      <c r="C544" s="411">
        <f t="shared" si="10"/>
        <v>530</v>
      </c>
      <c r="D544" s="443" t="s">
        <v>2199</v>
      </c>
      <c r="E544" s="412" t="s">
        <v>4896</v>
      </c>
      <c r="F544" s="912">
        <v>4.4073000000000001E-2</v>
      </c>
      <c r="G544" s="480">
        <v>2538.4744000000001</v>
      </c>
      <c r="H544" s="414">
        <v>487.2</v>
      </c>
      <c r="I544" s="413" t="s">
        <v>481</v>
      </c>
      <c r="J544" s="411">
        <v>1</v>
      </c>
      <c r="K544" s="411" t="s">
        <v>4924</v>
      </c>
      <c r="L544" s="482">
        <v>348</v>
      </c>
      <c r="M544" s="461" t="s">
        <v>2412</v>
      </c>
      <c r="N544" s="483">
        <v>67.071199999999919</v>
      </c>
      <c r="O544" s="483">
        <v>134.15399999999985</v>
      </c>
      <c r="P544" s="913" t="s">
        <v>2413</v>
      </c>
      <c r="Q544" s="484">
        <v>336.67840000000001</v>
      </c>
      <c r="R544" s="497"/>
    </row>
    <row r="545" spans="1:19" ht="15" customHeight="1">
      <c r="A545" s="233">
        <v>531</v>
      </c>
      <c r="B545" s="413" t="s">
        <v>4866</v>
      </c>
      <c r="C545" s="411">
        <f t="shared" si="10"/>
        <v>531</v>
      </c>
      <c r="D545" s="443" t="s">
        <v>2199</v>
      </c>
      <c r="E545" s="412" t="s">
        <v>4897</v>
      </c>
      <c r="F545" s="912">
        <v>4.4073000000000001E-2</v>
      </c>
      <c r="G545" s="480">
        <v>2538.4744000000001</v>
      </c>
      <c r="H545" s="414">
        <v>487.2</v>
      </c>
      <c r="I545" s="413" t="s">
        <v>481</v>
      </c>
      <c r="J545" s="411">
        <v>1</v>
      </c>
      <c r="K545" s="411" t="s">
        <v>4925</v>
      </c>
      <c r="L545" s="482">
        <v>348</v>
      </c>
      <c r="M545" s="461" t="s">
        <v>2412</v>
      </c>
      <c r="N545" s="483">
        <v>67.071199999999919</v>
      </c>
      <c r="O545" s="483">
        <v>134.15399999999985</v>
      </c>
      <c r="P545" s="913" t="s">
        <v>2413</v>
      </c>
      <c r="Q545" s="484">
        <v>336.67840000000001</v>
      </c>
      <c r="R545" s="497"/>
    </row>
    <row r="546" spans="1:19" ht="15" customHeight="1">
      <c r="A546" s="411">
        <v>532</v>
      </c>
      <c r="B546" s="413" t="s">
        <v>5646</v>
      </c>
      <c r="C546" s="411">
        <f t="shared" si="10"/>
        <v>532</v>
      </c>
      <c r="D546" s="443" t="s">
        <v>2199</v>
      </c>
      <c r="E546" s="412" t="s">
        <v>5695</v>
      </c>
      <c r="F546" s="912">
        <v>3.0097700000000002E-2</v>
      </c>
      <c r="G546" s="480">
        <v>2538.48</v>
      </c>
      <c r="H546" s="414">
        <v>487.2</v>
      </c>
      <c r="I546" s="413" t="s">
        <v>481</v>
      </c>
      <c r="J546" s="411">
        <v>1</v>
      </c>
      <c r="K546" s="411" t="s">
        <v>3522</v>
      </c>
      <c r="L546" s="482">
        <v>348</v>
      </c>
      <c r="M546" s="461" t="s">
        <v>2412</v>
      </c>
      <c r="N546" s="483">
        <v>67.071199999999919</v>
      </c>
      <c r="O546" s="483">
        <v>134.15400000000011</v>
      </c>
      <c r="P546" s="913" t="s">
        <v>2413</v>
      </c>
      <c r="Q546" s="484">
        <v>336.67839999999967</v>
      </c>
      <c r="R546" s="497"/>
    </row>
    <row r="547" spans="1:19" s="460" customFormat="1" ht="15" customHeight="1">
      <c r="A547" s="411">
        <v>533</v>
      </c>
      <c r="B547" s="413" t="s">
        <v>5647</v>
      </c>
      <c r="C547" s="411">
        <f t="shared" si="10"/>
        <v>533</v>
      </c>
      <c r="D547" s="443" t="s">
        <v>2199</v>
      </c>
      <c r="E547" s="412" t="s">
        <v>5696</v>
      </c>
      <c r="F547" s="912">
        <v>3.0097700000000002E-2</v>
      </c>
      <c r="G547" s="480">
        <v>2538.48</v>
      </c>
      <c r="H547" s="414">
        <v>487.2</v>
      </c>
      <c r="I547" s="413" t="s">
        <v>481</v>
      </c>
      <c r="J547" s="411">
        <v>1</v>
      </c>
      <c r="K547" s="411" t="s">
        <v>3523</v>
      </c>
      <c r="L547" s="482">
        <v>348</v>
      </c>
      <c r="M547" s="461" t="s">
        <v>2412</v>
      </c>
      <c r="N547" s="483">
        <v>67.071199999999919</v>
      </c>
      <c r="O547" s="483">
        <v>134.15400000000011</v>
      </c>
      <c r="P547" s="913" t="s">
        <v>2413</v>
      </c>
      <c r="Q547" s="484">
        <v>336.67839999999967</v>
      </c>
      <c r="R547" s="497"/>
      <c r="S547" s="415"/>
    </row>
    <row r="548" spans="1:19" ht="15" customHeight="1">
      <c r="A548" s="233">
        <v>534</v>
      </c>
      <c r="B548" s="413" t="s">
        <v>2676</v>
      </c>
      <c r="C548" s="411">
        <f t="shared" si="10"/>
        <v>534</v>
      </c>
      <c r="D548" s="443" t="s">
        <v>2199</v>
      </c>
      <c r="E548" s="412" t="s">
        <v>235</v>
      </c>
      <c r="F548" s="912">
        <v>5.0458100000000006E-2</v>
      </c>
      <c r="G548" s="480">
        <v>3463.0023344000001</v>
      </c>
      <c r="H548" s="414">
        <v>487.2</v>
      </c>
      <c r="I548" s="413" t="s">
        <v>533</v>
      </c>
      <c r="J548" s="411">
        <v>2</v>
      </c>
      <c r="K548" s="411" t="s">
        <v>722</v>
      </c>
      <c r="L548" s="482">
        <v>348</v>
      </c>
      <c r="M548" s="461" t="s">
        <v>2412</v>
      </c>
      <c r="N548" s="483">
        <v>121.62599999999989</v>
      </c>
      <c r="O548" s="483">
        <v>243.24040000000008</v>
      </c>
      <c r="P548" s="913" t="s">
        <v>2413</v>
      </c>
      <c r="Q548" s="484">
        <v>336.67839999999967</v>
      </c>
      <c r="R548" s="497"/>
    </row>
    <row r="549" spans="1:19" ht="15" customHeight="1">
      <c r="A549" s="411">
        <v>535</v>
      </c>
      <c r="B549" s="413" t="s">
        <v>2677</v>
      </c>
      <c r="C549" s="411">
        <f t="shared" si="10"/>
        <v>535</v>
      </c>
      <c r="D549" s="443" t="s">
        <v>2199</v>
      </c>
      <c r="E549" s="412" t="s">
        <v>236</v>
      </c>
      <c r="F549" s="912">
        <v>5.0578399999999996E-2</v>
      </c>
      <c r="G549" s="480">
        <v>3463.0023344000001</v>
      </c>
      <c r="H549" s="414">
        <v>487.2</v>
      </c>
      <c r="I549" s="413" t="s">
        <v>533</v>
      </c>
      <c r="J549" s="411">
        <v>2</v>
      </c>
      <c r="K549" s="411" t="s">
        <v>723</v>
      </c>
      <c r="L549" s="482">
        <v>348</v>
      </c>
      <c r="M549" s="461" t="s">
        <v>2412</v>
      </c>
      <c r="N549" s="483">
        <v>121.62599999999989</v>
      </c>
      <c r="O549" s="483">
        <v>243.24040000000008</v>
      </c>
      <c r="P549" s="913" t="s">
        <v>2413</v>
      </c>
      <c r="Q549" s="484">
        <v>336.67839999999967</v>
      </c>
      <c r="R549" s="497"/>
    </row>
    <row r="550" spans="1:19" ht="15" customHeight="1">
      <c r="A550" s="411">
        <v>536</v>
      </c>
      <c r="B550" s="413" t="s">
        <v>2678</v>
      </c>
      <c r="C550" s="411">
        <f t="shared" si="10"/>
        <v>536</v>
      </c>
      <c r="D550" s="443" t="s">
        <v>2199</v>
      </c>
      <c r="E550" s="412" t="s">
        <v>237</v>
      </c>
      <c r="F550" s="912">
        <v>3.0097700000000002E-2</v>
      </c>
      <c r="G550" s="480">
        <v>2538.48</v>
      </c>
      <c r="H550" s="414">
        <v>487.2</v>
      </c>
      <c r="I550" s="413" t="s">
        <v>481</v>
      </c>
      <c r="J550" s="411">
        <v>1</v>
      </c>
      <c r="K550" s="411" t="s">
        <v>724</v>
      </c>
      <c r="L550" s="482">
        <v>348</v>
      </c>
      <c r="M550" s="461" t="s">
        <v>2412</v>
      </c>
      <c r="N550" s="483">
        <v>67.071199999999919</v>
      </c>
      <c r="O550" s="483">
        <v>134.15400000000011</v>
      </c>
      <c r="P550" s="913" t="s">
        <v>2413</v>
      </c>
      <c r="Q550" s="484">
        <v>336.67839999999967</v>
      </c>
      <c r="R550" s="497"/>
    </row>
    <row r="551" spans="1:19" ht="15" customHeight="1">
      <c r="A551" s="233">
        <v>537</v>
      </c>
      <c r="B551" s="413" t="s">
        <v>3209</v>
      </c>
      <c r="C551" s="411">
        <f t="shared" si="10"/>
        <v>537</v>
      </c>
      <c r="D551" s="443" t="s">
        <v>2199</v>
      </c>
      <c r="E551" s="412" t="s">
        <v>3217</v>
      </c>
      <c r="F551" s="912">
        <v>3.6645999999999998E-2</v>
      </c>
      <c r="G551" s="480">
        <v>2538.4744000000001</v>
      </c>
      <c r="H551" s="414">
        <v>487.2</v>
      </c>
      <c r="I551" s="413" t="s">
        <v>481</v>
      </c>
      <c r="J551" s="411">
        <v>1</v>
      </c>
      <c r="K551" s="411" t="s">
        <v>5149</v>
      </c>
      <c r="L551" s="482">
        <v>348</v>
      </c>
      <c r="M551" s="461" t="s">
        <v>2412</v>
      </c>
      <c r="N551" s="483">
        <v>67.071199999999919</v>
      </c>
      <c r="O551" s="483">
        <v>134.15400000000011</v>
      </c>
      <c r="P551" s="913" t="s">
        <v>2413</v>
      </c>
      <c r="Q551" s="484">
        <v>336.67839999999967</v>
      </c>
      <c r="R551" s="497"/>
    </row>
    <row r="552" spans="1:19" ht="15" customHeight="1">
      <c r="A552" s="411">
        <v>538</v>
      </c>
      <c r="B552" s="413" t="s">
        <v>3210</v>
      </c>
      <c r="C552" s="411">
        <f t="shared" si="10"/>
        <v>538</v>
      </c>
      <c r="D552" s="443" t="s">
        <v>2199</v>
      </c>
      <c r="E552" s="412" t="s">
        <v>3218</v>
      </c>
      <c r="F552" s="912">
        <v>3.6645999999999998E-2</v>
      </c>
      <c r="G552" s="480">
        <v>2538.4744000000001</v>
      </c>
      <c r="H552" s="414">
        <v>487.2</v>
      </c>
      <c r="I552" s="413" t="s">
        <v>481</v>
      </c>
      <c r="J552" s="411">
        <v>1</v>
      </c>
      <c r="K552" s="411" t="s">
        <v>3228</v>
      </c>
      <c r="L552" s="482">
        <v>348</v>
      </c>
      <c r="M552" s="461" t="s">
        <v>2412</v>
      </c>
      <c r="N552" s="483">
        <v>67.071199999999919</v>
      </c>
      <c r="O552" s="483">
        <v>134.15400000000011</v>
      </c>
      <c r="P552" s="913" t="s">
        <v>2413</v>
      </c>
      <c r="Q552" s="484">
        <v>336.67839999999967</v>
      </c>
      <c r="R552" s="497"/>
    </row>
    <row r="553" spans="1:19" ht="15" customHeight="1">
      <c r="A553" s="411">
        <v>539</v>
      </c>
      <c r="B553" s="413" t="s">
        <v>2679</v>
      </c>
      <c r="C553" s="411">
        <f t="shared" si="10"/>
        <v>539</v>
      </c>
      <c r="D553" s="443" t="s">
        <v>2199</v>
      </c>
      <c r="E553" s="412" t="s">
        <v>238</v>
      </c>
      <c r="F553" s="912">
        <v>5.0458100000000006E-2</v>
      </c>
      <c r="G553" s="480">
        <v>3463.0023344000001</v>
      </c>
      <c r="H553" s="414">
        <v>487.2</v>
      </c>
      <c r="I553" s="413" t="s">
        <v>533</v>
      </c>
      <c r="J553" s="411">
        <v>2</v>
      </c>
      <c r="K553" s="411" t="s">
        <v>725</v>
      </c>
      <c r="L553" s="482">
        <v>348</v>
      </c>
      <c r="M553" s="461" t="s">
        <v>2412</v>
      </c>
      <c r="N553" s="483">
        <v>121.62599999999989</v>
      </c>
      <c r="O553" s="483">
        <v>243.24040000000008</v>
      </c>
      <c r="P553" s="913" t="s">
        <v>2413</v>
      </c>
      <c r="Q553" s="484">
        <v>336.67839999999967</v>
      </c>
      <c r="R553" s="497"/>
    </row>
    <row r="554" spans="1:19" ht="15" customHeight="1">
      <c r="A554" s="233">
        <v>540</v>
      </c>
      <c r="B554" s="413" t="s">
        <v>2680</v>
      </c>
      <c r="C554" s="411">
        <f t="shared" si="10"/>
        <v>540</v>
      </c>
      <c r="D554" s="443" t="s">
        <v>2199</v>
      </c>
      <c r="E554" s="412" t="s">
        <v>239</v>
      </c>
      <c r="F554" s="912">
        <v>3.0097700000000002E-2</v>
      </c>
      <c r="G554" s="480">
        <v>2538.48</v>
      </c>
      <c r="H554" s="414">
        <v>487.2</v>
      </c>
      <c r="I554" s="413" t="s">
        <v>481</v>
      </c>
      <c r="J554" s="411">
        <v>1</v>
      </c>
      <c r="K554" s="411" t="s">
        <v>726</v>
      </c>
      <c r="L554" s="482">
        <v>348</v>
      </c>
      <c r="M554" s="461" t="s">
        <v>2412</v>
      </c>
      <c r="N554" s="483">
        <v>67.071199999999919</v>
      </c>
      <c r="O554" s="483">
        <v>134.15400000000011</v>
      </c>
      <c r="P554" s="913" t="s">
        <v>2413</v>
      </c>
      <c r="Q554" s="484">
        <v>336.67839999999967</v>
      </c>
      <c r="R554" s="497"/>
    </row>
    <row r="555" spans="1:19" ht="15" customHeight="1">
      <c r="A555" s="411">
        <v>541</v>
      </c>
      <c r="B555" s="413" t="s">
        <v>3206</v>
      </c>
      <c r="C555" s="411">
        <f t="shared" si="10"/>
        <v>541</v>
      </c>
      <c r="D555" s="443" t="s">
        <v>2200</v>
      </c>
      <c r="E555" s="412" t="s">
        <v>3197</v>
      </c>
      <c r="F555" s="912">
        <v>3.7872000000000003E-2</v>
      </c>
      <c r="G555" s="480">
        <v>2538.4744000000001</v>
      </c>
      <c r="H555" s="414">
        <v>487.2</v>
      </c>
      <c r="I555" s="413" t="s">
        <v>481</v>
      </c>
      <c r="J555" s="411">
        <v>1</v>
      </c>
      <c r="K555" s="411" t="s">
        <v>3198</v>
      </c>
      <c r="L555" s="482">
        <v>348</v>
      </c>
      <c r="M555" s="461" t="s">
        <v>2412</v>
      </c>
      <c r="N555" s="483">
        <v>67.071199999999919</v>
      </c>
      <c r="O555" s="483">
        <v>134.15400000000011</v>
      </c>
      <c r="P555" s="913" t="s">
        <v>2413</v>
      </c>
      <c r="Q555" s="484">
        <v>336.67839999999967</v>
      </c>
      <c r="R555" s="497"/>
    </row>
    <row r="556" spans="1:19" ht="15" customHeight="1">
      <c r="A556" s="411">
        <v>542</v>
      </c>
      <c r="B556" s="413" t="s">
        <v>2681</v>
      </c>
      <c r="C556" s="411">
        <f t="shared" si="10"/>
        <v>542</v>
      </c>
      <c r="D556" s="443" t="s">
        <v>2200</v>
      </c>
      <c r="E556" s="412" t="s">
        <v>240</v>
      </c>
      <c r="F556" s="912">
        <v>4.1959600000000007E-2</v>
      </c>
      <c r="G556" s="480">
        <v>2538.48</v>
      </c>
      <c r="H556" s="414">
        <v>487.2</v>
      </c>
      <c r="I556" s="413" t="s">
        <v>481</v>
      </c>
      <c r="J556" s="411">
        <v>1</v>
      </c>
      <c r="K556" s="411" t="s">
        <v>727</v>
      </c>
      <c r="L556" s="482">
        <v>348</v>
      </c>
      <c r="M556" s="461" t="s">
        <v>2412</v>
      </c>
      <c r="N556" s="483">
        <v>67.071199999999919</v>
      </c>
      <c r="O556" s="483">
        <v>134.15400000000011</v>
      </c>
      <c r="P556" s="913" t="s">
        <v>2413</v>
      </c>
      <c r="Q556" s="484">
        <v>336.67839999999967</v>
      </c>
      <c r="R556" s="497"/>
    </row>
    <row r="557" spans="1:19" ht="15" customHeight="1">
      <c r="A557" s="233">
        <v>543</v>
      </c>
      <c r="B557" s="413" t="s">
        <v>2682</v>
      </c>
      <c r="C557" s="411">
        <f t="shared" si="10"/>
        <v>543</v>
      </c>
      <c r="D557" s="443" t="s">
        <v>2200</v>
      </c>
      <c r="E557" s="412" t="s">
        <v>241</v>
      </c>
      <c r="F557" s="912">
        <v>4.0206799999999994E-2</v>
      </c>
      <c r="G557" s="480">
        <v>2538.48</v>
      </c>
      <c r="H557" s="414">
        <v>487.2</v>
      </c>
      <c r="I557" s="413" t="s">
        <v>481</v>
      </c>
      <c r="J557" s="411">
        <v>1</v>
      </c>
      <c r="K557" s="411" t="s">
        <v>728</v>
      </c>
      <c r="L557" s="482">
        <v>348</v>
      </c>
      <c r="M557" s="461" t="s">
        <v>2412</v>
      </c>
      <c r="N557" s="483">
        <v>67.071199999999919</v>
      </c>
      <c r="O557" s="483">
        <v>134.15400000000011</v>
      </c>
      <c r="P557" s="913" t="s">
        <v>2413</v>
      </c>
      <c r="Q557" s="484">
        <v>336.67839999999967</v>
      </c>
      <c r="R557" s="497"/>
    </row>
    <row r="558" spans="1:19" ht="15" customHeight="1">
      <c r="A558" s="411">
        <v>544</v>
      </c>
      <c r="B558" s="413" t="s">
        <v>2683</v>
      </c>
      <c r="C558" s="411">
        <f t="shared" si="10"/>
        <v>544</v>
      </c>
      <c r="D558" s="443" t="s">
        <v>2200</v>
      </c>
      <c r="E558" s="412" t="s">
        <v>242</v>
      </c>
      <c r="F558" s="912">
        <v>4.1959600000000007E-2</v>
      </c>
      <c r="G558" s="480">
        <v>2538.48</v>
      </c>
      <c r="H558" s="414">
        <v>487.2</v>
      </c>
      <c r="I558" s="413" t="s">
        <v>481</v>
      </c>
      <c r="J558" s="411">
        <v>1</v>
      </c>
      <c r="K558" s="411" t="s">
        <v>729</v>
      </c>
      <c r="L558" s="482">
        <v>348</v>
      </c>
      <c r="M558" s="461" t="s">
        <v>2412</v>
      </c>
      <c r="N558" s="483">
        <v>67.071199999999919</v>
      </c>
      <c r="O558" s="483">
        <v>134.15400000000011</v>
      </c>
      <c r="P558" s="913" t="s">
        <v>2413</v>
      </c>
      <c r="Q558" s="484">
        <v>336.67839999999967</v>
      </c>
      <c r="R558" s="497"/>
    </row>
    <row r="559" spans="1:19" ht="15" customHeight="1">
      <c r="A559" s="411">
        <v>545</v>
      </c>
      <c r="B559" s="413" t="s">
        <v>2684</v>
      </c>
      <c r="C559" s="411">
        <f t="shared" si="10"/>
        <v>545</v>
      </c>
      <c r="D559" s="443" t="s">
        <v>2200</v>
      </c>
      <c r="E559" s="412" t="s">
        <v>243</v>
      </c>
      <c r="F559" s="912">
        <v>4.0521200000000007E-2</v>
      </c>
      <c r="G559" s="480">
        <v>2538.48</v>
      </c>
      <c r="H559" s="414">
        <v>487.2</v>
      </c>
      <c r="I559" s="413" t="s">
        <v>481</v>
      </c>
      <c r="J559" s="411">
        <v>1</v>
      </c>
      <c r="K559" s="411" t="s">
        <v>730</v>
      </c>
      <c r="L559" s="482">
        <v>348</v>
      </c>
      <c r="M559" s="461" t="s">
        <v>2412</v>
      </c>
      <c r="N559" s="483">
        <v>67.071199999999919</v>
      </c>
      <c r="O559" s="483">
        <v>134.15400000000011</v>
      </c>
      <c r="P559" s="913" t="s">
        <v>2413</v>
      </c>
      <c r="Q559" s="484">
        <v>336.67839999999967</v>
      </c>
      <c r="R559" s="497"/>
    </row>
    <row r="560" spans="1:19" ht="15" customHeight="1">
      <c r="A560" s="233">
        <v>546</v>
      </c>
      <c r="B560" s="413" t="s">
        <v>2685</v>
      </c>
      <c r="C560" s="411">
        <f t="shared" si="10"/>
        <v>546</v>
      </c>
      <c r="D560" s="443" t="s">
        <v>2200</v>
      </c>
      <c r="E560" s="412" t="s">
        <v>244</v>
      </c>
      <c r="F560" s="912">
        <v>3.8303999999999998E-2</v>
      </c>
      <c r="G560" s="480">
        <v>2538.4744000000001</v>
      </c>
      <c r="H560" s="414">
        <v>487.2</v>
      </c>
      <c r="I560" s="413" t="s">
        <v>481</v>
      </c>
      <c r="J560" s="411">
        <v>1</v>
      </c>
      <c r="K560" s="411" t="s">
        <v>731</v>
      </c>
      <c r="L560" s="482">
        <v>348</v>
      </c>
      <c r="M560" s="461" t="s">
        <v>2412</v>
      </c>
      <c r="N560" s="483">
        <v>67.071199999999919</v>
      </c>
      <c r="O560" s="483">
        <v>134.15400000000011</v>
      </c>
      <c r="P560" s="913" t="s">
        <v>2413</v>
      </c>
      <c r="Q560" s="484">
        <v>336.67839999999967</v>
      </c>
      <c r="R560" s="497"/>
    </row>
    <row r="561" spans="1:18" ht="15" customHeight="1">
      <c r="A561" s="411">
        <v>547</v>
      </c>
      <c r="B561" s="413" t="s">
        <v>4262</v>
      </c>
      <c r="C561" s="411">
        <f t="shared" si="10"/>
        <v>547</v>
      </c>
      <c r="D561" s="443" t="s">
        <v>2200</v>
      </c>
      <c r="E561" s="412" t="s">
        <v>4272</v>
      </c>
      <c r="F561" s="912">
        <v>4.2532E-2</v>
      </c>
      <c r="G561" s="480">
        <v>2538.4744000000001</v>
      </c>
      <c r="H561" s="414">
        <v>487.2</v>
      </c>
      <c r="I561" s="413" t="s">
        <v>481</v>
      </c>
      <c r="J561" s="411">
        <v>1</v>
      </c>
      <c r="K561" s="411" t="s">
        <v>4285</v>
      </c>
      <c r="L561" s="482">
        <v>348</v>
      </c>
      <c r="M561" s="461" t="s">
        <v>2412</v>
      </c>
      <c r="N561" s="483">
        <v>67.071199999999919</v>
      </c>
      <c r="O561" s="483">
        <v>134.15400000000011</v>
      </c>
      <c r="P561" s="913" t="s">
        <v>2413</v>
      </c>
      <c r="Q561" s="484">
        <v>336.67839999999967</v>
      </c>
      <c r="R561" s="497"/>
    </row>
    <row r="562" spans="1:18" ht="15" customHeight="1">
      <c r="A562" s="411">
        <v>548</v>
      </c>
      <c r="B562" s="413" t="s">
        <v>2686</v>
      </c>
      <c r="C562" s="411">
        <f t="shared" si="10"/>
        <v>548</v>
      </c>
      <c r="D562" s="443" t="s">
        <v>2200</v>
      </c>
      <c r="E562" s="412" t="s">
        <v>245</v>
      </c>
      <c r="F562" s="912">
        <v>4.2281399999999997E-2</v>
      </c>
      <c r="G562" s="480">
        <v>2538.48</v>
      </c>
      <c r="H562" s="414">
        <v>487.2</v>
      </c>
      <c r="I562" s="413" t="s">
        <v>481</v>
      </c>
      <c r="J562" s="411">
        <v>1</v>
      </c>
      <c r="K562" s="411" t="s">
        <v>732</v>
      </c>
      <c r="L562" s="482">
        <v>348</v>
      </c>
      <c r="M562" s="461" t="s">
        <v>2412</v>
      </c>
      <c r="N562" s="483">
        <v>67.071199999999919</v>
      </c>
      <c r="O562" s="483">
        <v>134.15400000000011</v>
      </c>
      <c r="P562" s="913" t="s">
        <v>2413</v>
      </c>
      <c r="Q562" s="484">
        <v>336.67839999999967</v>
      </c>
      <c r="R562" s="497"/>
    </row>
    <row r="563" spans="1:18" ht="15" customHeight="1">
      <c r="A563" s="233">
        <v>549</v>
      </c>
      <c r="B563" s="413" t="s">
        <v>2687</v>
      </c>
      <c r="C563" s="411">
        <f t="shared" si="10"/>
        <v>549</v>
      </c>
      <c r="D563" s="443" t="s">
        <v>2200</v>
      </c>
      <c r="E563" s="412" t="s">
        <v>246</v>
      </c>
      <c r="F563" s="912">
        <v>4.2123500000000001E-2</v>
      </c>
      <c r="G563" s="480">
        <v>2538.48</v>
      </c>
      <c r="H563" s="414">
        <v>487.2</v>
      </c>
      <c r="I563" s="413" t="s">
        <v>481</v>
      </c>
      <c r="J563" s="411">
        <v>1</v>
      </c>
      <c r="K563" s="411" t="s">
        <v>733</v>
      </c>
      <c r="L563" s="482">
        <v>348</v>
      </c>
      <c r="M563" s="461" t="s">
        <v>2412</v>
      </c>
      <c r="N563" s="483">
        <v>67.071199999999919</v>
      </c>
      <c r="O563" s="483">
        <v>134.15400000000011</v>
      </c>
      <c r="P563" s="913" t="s">
        <v>2413</v>
      </c>
      <c r="Q563" s="484">
        <v>336.67839999999967</v>
      </c>
      <c r="R563" s="497"/>
    </row>
    <row r="564" spans="1:18" ht="15" customHeight="1">
      <c r="A564" s="411">
        <v>550</v>
      </c>
      <c r="B564" s="413" t="s">
        <v>2688</v>
      </c>
      <c r="C564" s="411">
        <f t="shared" si="10"/>
        <v>550</v>
      </c>
      <c r="D564" s="443" t="s">
        <v>2200</v>
      </c>
      <c r="E564" s="412" t="s">
        <v>247</v>
      </c>
      <c r="F564" s="912">
        <v>5.1864600000000004E-2</v>
      </c>
      <c r="G564" s="480">
        <v>3463.0023344000001</v>
      </c>
      <c r="H564" s="414">
        <v>487.2</v>
      </c>
      <c r="I564" s="413" t="s">
        <v>533</v>
      </c>
      <c r="J564" s="411">
        <v>2</v>
      </c>
      <c r="K564" s="411" t="s">
        <v>734</v>
      </c>
      <c r="L564" s="482">
        <v>348</v>
      </c>
      <c r="M564" s="461" t="s">
        <v>2412</v>
      </c>
      <c r="N564" s="483">
        <v>121.62599999999989</v>
      </c>
      <c r="O564" s="483">
        <v>243.24040000000008</v>
      </c>
      <c r="P564" s="913" t="s">
        <v>2413</v>
      </c>
      <c r="Q564" s="484">
        <v>336.67839999999967</v>
      </c>
      <c r="R564" s="497"/>
    </row>
    <row r="565" spans="1:18" ht="15" customHeight="1">
      <c r="A565" s="411">
        <v>551</v>
      </c>
      <c r="B565" s="413" t="s">
        <v>3436</v>
      </c>
      <c r="C565" s="411">
        <f t="shared" si="10"/>
        <v>551</v>
      </c>
      <c r="D565" s="443" t="s">
        <v>2200</v>
      </c>
      <c r="E565" s="412" t="s">
        <v>3606</v>
      </c>
      <c r="F565" s="912">
        <v>4.1959600000000007E-2</v>
      </c>
      <c r="G565" s="480">
        <v>2538.48</v>
      </c>
      <c r="H565" s="414">
        <v>487.2</v>
      </c>
      <c r="I565" s="413" t="s">
        <v>481</v>
      </c>
      <c r="J565" s="411">
        <v>1</v>
      </c>
      <c r="K565" s="411" t="s">
        <v>3524</v>
      </c>
      <c r="L565" s="482">
        <v>348</v>
      </c>
      <c r="M565" s="461" t="s">
        <v>2412</v>
      </c>
      <c r="N565" s="483">
        <v>67.071199999999919</v>
      </c>
      <c r="O565" s="483">
        <v>134.15400000000011</v>
      </c>
      <c r="P565" s="913" t="s">
        <v>2413</v>
      </c>
      <c r="Q565" s="484">
        <v>336.67839999999967</v>
      </c>
      <c r="R565" s="497"/>
    </row>
    <row r="566" spans="1:18" ht="15" customHeight="1">
      <c r="A566" s="233">
        <v>552</v>
      </c>
      <c r="B566" s="413" t="s">
        <v>3259</v>
      </c>
      <c r="C566" s="411">
        <f t="shared" si="10"/>
        <v>552</v>
      </c>
      <c r="D566" s="443" t="s">
        <v>2201</v>
      </c>
      <c r="E566" s="412" t="s">
        <v>3283</v>
      </c>
      <c r="F566" s="912">
        <v>3.4484099999999997E-2</v>
      </c>
      <c r="G566" s="480">
        <v>2538.48</v>
      </c>
      <c r="H566" s="414">
        <v>487.2</v>
      </c>
      <c r="I566" s="413" t="s">
        <v>481</v>
      </c>
      <c r="J566" s="411">
        <v>1</v>
      </c>
      <c r="K566" s="411" t="s">
        <v>3303</v>
      </c>
      <c r="L566" s="482">
        <v>348</v>
      </c>
      <c r="M566" s="461" t="s">
        <v>2412</v>
      </c>
      <c r="N566" s="483">
        <v>67.071199999999919</v>
      </c>
      <c r="O566" s="483">
        <v>134.15400000000011</v>
      </c>
      <c r="P566" s="913" t="s">
        <v>2413</v>
      </c>
      <c r="Q566" s="484">
        <v>336.67839999999967</v>
      </c>
      <c r="R566" s="497"/>
    </row>
    <row r="567" spans="1:18" ht="15" customHeight="1">
      <c r="A567" s="411">
        <v>553</v>
      </c>
      <c r="B567" s="413" t="s">
        <v>2689</v>
      </c>
      <c r="C567" s="411">
        <f t="shared" si="10"/>
        <v>553</v>
      </c>
      <c r="D567" s="443" t="s">
        <v>2201</v>
      </c>
      <c r="E567" s="412" t="s">
        <v>248</v>
      </c>
      <c r="F567" s="912">
        <v>3.4484099999999997E-2</v>
      </c>
      <c r="G567" s="480">
        <v>2538.48</v>
      </c>
      <c r="H567" s="414">
        <v>487.2</v>
      </c>
      <c r="I567" s="413" t="s">
        <v>481</v>
      </c>
      <c r="J567" s="411">
        <v>1</v>
      </c>
      <c r="K567" s="411" t="s">
        <v>735</v>
      </c>
      <c r="L567" s="482">
        <v>348</v>
      </c>
      <c r="M567" s="461" t="s">
        <v>2412</v>
      </c>
      <c r="N567" s="483">
        <v>67.071199999999919</v>
      </c>
      <c r="O567" s="483">
        <v>134.15400000000011</v>
      </c>
      <c r="P567" s="913" t="s">
        <v>2413</v>
      </c>
      <c r="Q567" s="484">
        <v>336.67839999999967</v>
      </c>
      <c r="R567" s="497"/>
    </row>
    <row r="568" spans="1:18" ht="15" customHeight="1">
      <c r="A568" s="411">
        <v>554</v>
      </c>
      <c r="B568" s="413" t="s">
        <v>2690</v>
      </c>
      <c r="C568" s="411">
        <f t="shared" si="10"/>
        <v>554</v>
      </c>
      <c r="D568" s="443" t="s">
        <v>2201</v>
      </c>
      <c r="E568" s="412" t="s">
        <v>249</v>
      </c>
      <c r="F568" s="912">
        <v>3.5804000000000002E-2</v>
      </c>
      <c r="G568" s="480">
        <v>2538.48</v>
      </c>
      <c r="H568" s="414">
        <v>487.2</v>
      </c>
      <c r="I568" s="413" t="s">
        <v>481</v>
      </c>
      <c r="J568" s="411">
        <v>1</v>
      </c>
      <c r="K568" s="411" t="s">
        <v>736</v>
      </c>
      <c r="L568" s="482">
        <v>348</v>
      </c>
      <c r="M568" s="461" t="s">
        <v>2412</v>
      </c>
      <c r="N568" s="483">
        <v>67.071199999999919</v>
      </c>
      <c r="O568" s="483">
        <v>134.15400000000011</v>
      </c>
      <c r="P568" s="913" t="s">
        <v>2413</v>
      </c>
      <c r="Q568" s="484">
        <v>336.67839999999967</v>
      </c>
      <c r="R568" s="497"/>
    </row>
    <row r="569" spans="1:18" ht="15" customHeight="1">
      <c r="A569" s="233">
        <v>555</v>
      </c>
      <c r="B569" s="413" t="s">
        <v>2691</v>
      </c>
      <c r="C569" s="411">
        <f t="shared" si="10"/>
        <v>555</v>
      </c>
      <c r="D569" s="443" t="s">
        <v>2201</v>
      </c>
      <c r="E569" s="412" t="s">
        <v>250</v>
      </c>
      <c r="F569" s="912">
        <v>3.58541E-2</v>
      </c>
      <c r="G569" s="480">
        <v>2538.48</v>
      </c>
      <c r="H569" s="414">
        <v>487.2</v>
      </c>
      <c r="I569" s="413" t="s">
        <v>481</v>
      </c>
      <c r="J569" s="411">
        <v>1</v>
      </c>
      <c r="K569" s="411" t="s">
        <v>737</v>
      </c>
      <c r="L569" s="482">
        <v>348</v>
      </c>
      <c r="M569" s="461" t="s">
        <v>2412</v>
      </c>
      <c r="N569" s="483">
        <v>67.071199999999919</v>
      </c>
      <c r="O569" s="483">
        <v>134.15400000000011</v>
      </c>
      <c r="P569" s="913" t="s">
        <v>2413</v>
      </c>
      <c r="Q569" s="484">
        <v>336.67839999999967</v>
      </c>
      <c r="R569" s="497"/>
    </row>
    <row r="570" spans="1:18" ht="15" customHeight="1">
      <c r="A570" s="411">
        <v>556</v>
      </c>
      <c r="B570" s="413" t="s">
        <v>11040</v>
      </c>
      <c r="C570" s="411">
        <f t="shared" si="10"/>
        <v>556</v>
      </c>
      <c r="D570" s="443" t="s">
        <v>2201</v>
      </c>
      <c r="E570" s="412" t="s">
        <v>251</v>
      </c>
      <c r="F570" s="912">
        <v>3.8453000000000001E-2</v>
      </c>
      <c r="G570" s="480">
        <v>2538.4744000000001</v>
      </c>
      <c r="H570" s="414">
        <v>487.2</v>
      </c>
      <c r="I570" s="413" t="s">
        <v>481</v>
      </c>
      <c r="J570" s="411">
        <v>1</v>
      </c>
      <c r="K570" s="411" t="s">
        <v>11066</v>
      </c>
      <c r="L570" s="482">
        <v>348</v>
      </c>
      <c r="M570" s="461" t="s">
        <v>2412</v>
      </c>
      <c r="N570" s="483">
        <v>67.071199999999919</v>
      </c>
      <c r="O570" s="483">
        <v>134.15400000000011</v>
      </c>
      <c r="P570" s="913" t="s">
        <v>2413</v>
      </c>
      <c r="Q570" s="484">
        <v>336.67840000000001</v>
      </c>
      <c r="R570" s="497"/>
    </row>
    <row r="571" spans="1:18" ht="15" customHeight="1">
      <c r="A571" s="411">
        <v>557</v>
      </c>
      <c r="B571" s="413" t="s">
        <v>2692</v>
      </c>
      <c r="C571" s="411">
        <f t="shared" si="10"/>
        <v>557</v>
      </c>
      <c r="D571" s="443" t="s">
        <v>2201</v>
      </c>
      <c r="E571" s="412" t="s">
        <v>2374</v>
      </c>
      <c r="F571" s="912">
        <v>3.8453000000000001E-2</v>
      </c>
      <c r="G571" s="480">
        <v>2538.4744000000001</v>
      </c>
      <c r="H571" s="414">
        <v>487.2</v>
      </c>
      <c r="I571" s="413" t="s">
        <v>481</v>
      </c>
      <c r="J571" s="411">
        <v>1</v>
      </c>
      <c r="K571" s="411" t="s">
        <v>2375</v>
      </c>
      <c r="L571" s="482">
        <v>348</v>
      </c>
      <c r="M571" s="461" t="s">
        <v>2412</v>
      </c>
      <c r="N571" s="483">
        <v>67.071199999999919</v>
      </c>
      <c r="O571" s="483">
        <v>134.15400000000011</v>
      </c>
      <c r="P571" s="913" t="s">
        <v>2413</v>
      </c>
      <c r="Q571" s="484">
        <v>336.67839999999967</v>
      </c>
      <c r="R571" s="497"/>
    </row>
    <row r="572" spans="1:18" ht="15" customHeight="1">
      <c r="A572" s="233">
        <v>558</v>
      </c>
      <c r="B572" s="413" t="s">
        <v>4137</v>
      </c>
      <c r="C572" s="411">
        <f t="shared" si="10"/>
        <v>558</v>
      </c>
      <c r="D572" s="443" t="s">
        <v>2201</v>
      </c>
      <c r="E572" s="412" t="s">
        <v>4140</v>
      </c>
      <c r="F572" s="912">
        <v>4.2297700000000001E-2</v>
      </c>
      <c r="G572" s="480">
        <v>2538.48</v>
      </c>
      <c r="H572" s="414">
        <v>487.2</v>
      </c>
      <c r="I572" s="413" t="s">
        <v>481</v>
      </c>
      <c r="J572" s="411">
        <v>1</v>
      </c>
      <c r="K572" s="411" t="s">
        <v>4138</v>
      </c>
      <c r="L572" s="482">
        <v>348</v>
      </c>
      <c r="M572" s="461" t="s">
        <v>2412</v>
      </c>
      <c r="N572" s="483">
        <v>67.071199999999919</v>
      </c>
      <c r="O572" s="483">
        <v>134.15400000000011</v>
      </c>
      <c r="P572" s="913" t="s">
        <v>2413</v>
      </c>
      <c r="Q572" s="484">
        <v>336.67839999999967</v>
      </c>
      <c r="R572" s="497"/>
    </row>
    <row r="573" spans="1:18" ht="15" customHeight="1">
      <c r="A573" s="411">
        <v>559</v>
      </c>
      <c r="B573" s="413" t="s">
        <v>2693</v>
      </c>
      <c r="C573" s="411">
        <f t="shared" si="10"/>
        <v>559</v>
      </c>
      <c r="D573" s="443" t="s">
        <v>2201</v>
      </c>
      <c r="E573" s="412" t="s">
        <v>252</v>
      </c>
      <c r="F573" s="912">
        <v>3.9847E-2</v>
      </c>
      <c r="G573" s="480">
        <v>2538.48</v>
      </c>
      <c r="H573" s="414">
        <v>487.2</v>
      </c>
      <c r="I573" s="413" t="s">
        <v>481</v>
      </c>
      <c r="J573" s="411">
        <v>1</v>
      </c>
      <c r="K573" s="411" t="s">
        <v>738</v>
      </c>
      <c r="L573" s="482">
        <v>348</v>
      </c>
      <c r="M573" s="461" t="s">
        <v>2412</v>
      </c>
      <c r="N573" s="483">
        <v>67.071199999999919</v>
      </c>
      <c r="O573" s="483">
        <v>134.15400000000011</v>
      </c>
      <c r="P573" s="913" t="s">
        <v>2413</v>
      </c>
      <c r="Q573" s="484">
        <v>336.67839999999967</v>
      </c>
      <c r="R573" s="497"/>
    </row>
    <row r="574" spans="1:18" ht="15" customHeight="1">
      <c r="A574" s="411">
        <v>560</v>
      </c>
      <c r="B574" s="413" t="s">
        <v>2694</v>
      </c>
      <c r="C574" s="411">
        <f t="shared" si="10"/>
        <v>560</v>
      </c>
      <c r="D574" s="443" t="s">
        <v>2201</v>
      </c>
      <c r="E574" s="412" t="s">
        <v>253</v>
      </c>
      <c r="F574" s="912">
        <v>4.3381200000000002E-2</v>
      </c>
      <c r="G574" s="480">
        <v>2538.48</v>
      </c>
      <c r="H574" s="414">
        <v>487.2</v>
      </c>
      <c r="I574" s="413" t="s">
        <v>481</v>
      </c>
      <c r="J574" s="411">
        <v>1</v>
      </c>
      <c r="K574" s="411" t="s">
        <v>739</v>
      </c>
      <c r="L574" s="482">
        <v>348</v>
      </c>
      <c r="M574" s="461" t="s">
        <v>2412</v>
      </c>
      <c r="N574" s="483">
        <v>67.071199999999919</v>
      </c>
      <c r="O574" s="483">
        <v>134.15400000000011</v>
      </c>
      <c r="P574" s="913" t="s">
        <v>2413</v>
      </c>
      <c r="Q574" s="484">
        <v>336.67839999999967</v>
      </c>
      <c r="R574" s="497"/>
    </row>
    <row r="575" spans="1:18" ht="15" customHeight="1">
      <c r="A575" s="233">
        <v>561</v>
      </c>
      <c r="B575" s="413" t="s">
        <v>2695</v>
      </c>
      <c r="C575" s="411">
        <f t="shared" si="10"/>
        <v>561</v>
      </c>
      <c r="D575" s="443" t="s">
        <v>2201</v>
      </c>
      <c r="E575" s="412" t="s">
        <v>254</v>
      </c>
      <c r="F575" s="912">
        <v>4.0420800000000007E-2</v>
      </c>
      <c r="G575" s="480">
        <v>2538.48</v>
      </c>
      <c r="H575" s="414">
        <v>487.2</v>
      </c>
      <c r="I575" s="413" t="s">
        <v>481</v>
      </c>
      <c r="J575" s="411">
        <v>1</v>
      </c>
      <c r="K575" s="411" t="s">
        <v>740</v>
      </c>
      <c r="L575" s="482">
        <v>348</v>
      </c>
      <c r="M575" s="461" t="s">
        <v>2412</v>
      </c>
      <c r="N575" s="483">
        <v>67.071199999999919</v>
      </c>
      <c r="O575" s="483">
        <v>134.15400000000011</v>
      </c>
      <c r="P575" s="913" t="s">
        <v>2413</v>
      </c>
      <c r="Q575" s="484">
        <v>336.67839999999967</v>
      </c>
      <c r="R575" s="497"/>
    </row>
    <row r="576" spans="1:18" ht="15" customHeight="1">
      <c r="A576" s="411">
        <v>562</v>
      </c>
      <c r="B576" s="413" t="s">
        <v>3199</v>
      </c>
      <c r="C576" s="411">
        <f t="shared" si="10"/>
        <v>562</v>
      </c>
      <c r="D576" s="443" t="s">
        <v>2201</v>
      </c>
      <c r="E576" s="412" t="s">
        <v>3200</v>
      </c>
      <c r="F576" s="912">
        <v>3.9326100000000003E-2</v>
      </c>
      <c r="G576" s="480">
        <v>2538.48</v>
      </c>
      <c r="H576" s="414">
        <v>487.2</v>
      </c>
      <c r="I576" s="413" t="s">
        <v>481</v>
      </c>
      <c r="J576" s="411">
        <v>1</v>
      </c>
      <c r="K576" s="411" t="s">
        <v>3201</v>
      </c>
      <c r="L576" s="482">
        <v>348</v>
      </c>
      <c r="M576" s="461" t="s">
        <v>2412</v>
      </c>
      <c r="N576" s="483">
        <v>67.071199999999919</v>
      </c>
      <c r="O576" s="483">
        <v>134.15400000000011</v>
      </c>
      <c r="P576" s="913" t="s">
        <v>2413</v>
      </c>
      <c r="Q576" s="484">
        <v>336.67839999999967</v>
      </c>
      <c r="R576" s="497"/>
    </row>
    <row r="577" spans="1:18" ht="15" customHeight="1">
      <c r="A577" s="411">
        <v>563</v>
      </c>
      <c r="B577" s="413" t="s">
        <v>10959</v>
      </c>
      <c r="C577" s="411">
        <f t="shared" si="10"/>
        <v>563</v>
      </c>
      <c r="D577" s="443" t="s">
        <v>2201</v>
      </c>
      <c r="E577" s="412" t="s">
        <v>10972</v>
      </c>
      <c r="F577" s="912">
        <v>6.4276E-2</v>
      </c>
      <c r="G577" s="480">
        <v>3463</v>
      </c>
      <c r="H577" s="414">
        <v>487.2</v>
      </c>
      <c r="I577" s="413" t="s">
        <v>533</v>
      </c>
      <c r="J577" s="411">
        <v>2</v>
      </c>
      <c r="K577" s="411" t="s">
        <v>10985</v>
      </c>
      <c r="L577" s="482">
        <v>348</v>
      </c>
      <c r="M577" s="461" t="s">
        <v>2412</v>
      </c>
      <c r="N577" s="483">
        <v>121.62599999999989</v>
      </c>
      <c r="O577" s="483">
        <v>243.24040000000008</v>
      </c>
      <c r="P577" s="913" t="s">
        <v>2413</v>
      </c>
      <c r="Q577" s="484">
        <v>336.67840000000001</v>
      </c>
      <c r="R577" s="497"/>
    </row>
    <row r="578" spans="1:18" ht="15" customHeight="1">
      <c r="A578" s="233">
        <v>564</v>
      </c>
      <c r="B578" s="413" t="s">
        <v>10960</v>
      </c>
      <c r="C578" s="411">
        <f t="shared" si="10"/>
        <v>564</v>
      </c>
      <c r="D578" s="443" t="s">
        <v>2201</v>
      </c>
      <c r="E578" s="412" t="s">
        <v>10973</v>
      </c>
      <c r="F578" s="912">
        <v>6.4276E-2</v>
      </c>
      <c r="G578" s="480">
        <v>3463</v>
      </c>
      <c r="H578" s="414">
        <v>487.2</v>
      </c>
      <c r="I578" s="413" t="s">
        <v>533</v>
      </c>
      <c r="J578" s="411">
        <v>2</v>
      </c>
      <c r="K578" s="411" t="s">
        <v>10986</v>
      </c>
      <c r="L578" s="482">
        <v>348</v>
      </c>
      <c r="M578" s="461" t="s">
        <v>2412</v>
      </c>
      <c r="N578" s="483">
        <v>121.62599999999989</v>
      </c>
      <c r="O578" s="483">
        <v>243.24040000000008</v>
      </c>
      <c r="P578" s="913" t="s">
        <v>2413</v>
      </c>
      <c r="Q578" s="484">
        <v>336.67840000000001</v>
      </c>
      <c r="R578" s="497"/>
    </row>
    <row r="579" spans="1:18" ht="15" customHeight="1">
      <c r="A579" s="411">
        <v>565</v>
      </c>
      <c r="B579" s="413" t="s">
        <v>3211</v>
      </c>
      <c r="C579" s="411">
        <f t="shared" si="10"/>
        <v>565</v>
      </c>
      <c r="D579" s="443" t="s">
        <v>2201</v>
      </c>
      <c r="E579" s="412" t="s">
        <v>3220</v>
      </c>
      <c r="F579" s="912">
        <v>6.1468600000000005E-2</v>
      </c>
      <c r="G579" s="480">
        <v>3463.0023344000001</v>
      </c>
      <c r="H579" s="414">
        <v>487.2</v>
      </c>
      <c r="I579" s="413" t="s">
        <v>533</v>
      </c>
      <c r="J579" s="411">
        <v>2</v>
      </c>
      <c r="K579" s="411" t="s">
        <v>3229</v>
      </c>
      <c r="L579" s="482">
        <v>348</v>
      </c>
      <c r="M579" s="461" t="s">
        <v>2412</v>
      </c>
      <c r="N579" s="483">
        <v>121.62599999999989</v>
      </c>
      <c r="O579" s="483">
        <v>243.24040000000008</v>
      </c>
      <c r="P579" s="913" t="s">
        <v>2413</v>
      </c>
      <c r="Q579" s="484">
        <v>336.67839999999967</v>
      </c>
      <c r="R579" s="497"/>
    </row>
    <row r="580" spans="1:18" ht="15" customHeight="1">
      <c r="A580" s="411">
        <v>566</v>
      </c>
      <c r="B580" s="413" t="s">
        <v>3212</v>
      </c>
      <c r="C580" s="411">
        <f t="shared" si="10"/>
        <v>566</v>
      </c>
      <c r="D580" s="443" t="s">
        <v>2201</v>
      </c>
      <c r="E580" s="412" t="s">
        <v>3221</v>
      </c>
      <c r="F580" s="912">
        <v>6.1468600000000005E-2</v>
      </c>
      <c r="G580" s="480">
        <v>3463.0023344000001</v>
      </c>
      <c r="H580" s="414">
        <v>487.2</v>
      </c>
      <c r="I580" s="413" t="s">
        <v>533</v>
      </c>
      <c r="J580" s="411">
        <v>2</v>
      </c>
      <c r="K580" s="411" t="s">
        <v>3230</v>
      </c>
      <c r="L580" s="482">
        <v>348</v>
      </c>
      <c r="M580" s="461" t="s">
        <v>2412</v>
      </c>
      <c r="N580" s="483">
        <v>121.62599999999989</v>
      </c>
      <c r="O580" s="483">
        <v>243.24040000000008</v>
      </c>
      <c r="P580" s="913" t="s">
        <v>2413</v>
      </c>
      <c r="Q580" s="484">
        <v>336.67839999999967</v>
      </c>
      <c r="R580" s="497"/>
    </row>
    <row r="581" spans="1:18" ht="15" customHeight="1">
      <c r="A581" s="233">
        <v>567</v>
      </c>
      <c r="B581" s="413" t="s">
        <v>2696</v>
      </c>
      <c r="C581" s="411">
        <f t="shared" si="10"/>
        <v>567</v>
      </c>
      <c r="D581" s="443" t="s">
        <v>2201</v>
      </c>
      <c r="E581" s="412" t="s">
        <v>255</v>
      </c>
      <c r="F581" s="912">
        <v>3.7823799999999998E-2</v>
      </c>
      <c r="G581" s="480">
        <v>2538.48</v>
      </c>
      <c r="H581" s="414">
        <v>487.2</v>
      </c>
      <c r="I581" s="413" t="s">
        <v>481</v>
      </c>
      <c r="J581" s="411">
        <v>1</v>
      </c>
      <c r="K581" s="411" t="s">
        <v>741</v>
      </c>
      <c r="L581" s="482">
        <v>348</v>
      </c>
      <c r="M581" s="461" t="s">
        <v>2412</v>
      </c>
      <c r="N581" s="483">
        <v>67.071199999999919</v>
      </c>
      <c r="O581" s="483">
        <v>134.15400000000011</v>
      </c>
      <c r="P581" s="913" t="s">
        <v>2413</v>
      </c>
      <c r="Q581" s="484">
        <v>336.67839999999967</v>
      </c>
      <c r="R581" s="497"/>
    </row>
    <row r="582" spans="1:18" ht="15" customHeight="1">
      <c r="A582" s="411">
        <v>568</v>
      </c>
      <c r="B582" s="413" t="s">
        <v>2697</v>
      </c>
      <c r="C582" s="411">
        <f t="shared" si="10"/>
        <v>568</v>
      </c>
      <c r="D582" s="443" t="s">
        <v>2201</v>
      </c>
      <c r="E582" s="412" t="s">
        <v>256</v>
      </c>
      <c r="F582" s="912">
        <v>3.7823799999999998E-2</v>
      </c>
      <c r="G582" s="480">
        <v>2538.48</v>
      </c>
      <c r="H582" s="414">
        <v>487.2</v>
      </c>
      <c r="I582" s="413" t="s">
        <v>481</v>
      </c>
      <c r="J582" s="411">
        <v>1</v>
      </c>
      <c r="K582" s="411" t="s">
        <v>742</v>
      </c>
      <c r="L582" s="482">
        <v>348</v>
      </c>
      <c r="M582" s="461" t="s">
        <v>2412</v>
      </c>
      <c r="N582" s="483">
        <v>67.071199999999919</v>
      </c>
      <c r="O582" s="483">
        <v>134.15400000000011</v>
      </c>
      <c r="P582" s="913" t="s">
        <v>2413</v>
      </c>
      <c r="Q582" s="484">
        <v>336.67839999999967</v>
      </c>
      <c r="R582" s="497"/>
    </row>
    <row r="583" spans="1:18" ht="15" customHeight="1">
      <c r="A583" s="411">
        <v>569</v>
      </c>
      <c r="B583" s="413" t="s">
        <v>2698</v>
      </c>
      <c r="C583" s="411">
        <f t="shared" si="10"/>
        <v>569</v>
      </c>
      <c r="D583" s="443" t="s">
        <v>2201</v>
      </c>
      <c r="E583" s="412" t="s">
        <v>257</v>
      </c>
      <c r="F583" s="912">
        <v>5.9315399999999997E-2</v>
      </c>
      <c r="G583" s="480">
        <v>3463.0023344000001</v>
      </c>
      <c r="H583" s="414">
        <v>487.2</v>
      </c>
      <c r="I583" s="413" t="s">
        <v>533</v>
      </c>
      <c r="J583" s="411">
        <v>2</v>
      </c>
      <c r="K583" s="411" t="s">
        <v>743</v>
      </c>
      <c r="L583" s="482">
        <v>348</v>
      </c>
      <c r="M583" s="461" t="s">
        <v>2412</v>
      </c>
      <c r="N583" s="483">
        <v>121.62599999999989</v>
      </c>
      <c r="O583" s="483">
        <v>243.24040000000008</v>
      </c>
      <c r="P583" s="913" t="s">
        <v>2413</v>
      </c>
      <c r="Q583" s="484">
        <v>336.67839999999967</v>
      </c>
      <c r="R583" s="497"/>
    </row>
    <row r="584" spans="1:18" ht="15" customHeight="1">
      <c r="A584" s="233">
        <v>570</v>
      </c>
      <c r="B584" s="413" t="s">
        <v>2699</v>
      </c>
      <c r="C584" s="411">
        <f t="shared" si="10"/>
        <v>570</v>
      </c>
      <c r="D584" s="443" t="s">
        <v>2201</v>
      </c>
      <c r="E584" s="412" t="s">
        <v>258</v>
      </c>
      <c r="F584" s="912">
        <v>5.9315399999999997E-2</v>
      </c>
      <c r="G584" s="480">
        <v>3463.0023344000001</v>
      </c>
      <c r="H584" s="414">
        <v>487.2</v>
      </c>
      <c r="I584" s="413" t="s">
        <v>533</v>
      </c>
      <c r="J584" s="411">
        <v>2</v>
      </c>
      <c r="K584" s="411" t="s">
        <v>744</v>
      </c>
      <c r="L584" s="482">
        <v>348</v>
      </c>
      <c r="M584" s="461" t="s">
        <v>2412</v>
      </c>
      <c r="N584" s="483">
        <v>121.62599999999989</v>
      </c>
      <c r="O584" s="483">
        <v>243.24040000000008</v>
      </c>
      <c r="P584" s="913" t="s">
        <v>2413</v>
      </c>
      <c r="Q584" s="484">
        <v>336.67839999999967</v>
      </c>
      <c r="R584" s="497"/>
    </row>
    <row r="585" spans="1:18" ht="15" customHeight="1">
      <c r="A585" s="411">
        <v>571</v>
      </c>
      <c r="B585" s="413" t="s">
        <v>2700</v>
      </c>
      <c r="C585" s="411">
        <f t="shared" si="10"/>
        <v>571</v>
      </c>
      <c r="D585" s="443" t="s">
        <v>2201</v>
      </c>
      <c r="E585" s="412" t="s">
        <v>259</v>
      </c>
      <c r="F585" s="912">
        <v>6.4276299999999995E-2</v>
      </c>
      <c r="G585" s="480">
        <v>3463.0023344000001</v>
      </c>
      <c r="H585" s="414">
        <v>487.2</v>
      </c>
      <c r="I585" s="413" t="s">
        <v>533</v>
      </c>
      <c r="J585" s="411">
        <v>2</v>
      </c>
      <c r="K585" s="411" t="s">
        <v>745</v>
      </c>
      <c r="L585" s="482">
        <v>348</v>
      </c>
      <c r="M585" s="461" t="s">
        <v>2412</v>
      </c>
      <c r="N585" s="483">
        <v>121.62599999999989</v>
      </c>
      <c r="O585" s="483">
        <v>243.24040000000008</v>
      </c>
      <c r="P585" s="913" t="s">
        <v>2413</v>
      </c>
      <c r="Q585" s="484">
        <v>336.67839999999967</v>
      </c>
      <c r="R585" s="497"/>
    </row>
    <row r="586" spans="1:18" ht="15" customHeight="1">
      <c r="A586" s="411">
        <v>572</v>
      </c>
      <c r="B586" s="413" t="s">
        <v>2701</v>
      </c>
      <c r="C586" s="411">
        <f t="shared" si="10"/>
        <v>572</v>
      </c>
      <c r="D586" s="443" t="s">
        <v>2201</v>
      </c>
      <c r="E586" s="412" t="s">
        <v>260</v>
      </c>
      <c r="F586" s="912">
        <v>5.9315399999999997E-2</v>
      </c>
      <c r="G586" s="480">
        <v>3463.0023344000001</v>
      </c>
      <c r="H586" s="414">
        <v>487.2</v>
      </c>
      <c r="I586" s="413" t="s">
        <v>533</v>
      </c>
      <c r="J586" s="411">
        <v>2</v>
      </c>
      <c r="K586" s="411" t="s">
        <v>746</v>
      </c>
      <c r="L586" s="482">
        <v>348</v>
      </c>
      <c r="M586" s="461" t="s">
        <v>2412</v>
      </c>
      <c r="N586" s="483">
        <v>121.62599999999989</v>
      </c>
      <c r="O586" s="483">
        <v>243.24040000000008</v>
      </c>
      <c r="P586" s="913" t="s">
        <v>2413</v>
      </c>
      <c r="Q586" s="484">
        <v>336.67839999999967</v>
      </c>
      <c r="R586" s="497"/>
    </row>
    <row r="587" spans="1:18" ht="15" customHeight="1">
      <c r="A587" s="233">
        <v>573</v>
      </c>
      <c r="B587" s="413" t="s">
        <v>2702</v>
      </c>
      <c r="C587" s="411">
        <f t="shared" si="10"/>
        <v>573</v>
      </c>
      <c r="D587" s="443" t="s">
        <v>2201</v>
      </c>
      <c r="E587" s="412" t="s">
        <v>261</v>
      </c>
      <c r="F587" s="912">
        <v>5.9315399999999997E-2</v>
      </c>
      <c r="G587" s="480">
        <v>3463.0023344000001</v>
      </c>
      <c r="H587" s="414">
        <v>487.2</v>
      </c>
      <c r="I587" s="413" t="s">
        <v>533</v>
      </c>
      <c r="J587" s="411">
        <v>2</v>
      </c>
      <c r="K587" s="411" t="s">
        <v>747</v>
      </c>
      <c r="L587" s="482">
        <v>348</v>
      </c>
      <c r="M587" s="461" t="s">
        <v>2412</v>
      </c>
      <c r="N587" s="483">
        <v>121.62599999999989</v>
      </c>
      <c r="O587" s="483">
        <v>243.24040000000008</v>
      </c>
      <c r="P587" s="913" t="s">
        <v>2413</v>
      </c>
      <c r="Q587" s="484">
        <v>336.67839999999967</v>
      </c>
      <c r="R587" s="497"/>
    </row>
    <row r="588" spans="1:18" ht="15" customHeight="1">
      <c r="A588" s="411">
        <v>574</v>
      </c>
      <c r="B588" s="413" t="s">
        <v>2703</v>
      </c>
      <c r="C588" s="411">
        <f t="shared" si="10"/>
        <v>574</v>
      </c>
      <c r="D588" s="443" t="s">
        <v>2201</v>
      </c>
      <c r="E588" s="412" t="s">
        <v>262</v>
      </c>
      <c r="F588" s="912">
        <v>6.4276299999999995E-2</v>
      </c>
      <c r="G588" s="480">
        <v>3463.0023344000001</v>
      </c>
      <c r="H588" s="414">
        <v>487.2</v>
      </c>
      <c r="I588" s="413" t="s">
        <v>533</v>
      </c>
      <c r="J588" s="411">
        <v>2</v>
      </c>
      <c r="K588" s="411" t="s">
        <v>748</v>
      </c>
      <c r="L588" s="482">
        <v>348</v>
      </c>
      <c r="M588" s="461" t="s">
        <v>2412</v>
      </c>
      <c r="N588" s="483">
        <v>121.62599999999989</v>
      </c>
      <c r="O588" s="483">
        <v>243.24040000000008</v>
      </c>
      <c r="P588" s="913" t="s">
        <v>2413</v>
      </c>
      <c r="Q588" s="484">
        <v>336.67839999999967</v>
      </c>
      <c r="R588" s="497"/>
    </row>
    <row r="589" spans="1:18" ht="15" customHeight="1">
      <c r="A589" s="411">
        <v>575</v>
      </c>
      <c r="B589" s="413" t="s">
        <v>2704</v>
      </c>
      <c r="C589" s="411">
        <f t="shared" si="10"/>
        <v>575</v>
      </c>
      <c r="D589" s="443" t="s">
        <v>2201</v>
      </c>
      <c r="E589" s="412" t="s">
        <v>263</v>
      </c>
      <c r="F589" s="912">
        <v>6.4276299999999995E-2</v>
      </c>
      <c r="G589" s="480">
        <v>3463.0023344000001</v>
      </c>
      <c r="H589" s="414">
        <v>487.2</v>
      </c>
      <c r="I589" s="413" t="s">
        <v>533</v>
      </c>
      <c r="J589" s="411">
        <v>2</v>
      </c>
      <c r="K589" s="411" t="s">
        <v>749</v>
      </c>
      <c r="L589" s="482">
        <v>348</v>
      </c>
      <c r="M589" s="461" t="s">
        <v>2412</v>
      </c>
      <c r="N589" s="483">
        <v>121.62599999999989</v>
      </c>
      <c r="O589" s="483">
        <v>243.24040000000008</v>
      </c>
      <c r="P589" s="913" t="s">
        <v>2413</v>
      </c>
      <c r="Q589" s="484">
        <v>336.67839999999967</v>
      </c>
      <c r="R589" s="497"/>
    </row>
    <row r="590" spans="1:18" ht="15" customHeight="1">
      <c r="A590" s="233">
        <v>576</v>
      </c>
      <c r="B590" s="413" t="s">
        <v>2705</v>
      </c>
      <c r="C590" s="411">
        <f t="shared" si="10"/>
        <v>576</v>
      </c>
      <c r="D590" s="443" t="s">
        <v>2201</v>
      </c>
      <c r="E590" s="412" t="s">
        <v>264</v>
      </c>
      <c r="F590" s="912">
        <v>6.4276299999999995E-2</v>
      </c>
      <c r="G590" s="480">
        <v>3463.0023344000001</v>
      </c>
      <c r="H590" s="414">
        <v>487.2</v>
      </c>
      <c r="I590" s="413" t="s">
        <v>533</v>
      </c>
      <c r="J590" s="411">
        <v>2</v>
      </c>
      <c r="K590" s="411" t="s">
        <v>750</v>
      </c>
      <c r="L590" s="482">
        <v>348</v>
      </c>
      <c r="M590" s="461" t="s">
        <v>2412</v>
      </c>
      <c r="N590" s="483">
        <v>121.62599999999989</v>
      </c>
      <c r="O590" s="483">
        <v>243.24040000000008</v>
      </c>
      <c r="P590" s="913" t="s">
        <v>2413</v>
      </c>
      <c r="Q590" s="484">
        <v>336.67839999999967</v>
      </c>
      <c r="R590" s="497"/>
    </row>
    <row r="591" spans="1:18" ht="15" customHeight="1">
      <c r="A591" s="411">
        <v>577</v>
      </c>
      <c r="B591" s="413" t="s">
        <v>2706</v>
      </c>
      <c r="C591" s="411">
        <f t="shared" si="10"/>
        <v>577</v>
      </c>
      <c r="D591" s="443" t="s">
        <v>2201</v>
      </c>
      <c r="E591" s="412" t="s">
        <v>265</v>
      </c>
      <c r="F591" s="912">
        <v>6.4276299999999995E-2</v>
      </c>
      <c r="G591" s="480">
        <v>3463.0023344000001</v>
      </c>
      <c r="H591" s="414">
        <v>487.2</v>
      </c>
      <c r="I591" s="413" t="s">
        <v>533</v>
      </c>
      <c r="J591" s="411">
        <v>2</v>
      </c>
      <c r="K591" s="411" t="s">
        <v>751</v>
      </c>
      <c r="L591" s="482">
        <v>348</v>
      </c>
      <c r="M591" s="461" t="s">
        <v>2412</v>
      </c>
      <c r="N591" s="483">
        <v>121.62599999999989</v>
      </c>
      <c r="O591" s="483">
        <v>243.24040000000008</v>
      </c>
      <c r="P591" s="913" t="s">
        <v>2413</v>
      </c>
      <c r="Q591" s="484">
        <v>336.67839999999967</v>
      </c>
      <c r="R591" s="497"/>
    </row>
    <row r="592" spans="1:18" ht="15" customHeight="1">
      <c r="A592" s="411">
        <v>578</v>
      </c>
      <c r="B592" s="413" t="s">
        <v>2707</v>
      </c>
      <c r="C592" s="411">
        <f t="shared" ref="C592:C655" si="11">A592</f>
        <v>578</v>
      </c>
      <c r="D592" s="443" t="s">
        <v>2201</v>
      </c>
      <c r="E592" s="412" t="s">
        <v>266</v>
      </c>
      <c r="F592" s="912">
        <v>6.4276299999999995E-2</v>
      </c>
      <c r="G592" s="480">
        <v>3463.0023344000001</v>
      </c>
      <c r="H592" s="414">
        <v>487.2</v>
      </c>
      <c r="I592" s="413" t="s">
        <v>533</v>
      </c>
      <c r="J592" s="411">
        <v>2</v>
      </c>
      <c r="K592" s="411" t="s">
        <v>752</v>
      </c>
      <c r="L592" s="482">
        <v>348</v>
      </c>
      <c r="M592" s="461" t="s">
        <v>2412</v>
      </c>
      <c r="N592" s="483">
        <v>121.62599999999989</v>
      </c>
      <c r="O592" s="483">
        <v>243.24040000000008</v>
      </c>
      <c r="P592" s="913" t="s">
        <v>2413</v>
      </c>
      <c r="Q592" s="484">
        <v>336.67839999999967</v>
      </c>
      <c r="R592" s="497"/>
    </row>
    <row r="593" spans="1:18" ht="15" customHeight="1">
      <c r="A593" s="233">
        <v>579</v>
      </c>
      <c r="B593" s="413" t="s">
        <v>2708</v>
      </c>
      <c r="C593" s="411">
        <f t="shared" si="11"/>
        <v>579</v>
      </c>
      <c r="D593" s="443" t="s">
        <v>2201</v>
      </c>
      <c r="E593" s="412" t="s">
        <v>2340</v>
      </c>
      <c r="F593" s="912">
        <v>6.4276299999999995E-2</v>
      </c>
      <c r="G593" s="480">
        <v>3463.0023344000001</v>
      </c>
      <c r="H593" s="414">
        <v>487.2</v>
      </c>
      <c r="I593" s="413" t="s">
        <v>533</v>
      </c>
      <c r="J593" s="411">
        <v>2</v>
      </c>
      <c r="K593" s="411" t="s">
        <v>753</v>
      </c>
      <c r="L593" s="482">
        <v>348</v>
      </c>
      <c r="M593" s="461" t="s">
        <v>2412</v>
      </c>
      <c r="N593" s="483">
        <v>121.62599999999989</v>
      </c>
      <c r="O593" s="483">
        <v>243.24040000000008</v>
      </c>
      <c r="P593" s="913" t="s">
        <v>2413</v>
      </c>
      <c r="Q593" s="484">
        <v>336.67839999999967</v>
      </c>
      <c r="R593" s="497"/>
    </row>
    <row r="594" spans="1:18" ht="15" customHeight="1">
      <c r="A594" s="411">
        <v>580</v>
      </c>
      <c r="B594" s="413" t="s">
        <v>2709</v>
      </c>
      <c r="C594" s="411">
        <f t="shared" si="11"/>
        <v>580</v>
      </c>
      <c r="D594" s="443" t="s">
        <v>2201</v>
      </c>
      <c r="E594" s="412" t="s">
        <v>267</v>
      </c>
      <c r="F594" s="912">
        <v>6.4276299999999995E-2</v>
      </c>
      <c r="G594" s="480">
        <v>3463.0023344000001</v>
      </c>
      <c r="H594" s="414">
        <v>487.2</v>
      </c>
      <c r="I594" s="413" t="s">
        <v>533</v>
      </c>
      <c r="J594" s="411">
        <v>2</v>
      </c>
      <c r="K594" s="411" t="s">
        <v>754</v>
      </c>
      <c r="L594" s="482">
        <v>348</v>
      </c>
      <c r="M594" s="461" t="s">
        <v>2412</v>
      </c>
      <c r="N594" s="483">
        <v>121.62599999999989</v>
      </c>
      <c r="O594" s="483">
        <v>243.24040000000008</v>
      </c>
      <c r="P594" s="913" t="s">
        <v>2413</v>
      </c>
      <c r="Q594" s="484">
        <v>336.67839999999967</v>
      </c>
      <c r="R594" s="497"/>
    </row>
    <row r="595" spans="1:18" ht="15" customHeight="1">
      <c r="A595" s="411">
        <v>581</v>
      </c>
      <c r="B595" s="413" t="s">
        <v>2710</v>
      </c>
      <c r="C595" s="411">
        <f t="shared" si="11"/>
        <v>581</v>
      </c>
      <c r="D595" s="443" t="s">
        <v>2201</v>
      </c>
      <c r="E595" s="412" t="s">
        <v>268</v>
      </c>
      <c r="F595" s="912">
        <v>5.9315399999999997E-2</v>
      </c>
      <c r="G595" s="480">
        <v>3463.0023344000001</v>
      </c>
      <c r="H595" s="414">
        <v>487.2</v>
      </c>
      <c r="I595" s="413" t="s">
        <v>533</v>
      </c>
      <c r="J595" s="411">
        <v>2</v>
      </c>
      <c r="K595" s="411" t="s">
        <v>755</v>
      </c>
      <c r="L595" s="482">
        <v>348</v>
      </c>
      <c r="M595" s="461" t="s">
        <v>2412</v>
      </c>
      <c r="N595" s="483">
        <v>121.62599999999989</v>
      </c>
      <c r="O595" s="483">
        <v>243.24040000000008</v>
      </c>
      <c r="P595" s="913" t="s">
        <v>2413</v>
      </c>
      <c r="Q595" s="484">
        <v>336.67839999999967</v>
      </c>
      <c r="R595" s="497"/>
    </row>
    <row r="596" spans="1:18" ht="15" customHeight="1">
      <c r="A596" s="233">
        <v>582</v>
      </c>
      <c r="B596" s="413" t="s">
        <v>2711</v>
      </c>
      <c r="C596" s="411">
        <f t="shared" si="11"/>
        <v>582</v>
      </c>
      <c r="D596" s="443" t="s">
        <v>2201</v>
      </c>
      <c r="E596" s="412" t="s">
        <v>269</v>
      </c>
      <c r="F596" s="912">
        <v>6.4276299999999995E-2</v>
      </c>
      <c r="G596" s="480">
        <v>3463.0023344000001</v>
      </c>
      <c r="H596" s="414">
        <v>487.2</v>
      </c>
      <c r="I596" s="413" t="s">
        <v>533</v>
      </c>
      <c r="J596" s="411">
        <v>2</v>
      </c>
      <c r="K596" s="411" t="s">
        <v>756</v>
      </c>
      <c r="L596" s="482">
        <v>348</v>
      </c>
      <c r="M596" s="461" t="s">
        <v>2412</v>
      </c>
      <c r="N596" s="483">
        <v>121.62599999999989</v>
      </c>
      <c r="O596" s="483">
        <v>243.24040000000008</v>
      </c>
      <c r="P596" s="913" t="s">
        <v>2413</v>
      </c>
      <c r="Q596" s="484">
        <v>336.67839999999967</v>
      </c>
      <c r="R596" s="497"/>
    </row>
    <row r="597" spans="1:18" ht="15" customHeight="1">
      <c r="A597" s="411">
        <v>583</v>
      </c>
      <c r="B597" s="413" t="s">
        <v>2712</v>
      </c>
      <c r="C597" s="411">
        <f t="shared" si="11"/>
        <v>583</v>
      </c>
      <c r="D597" s="443" t="s">
        <v>2201</v>
      </c>
      <c r="E597" s="412" t="s">
        <v>270</v>
      </c>
      <c r="F597" s="912">
        <v>5.9315399999999997E-2</v>
      </c>
      <c r="G597" s="480">
        <v>3463.0023344000001</v>
      </c>
      <c r="H597" s="414">
        <v>487.2</v>
      </c>
      <c r="I597" s="413" t="s">
        <v>533</v>
      </c>
      <c r="J597" s="411">
        <v>2</v>
      </c>
      <c r="K597" s="411" t="s">
        <v>757</v>
      </c>
      <c r="L597" s="482">
        <v>348</v>
      </c>
      <c r="M597" s="461" t="s">
        <v>2412</v>
      </c>
      <c r="N597" s="483">
        <v>121.62599999999989</v>
      </c>
      <c r="O597" s="483">
        <v>243.24040000000008</v>
      </c>
      <c r="P597" s="913" t="s">
        <v>2413</v>
      </c>
      <c r="Q597" s="484">
        <v>336.67839999999967</v>
      </c>
      <c r="R597" s="497"/>
    </row>
    <row r="598" spans="1:18" ht="15" customHeight="1">
      <c r="A598" s="411">
        <v>584</v>
      </c>
      <c r="B598" s="413" t="s">
        <v>2713</v>
      </c>
      <c r="C598" s="411">
        <f t="shared" si="11"/>
        <v>584</v>
      </c>
      <c r="D598" s="443" t="s">
        <v>2201</v>
      </c>
      <c r="E598" s="412" t="s">
        <v>271</v>
      </c>
      <c r="F598" s="912">
        <v>6.4276299999999995E-2</v>
      </c>
      <c r="G598" s="480">
        <v>3463.0023344000001</v>
      </c>
      <c r="H598" s="414">
        <v>487.2</v>
      </c>
      <c r="I598" s="413" t="s">
        <v>533</v>
      </c>
      <c r="J598" s="411">
        <v>2</v>
      </c>
      <c r="K598" s="411" t="s">
        <v>758</v>
      </c>
      <c r="L598" s="482">
        <v>348</v>
      </c>
      <c r="M598" s="461" t="s">
        <v>2412</v>
      </c>
      <c r="N598" s="483">
        <v>121.62599999999989</v>
      </c>
      <c r="O598" s="483">
        <v>243.24040000000008</v>
      </c>
      <c r="P598" s="913" t="s">
        <v>2413</v>
      </c>
      <c r="Q598" s="484">
        <v>336.67839999999967</v>
      </c>
      <c r="R598" s="497"/>
    </row>
    <row r="599" spans="1:18" ht="15" customHeight="1">
      <c r="A599" s="233">
        <v>585</v>
      </c>
      <c r="B599" s="413" t="s">
        <v>2714</v>
      </c>
      <c r="C599" s="411">
        <f t="shared" si="11"/>
        <v>585</v>
      </c>
      <c r="D599" s="443" t="s">
        <v>2201</v>
      </c>
      <c r="E599" s="412" t="s">
        <v>272</v>
      </c>
      <c r="F599" s="912">
        <v>6.4276299999999995E-2</v>
      </c>
      <c r="G599" s="480">
        <v>3463.0023344000001</v>
      </c>
      <c r="H599" s="414">
        <v>487.2</v>
      </c>
      <c r="I599" s="413" t="s">
        <v>533</v>
      </c>
      <c r="J599" s="411">
        <v>2</v>
      </c>
      <c r="K599" s="411" t="s">
        <v>759</v>
      </c>
      <c r="L599" s="482">
        <v>348</v>
      </c>
      <c r="M599" s="461" t="s">
        <v>2412</v>
      </c>
      <c r="N599" s="483">
        <v>121.62599999999989</v>
      </c>
      <c r="O599" s="483">
        <v>243.24040000000008</v>
      </c>
      <c r="P599" s="913" t="s">
        <v>2413</v>
      </c>
      <c r="Q599" s="484">
        <v>336.67839999999967</v>
      </c>
      <c r="R599" s="497"/>
    </row>
    <row r="600" spans="1:18" ht="15" customHeight="1">
      <c r="A600" s="411">
        <v>586</v>
      </c>
      <c r="B600" s="413" t="s">
        <v>2715</v>
      </c>
      <c r="C600" s="411">
        <f t="shared" si="11"/>
        <v>586</v>
      </c>
      <c r="D600" s="443" t="s">
        <v>2201</v>
      </c>
      <c r="E600" s="412" t="s">
        <v>273</v>
      </c>
      <c r="F600" s="912">
        <v>4.77372E-2</v>
      </c>
      <c r="G600" s="480">
        <v>2538.48</v>
      </c>
      <c r="H600" s="414">
        <v>487.2</v>
      </c>
      <c r="I600" s="413" t="s">
        <v>481</v>
      </c>
      <c r="J600" s="411">
        <v>1</v>
      </c>
      <c r="K600" s="411" t="s">
        <v>760</v>
      </c>
      <c r="L600" s="482">
        <v>348</v>
      </c>
      <c r="M600" s="461" t="s">
        <v>2412</v>
      </c>
      <c r="N600" s="483">
        <v>67.071199999999919</v>
      </c>
      <c r="O600" s="483">
        <v>134.15400000000011</v>
      </c>
      <c r="P600" s="913" t="s">
        <v>2413</v>
      </c>
      <c r="Q600" s="484">
        <v>336.67839999999967</v>
      </c>
      <c r="R600" s="497"/>
    </row>
    <row r="601" spans="1:18" ht="15" customHeight="1">
      <c r="A601" s="411">
        <v>587</v>
      </c>
      <c r="B601" s="413" t="s">
        <v>2716</v>
      </c>
      <c r="C601" s="411">
        <f t="shared" si="11"/>
        <v>587</v>
      </c>
      <c r="D601" s="443" t="s">
        <v>2201</v>
      </c>
      <c r="E601" s="412" t="s">
        <v>274</v>
      </c>
      <c r="F601" s="912">
        <v>5.1454800000000002E-2</v>
      </c>
      <c r="G601" s="480">
        <v>2538.48</v>
      </c>
      <c r="H601" s="414">
        <v>487.2</v>
      </c>
      <c r="I601" s="413" t="s">
        <v>481</v>
      </c>
      <c r="J601" s="411">
        <v>1</v>
      </c>
      <c r="K601" s="411" t="s">
        <v>761</v>
      </c>
      <c r="L601" s="482">
        <v>348</v>
      </c>
      <c r="M601" s="461" t="s">
        <v>2412</v>
      </c>
      <c r="N601" s="483">
        <v>67.071199999999919</v>
      </c>
      <c r="O601" s="483">
        <v>134.15400000000011</v>
      </c>
      <c r="P601" s="913" t="s">
        <v>2413</v>
      </c>
      <c r="Q601" s="484">
        <v>336.67839999999967</v>
      </c>
      <c r="R601" s="497"/>
    </row>
    <row r="602" spans="1:18" ht="15" customHeight="1">
      <c r="A602" s="233">
        <v>588</v>
      </c>
      <c r="B602" s="413" t="s">
        <v>2717</v>
      </c>
      <c r="C602" s="411">
        <f t="shared" si="11"/>
        <v>588</v>
      </c>
      <c r="D602" s="443" t="s">
        <v>2201</v>
      </c>
      <c r="E602" s="412" t="s">
        <v>275</v>
      </c>
      <c r="F602" s="912">
        <v>4.0564700000000002E-2</v>
      </c>
      <c r="G602" s="480">
        <v>2538.48</v>
      </c>
      <c r="H602" s="414">
        <v>487.2</v>
      </c>
      <c r="I602" s="413" t="s">
        <v>481</v>
      </c>
      <c r="J602" s="411">
        <v>1</v>
      </c>
      <c r="K602" s="411" t="s">
        <v>762</v>
      </c>
      <c r="L602" s="482">
        <v>348</v>
      </c>
      <c r="M602" s="461" t="s">
        <v>2412</v>
      </c>
      <c r="N602" s="483">
        <v>67.071199999999919</v>
      </c>
      <c r="O602" s="483">
        <v>134.15400000000011</v>
      </c>
      <c r="P602" s="913" t="s">
        <v>2413</v>
      </c>
      <c r="Q602" s="484">
        <v>336.67839999999967</v>
      </c>
      <c r="R602" s="497"/>
    </row>
    <row r="603" spans="1:18" ht="15" customHeight="1">
      <c r="A603" s="411">
        <v>589</v>
      </c>
      <c r="B603" s="413" t="s">
        <v>2718</v>
      </c>
      <c r="C603" s="411">
        <f t="shared" si="11"/>
        <v>589</v>
      </c>
      <c r="D603" s="443" t="s">
        <v>2201</v>
      </c>
      <c r="E603" s="412" t="s">
        <v>276</v>
      </c>
      <c r="F603" s="912">
        <v>4.2803399999999998E-2</v>
      </c>
      <c r="G603" s="480">
        <v>2538.48</v>
      </c>
      <c r="H603" s="414">
        <v>487.2</v>
      </c>
      <c r="I603" s="413" t="s">
        <v>481</v>
      </c>
      <c r="J603" s="411">
        <v>1</v>
      </c>
      <c r="K603" s="411" t="s">
        <v>763</v>
      </c>
      <c r="L603" s="482">
        <v>348</v>
      </c>
      <c r="M603" s="461" t="s">
        <v>2412</v>
      </c>
      <c r="N603" s="483">
        <v>67.071199999999919</v>
      </c>
      <c r="O603" s="483">
        <v>134.15400000000011</v>
      </c>
      <c r="P603" s="913" t="s">
        <v>2413</v>
      </c>
      <c r="Q603" s="484">
        <v>336.67839999999967</v>
      </c>
      <c r="R603" s="497"/>
    </row>
    <row r="604" spans="1:18" ht="15" customHeight="1">
      <c r="A604" s="411">
        <v>590</v>
      </c>
      <c r="B604" s="413" t="s">
        <v>2719</v>
      </c>
      <c r="C604" s="411">
        <f t="shared" si="11"/>
        <v>590</v>
      </c>
      <c r="D604" s="443" t="s">
        <v>2201</v>
      </c>
      <c r="E604" s="412" t="s">
        <v>277</v>
      </c>
      <c r="F604" s="912">
        <v>3.9994399999999999E-2</v>
      </c>
      <c r="G604" s="480">
        <v>2538.48</v>
      </c>
      <c r="H604" s="414">
        <v>487.2</v>
      </c>
      <c r="I604" s="413" t="s">
        <v>481</v>
      </c>
      <c r="J604" s="411">
        <v>1</v>
      </c>
      <c r="K604" s="411" t="s">
        <v>764</v>
      </c>
      <c r="L604" s="482">
        <v>348</v>
      </c>
      <c r="M604" s="461" t="s">
        <v>2412</v>
      </c>
      <c r="N604" s="483">
        <v>67.071199999999919</v>
      </c>
      <c r="O604" s="483">
        <v>134.15400000000011</v>
      </c>
      <c r="P604" s="913" t="s">
        <v>2413</v>
      </c>
      <c r="Q604" s="484">
        <v>336.67839999999967</v>
      </c>
      <c r="R604" s="497"/>
    </row>
    <row r="605" spans="1:18" ht="15" customHeight="1">
      <c r="A605" s="233">
        <v>591</v>
      </c>
      <c r="B605" s="413" t="s">
        <v>5154</v>
      </c>
      <c r="C605" s="411">
        <f t="shared" si="11"/>
        <v>591</v>
      </c>
      <c r="D605" s="443" t="s">
        <v>2201</v>
      </c>
      <c r="E605" s="412" t="s">
        <v>278</v>
      </c>
      <c r="F605" s="912">
        <v>5.4662799999999998E-2</v>
      </c>
      <c r="G605" s="480">
        <v>2538.48</v>
      </c>
      <c r="H605" s="414">
        <v>487.2</v>
      </c>
      <c r="I605" s="413" t="s">
        <v>481</v>
      </c>
      <c r="J605" s="411">
        <v>1</v>
      </c>
      <c r="K605" s="411" t="s">
        <v>765</v>
      </c>
      <c r="L605" s="482">
        <v>348</v>
      </c>
      <c r="M605" s="461" t="s">
        <v>2412</v>
      </c>
      <c r="N605" s="483">
        <v>67.071199999999919</v>
      </c>
      <c r="O605" s="483">
        <v>134.15400000000011</v>
      </c>
      <c r="P605" s="913" t="s">
        <v>2413</v>
      </c>
      <c r="Q605" s="484">
        <v>336.67839999999967</v>
      </c>
      <c r="R605" s="497"/>
    </row>
    <row r="606" spans="1:18" s="460" customFormat="1" ht="15" customHeight="1">
      <c r="A606" s="411">
        <v>592</v>
      </c>
      <c r="B606" s="413" t="s">
        <v>2720</v>
      </c>
      <c r="C606" s="411">
        <f t="shared" si="11"/>
        <v>592</v>
      </c>
      <c r="D606" s="443" t="s">
        <v>2201</v>
      </c>
      <c r="E606" s="412" t="s">
        <v>279</v>
      </c>
      <c r="F606" s="912">
        <v>3.8220400000000002E-2</v>
      </c>
      <c r="G606" s="480">
        <v>2538.48</v>
      </c>
      <c r="H606" s="414">
        <v>487.2</v>
      </c>
      <c r="I606" s="413" t="s">
        <v>481</v>
      </c>
      <c r="J606" s="411">
        <v>1</v>
      </c>
      <c r="K606" s="411" t="s">
        <v>766</v>
      </c>
      <c r="L606" s="482">
        <v>348</v>
      </c>
      <c r="M606" s="461" t="s">
        <v>2412</v>
      </c>
      <c r="N606" s="483">
        <v>67.071199999999919</v>
      </c>
      <c r="O606" s="483">
        <v>134.15400000000011</v>
      </c>
      <c r="P606" s="913" t="s">
        <v>2413</v>
      </c>
      <c r="Q606" s="484">
        <v>336.67839999999967</v>
      </c>
      <c r="R606" s="804"/>
    </row>
    <row r="607" spans="1:18" ht="15" customHeight="1">
      <c r="A607" s="411">
        <v>593</v>
      </c>
      <c r="B607" s="413" t="s">
        <v>2721</v>
      </c>
      <c r="C607" s="411">
        <f t="shared" si="11"/>
        <v>593</v>
      </c>
      <c r="D607" s="443" t="s">
        <v>2201</v>
      </c>
      <c r="E607" s="412" t="s">
        <v>280</v>
      </c>
      <c r="F607" s="912">
        <v>6.1468600000000005E-2</v>
      </c>
      <c r="G607" s="480">
        <v>3463.0023344000001</v>
      </c>
      <c r="H607" s="414">
        <v>487.2</v>
      </c>
      <c r="I607" s="413" t="s">
        <v>533</v>
      </c>
      <c r="J607" s="411">
        <v>2</v>
      </c>
      <c r="K607" s="411" t="s">
        <v>767</v>
      </c>
      <c r="L607" s="482">
        <v>348</v>
      </c>
      <c r="M607" s="461" t="s">
        <v>2412</v>
      </c>
      <c r="N607" s="483">
        <v>121.62599999999989</v>
      </c>
      <c r="O607" s="483">
        <v>243.24040000000008</v>
      </c>
      <c r="P607" s="913" t="s">
        <v>2413</v>
      </c>
      <c r="Q607" s="484">
        <v>336.67839999999967</v>
      </c>
      <c r="R607" s="497"/>
    </row>
    <row r="608" spans="1:18" s="460" customFormat="1" ht="14.25" customHeight="1">
      <c r="A608" s="233">
        <v>594</v>
      </c>
      <c r="B608" s="413" t="s">
        <v>5155</v>
      </c>
      <c r="C608" s="411">
        <f t="shared" si="11"/>
        <v>594</v>
      </c>
      <c r="D608" s="443" t="s">
        <v>2201</v>
      </c>
      <c r="E608" s="412" t="s">
        <v>281</v>
      </c>
      <c r="F608" s="912">
        <v>3.8552799999999998E-2</v>
      </c>
      <c r="G608" s="480">
        <v>2538.48</v>
      </c>
      <c r="H608" s="414">
        <v>487.2</v>
      </c>
      <c r="I608" s="413" t="s">
        <v>481</v>
      </c>
      <c r="J608" s="411">
        <v>1</v>
      </c>
      <c r="K608" s="411" t="s">
        <v>768</v>
      </c>
      <c r="L608" s="482">
        <v>348</v>
      </c>
      <c r="M608" s="461" t="s">
        <v>2412</v>
      </c>
      <c r="N608" s="483">
        <v>67.071199999999919</v>
      </c>
      <c r="O608" s="483">
        <v>134.15400000000011</v>
      </c>
      <c r="P608" s="913" t="s">
        <v>2413</v>
      </c>
      <c r="Q608" s="484">
        <v>336.67839999999967</v>
      </c>
      <c r="R608" s="804"/>
    </row>
    <row r="609" spans="1:19" ht="15" customHeight="1">
      <c r="A609" s="411">
        <v>595</v>
      </c>
      <c r="B609" s="413" t="s">
        <v>2722</v>
      </c>
      <c r="C609" s="411">
        <f t="shared" si="11"/>
        <v>595</v>
      </c>
      <c r="D609" s="443" t="s">
        <v>2201</v>
      </c>
      <c r="E609" s="412" t="s">
        <v>282</v>
      </c>
      <c r="F609" s="912">
        <v>4.5439E-2</v>
      </c>
      <c r="G609" s="480">
        <v>2538.4744000000001</v>
      </c>
      <c r="H609" s="414">
        <v>487.2</v>
      </c>
      <c r="I609" s="413" t="s">
        <v>481</v>
      </c>
      <c r="J609" s="411">
        <v>1</v>
      </c>
      <c r="K609" s="411" t="s">
        <v>769</v>
      </c>
      <c r="L609" s="482">
        <v>348</v>
      </c>
      <c r="M609" s="461" t="s">
        <v>2412</v>
      </c>
      <c r="N609" s="483">
        <v>67.071199999999919</v>
      </c>
      <c r="O609" s="483">
        <v>134.15400000000011</v>
      </c>
      <c r="P609" s="913" t="s">
        <v>2413</v>
      </c>
      <c r="Q609" s="484">
        <v>336.67839999999967</v>
      </c>
      <c r="R609" s="497"/>
    </row>
    <row r="610" spans="1:19" ht="15" customHeight="1">
      <c r="A610" s="411">
        <v>596</v>
      </c>
      <c r="B610" s="413" t="s">
        <v>4158</v>
      </c>
      <c r="C610" s="411">
        <f t="shared" si="11"/>
        <v>596</v>
      </c>
      <c r="D610" s="443" t="s">
        <v>2202</v>
      </c>
      <c r="E610" s="412" t="s">
        <v>4198</v>
      </c>
      <c r="F610" s="912">
        <v>3.5957999999999997E-2</v>
      </c>
      <c r="G610" s="480">
        <v>2538.4744000000001</v>
      </c>
      <c r="H610" s="414">
        <v>487.2</v>
      </c>
      <c r="I610" s="413" t="s">
        <v>481</v>
      </c>
      <c r="J610" s="411">
        <v>1</v>
      </c>
      <c r="K610" s="411" t="s">
        <v>4168</v>
      </c>
      <c r="L610" s="482">
        <v>348</v>
      </c>
      <c r="M610" s="461" t="s">
        <v>2412</v>
      </c>
      <c r="N610" s="483">
        <v>67.071199999999919</v>
      </c>
      <c r="O610" s="483">
        <v>134.15400000000011</v>
      </c>
      <c r="P610" s="913" t="s">
        <v>2413</v>
      </c>
      <c r="Q610" s="484">
        <v>336.67839999999967</v>
      </c>
      <c r="R610" s="497"/>
    </row>
    <row r="611" spans="1:19" s="460" customFormat="1" ht="15" customHeight="1">
      <c r="A611" s="233">
        <v>597</v>
      </c>
      <c r="B611" s="413" t="s">
        <v>2723</v>
      </c>
      <c r="C611" s="411">
        <f t="shared" si="11"/>
        <v>597</v>
      </c>
      <c r="D611" s="443" t="s">
        <v>2202</v>
      </c>
      <c r="E611" s="412" t="s">
        <v>4191</v>
      </c>
      <c r="F611" s="912">
        <v>5.7638800000000004E-2</v>
      </c>
      <c r="G611" s="480">
        <v>2538.48</v>
      </c>
      <c r="H611" s="414">
        <v>487.2</v>
      </c>
      <c r="I611" s="413" t="s">
        <v>481</v>
      </c>
      <c r="J611" s="411">
        <v>1</v>
      </c>
      <c r="K611" s="411" t="s">
        <v>770</v>
      </c>
      <c r="L611" s="482">
        <v>348</v>
      </c>
      <c r="M611" s="461" t="s">
        <v>2412</v>
      </c>
      <c r="N611" s="483">
        <v>67.071199999999919</v>
      </c>
      <c r="O611" s="483">
        <v>134.15400000000011</v>
      </c>
      <c r="P611" s="913" t="s">
        <v>2413</v>
      </c>
      <c r="Q611" s="484">
        <v>336.67839999999967</v>
      </c>
      <c r="R611" s="804"/>
    </row>
    <row r="612" spans="1:19" ht="15" customHeight="1">
      <c r="A612" s="411">
        <v>598</v>
      </c>
      <c r="B612" s="413" t="s">
        <v>3202</v>
      </c>
      <c r="C612" s="411">
        <f t="shared" si="11"/>
        <v>598</v>
      </c>
      <c r="D612" s="443" t="s">
        <v>2202</v>
      </c>
      <c r="E612" s="412" t="s">
        <v>4192</v>
      </c>
      <c r="F612" s="912">
        <v>5.5738000000000003E-2</v>
      </c>
      <c r="G612" s="480">
        <v>2538.4744000000001</v>
      </c>
      <c r="H612" s="414">
        <v>487.2</v>
      </c>
      <c r="I612" s="413" t="s">
        <v>481</v>
      </c>
      <c r="J612" s="411">
        <v>1</v>
      </c>
      <c r="K612" s="411" t="s">
        <v>3231</v>
      </c>
      <c r="L612" s="482">
        <v>348</v>
      </c>
      <c r="M612" s="461" t="s">
        <v>2412</v>
      </c>
      <c r="N612" s="483">
        <v>67.071199999999919</v>
      </c>
      <c r="O612" s="483">
        <v>134.15400000000011</v>
      </c>
      <c r="P612" s="913" t="s">
        <v>2413</v>
      </c>
      <c r="Q612" s="484">
        <v>336.67839999999967</v>
      </c>
      <c r="R612" s="497"/>
    </row>
    <row r="613" spans="1:19" ht="15" customHeight="1">
      <c r="A613" s="411">
        <v>599</v>
      </c>
      <c r="B613" s="413" t="s">
        <v>2728</v>
      </c>
      <c r="C613" s="411">
        <f t="shared" si="11"/>
        <v>599</v>
      </c>
      <c r="D613" s="443" t="s">
        <v>2202</v>
      </c>
      <c r="E613" s="412" t="s">
        <v>4199</v>
      </c>
      <c r="F613" s="912">
        <v>5.2508800000000001E-2</v>
      </c>
      <c r="G613" s="480">
        <v>2538.48</v>
      </c>
      <c r="H613" s="414">
        <v>487.2</v>
      </c>
      <c r="I613" s="413" t="s">
        <v>481</v>
      </c>
      <c r="J613" s="411">
        <v>1</v>
      </c>
      <c r="K613" s="411" t="s">
        <v>774</v>
      </c>
      <c r="L613" s="482">
        <v>348</v>
      </c>
      <c r="M613" s="461" t="s">
        <v>2412</v>
      </c>
      <c r="N613" s="483">
        <v>67.071199999999919</v>
      </c>
      <c r="O613" s="483">
        <v>134.15400000000011</v>
      </c>
      <c r="P613" s="913" t="s">
        <v>2413</v>
      </c>
      <c r="Q613" s="484">
        <v>336.67839999999967</v>
      </c>
      <c r="R613" s="497"/>
    </row>
    <row r="614" spans="1:19" ht="15" customHeight="1">
      <c r="A614" s="233">
        <v>600</v>
      </c>
      <c r="B614" s="413" t="s">
        <v>3182</v>
      </c>
      <c r="C614" s="411">
        <f t="shared" si="11"/>
        <v>600</v>
      </c>
      <c r="D614" s="443" t="s">
        <v>2202</v>
      </c>
      <c r="E614" s="412" t="s">
        <v>4195</v>
      </c>
      <c r="F614" s="912">
        <v>3.64564E-2</v>
      </c>
      <c r="G614" s="480">
        <v>2538.48</v>
      </c>
      <c r="H614" s="414">
        <v>487.2</v>
      </c>
      <c r="I614" s="413" t="s">
        <v>481</v>
      </c>
      <c r="J614" s="411">
        <v>1</v>
      </c>
      <c r="K614" s="411" t="s">
        <v>3189</v>
      </c>
      <c r="L614" s="482">
        <v>348</v>
      </c>
      <c r="M614" s="461" t="s">
        <v>2412</v>
      </c>
      <c r="N614" s="483">
        <v>67.071199999999919</v>
      </c>
      <c r="O614" s="483">
        <v>134.15400000000011</v>
      </c>
      <c r="P614" s="913" t="s">
        <v>2413</v>
      </c>
      <c r="Q614" s="484">
        <v>336.67839999999967</v>
      </c>
      <c r="R614" s="497"/>
    </row>
    <row r="615" spans="1:19" ht="15" customHeight="1">
      <c r="A615" s="411">
        <v>601</v>
      </c>
      <c r="B615" s="413" t="s">
        <v>2724</v>
      </c>
      <c r="C615" s="411">
        <f t="shared" si="11"/>
        <v>601</v>
      </c>
      <c r="D615" s="443" t="s">
        <v>2202</v>
      </c>
      <c r="E615" s="412" t="s">
        <v>4193</v>
      </c>
      <c r="F615" s="912">
        <v>4.3301400000000004E-2</v>
      </c>
      <c r="G615" s="480">
        <v>2538.48</v>
      </c>
      <c r="H615" s="414">
        <v>487.2</v>
      </c>
      <c r="I615" s="413" t="s">
        <v>481</v>
      </c>
      <c r="J615" s="411">
        <v>1</v>
      </c>
      <c r="K615" s="411" t="s">
        <v>771</v>
      </c>
      <c r="L615" s="482">
        <v>348</v>
      </c>
      <c r="M615" s="461" t="s">
        <v>2412</v>
      </c>
      <c r="N615" s="483">
        <v>67.071199999999919</v>
      </c>
      <c r="O615" s="483">
        <v>134.15400000000011</v>
      </c>
      <c r="P615" s="913" t="s">
        <v>2413</v>
      </c>
      <c r="Q615" s="484">
        <v>336.67839999999967</v>
      </c>
      <c r="R615" s="497"/>
    </row>
    <row r="616" spans="1:19" s="460" customFormat="1" ht="15" customHeight="1">
      <c r="A616" s="411">
        <v>602</v>
      </c>
      <c r="B616" s="413" t="s">
        <v>2725</v>
      </c>
      <c r="C616" s="411">
        <f t="shared" si="11"/>
        <v>602</v>
      </c>
      <c r="D616" s="443" t="s">
        <v>2202</v>
      </c>
      <c r="E616" s="412" t="s">
        <v>4194</v>
      </c>
      <c r="F616" s="912">
        <v>3.64564E-2</v>
      </c>
      <c r="G616" s="480">
        <v>2538.48</v>
      </c>
      <c r="H616" s="414">
        <v>487.2</v>
      </c>
      <c r="I616" s="413" t="s">
        <v>481</v>
      </c>
      <c r="J616" s="411">
        <v>1</v>
      </c>
      <c r="K616" s="411" t="s">
        <v>772</v>
      </c>
      <c r="L616" s="482">
        <v>348</v>
      </c>
      <c r="M616" s="461" t="s">
        <v>2412</v>
      </c>
      <c r="N616" s="483">
        <v>67.071199999999919</v>
      </c>
      <c r="O616" s="483">
        <v>134.15400000000011</v>
      </c>
      <c r="P616" s="913" t="s">
        <v>2413</v>
      </c>
      <c r="Q616" s="484">
        <v>336.67839999999967</v>
      </c>
      <c r="R616" s="804"/>
      <c r="S616" s="415"/>
    </row>
    <row r="617" spans="1:19" s="460" customFormat="1" ht="15" customHeight="1">
      <c r="A617" s="233">
        <v>603</v>
      </c>
      <c r="B617" s="413" t="s">
        <v>2726</v>
      </c>
      <c r="C617" s="411">
        <f t="shared" si="11"/>
        <v>603</v>
      </c>
      <c r="D617" s="443" t="s">
        <v>2202</v>
      </c>
      <c r="E617" s="412" t="s">
        <v>4196</v>
      </c>
      <c r="F617" s="912">
        <v>4.3292400000000002E-2</v>
      </c>
      <c r="G617" s="480">
        <v>2538.48</v>
      </c>
      <c r="H617" s="414">
        <v>487.2</v>
      </c>
      <c r="I617" s="413" t="s">
        <v>481</v>
      </c>
      <c r="J617" s="411">
        <v>1</v>
      </c>
      <c r="K617" s="411" t="s">
        <v>773</v>
      </c>
      <c r="L617" s="482">
        <v>348</v>
      </c>
      <c r="M617" s="461" t="s">
        <v>2412</v>
      </c>
      <c r="N617" s="483">
        <v>67.071199999999919</v>
      </c>
      <c r="O617" s="483">
        <v>134.15400000000011</v>
      </c>
      <c r="P617" s="913" t="s">
        <v>2413</v>
      </c>
      <c r="Q617" s="484">
        <v>336.67839999999967</v>
      </c>
      <c r="R617" s="804"/>
      <c r="S617" s="415"/>
    </row>
    <row r="618" spans="1:19" s="460" customFormat="1" ht="15" customHeight="1">
      <c r="A618" s="411">
        <v>604</v>
      </c>
      <c r="B618" s="413" t="s">
        <v>2727</v>
      </c>
      <c r="C618" s="411">
        <f t="shared" si="11"/>
        <v>604</v>
      </c>
      <c r="D618" s="443" t="s">
        <v>2202</v>
      </c>
      <c r="E618" s="412" t="s">
        <v>4197</v>
      </c>
      <c r="F618" s="912">
        <v>3.2954999999999998E-2</v>
      </c>
      <c r="G618" s="480">
        <v>2538.4744000000001</v>
      </c>
      <c r="H618" s="414">
        <v>487.2</v>
      </c>
      <c r="I618" s="413" t="s">
        <v>481</v>
      </c>
      <c r="J618" s="411">
        <v>1</v>
      </c>
      <c r="K618" s="411" t="s">
        <v>2376</v>
      </c>
      <c r="L618" s="482">
        <v>348</v>
      </c>
      <c r="M618" s="461" t="s">
        <v>2412</v>
      </c>
      <c r="N618" s="483">
        <v>67.071199999999919</v>
      </c>
      <c r="O618" s="483">
        <v>134.15400000000011</v>
      </c>
      <c r="P618" s="913" t="s">
        <v>2413</v>
      </c>
      <c r="Q618" s="484">
        <v>336.67839999999967</v>
      </c>
      <c r="R618" s="804"/>
      <c r="S618" s="415"/>
    </row>
    <row r="619" spans="1:19" s="460" customFormat="1" ht="15" customHeight="1">
      <c r="A619" s="411">
        <v>605</v>
      </c>
      <c r="B619" s="413" t="s">
        <v>2729</v>
      </c>
      <c r="C619" s="411">
        <f t="shared" si="11"/>
        <v>605</v>
      </c>
      <c r="D619" s="443" t="s">
        <v>2202</v>
      </c>
      <c r="E619" s="412" t="s">
        <v>283</v>
      </c>
      <c r="F619" s="912">
        <v>4.8639700000000001E-2</v>
      </c>
      <c r="G619" s="480">
        <v>3463.0023344000001</v>
      </c>
      <c r="H619" s="414">
        <v>487.2</v>
      </c>
      <c r="I619" s="413" t="s">
        <v>533</v>
      </c>
      <c r="J619" s="411">
        <v>2</v>
      </c>
      <c r="K619" s="411" t="s">
        <v>775</v>
      </c>
      <c r="L619" s="482">
        <v>348</v>
      </c>
      <c r="M619" s="461" t="s">
        <v>2412</v>
      </c>
      <c r="N619" s="483">
        <v>121.62599999999989</v>
      </c>
      <c r="O619" s="483">
        <v>243.24040000000008</v>
      </c>
      <c r="P619" s="913" t="s">
        <v>2413</v>
      </c>
      <c r="Q619" s="484">
        <v>336.67839999999967</v>
      </c>
      <c r="R619" s="804"/>
      <c r="S619" s="415"/>
    </row>
    <row r="620" spans="1:19" s="460" customFormat="1" ht="15" customHeight="1">
      <c r="A620" s="233">
        <v>606</v>
      </c>
      <c r="B620" s="413" t="s">
        <v>2730</v>
      </c>
      <c r="C620" s="411">
        <f t="shared" si="11"/>
        <v>606</v>
      </c>
      <c r="D620" s="443" t="s">
        <v>2202</v>
      </c>
      <c r="E620" s="412" t="s">
        <v>284</v>
      </c>
      <c r="F620" s="912">
        <v>5.2398100000000003E-2</v>
      </c>
      <c r="G620" s="480">
        <v>2538.48</v>
      </c>
      <c r="H620" s="414">
        <v>487.2</v>
      </c>
      <c r="I620" s="413" t="s">
        <v>481</v>
      </c>
      <c r="J620" s="411">
        <v>1</v>
      </c>
      <c r="K620" s="411" t="s">
        <v>776</v>
      </c>
      <c r="L620" s="482">
        <v>348</v>
      </c>
      <c r="M620" s="461" t="s">
        <v>2412</v>
      </c>
      <c r="N620" s="483">
        <v>67.071199999999919</v>
      </c>
      <c r="O620" s="483">
        <v>134.15400000000011</v>
      </c>
      <c r="P620" s="913" t="s">
        <v>2413</v>
      </c>
      <c r="Q620" s="484">
        <v>336.67839999999967</v>
      </c>
      <c r="R620" s="804"/>
      <c r="S620" s="415"/>
    </row>
    <row r="621" spans="1:19" s="460" customFormat="1" ht="15" customHeight="1">
      <c r="A621" s="411">
        <v>607</v>
      </c>
      <c r="B621" s="413" t="s">
        <v>2731</v>
      </c>
      <c r="C621" s="411">
        <f t="shared" si="11"/>
        <v>607</v>
      </c>
      <c r="D621" s="443" t="s">
        <v>2202</v>
      </c>
      <c r="E621" s="412" t="s">
        <v>285</v>
      </c>
      <c r="F621" s="912">
        <v>5.2398100000000003E-2</v>
      </c>
      <c r="G621" s="480">
        <v>2538.48</v>
      </c>
      <c r="H621" s="414">
        <v>487.2</v>
      </c>
      <c r="I621" s="413" t="s">
        <v>481</v>
      </c>
      <c r="J621" s="411">
        <v>1</v>
      </c>
      <c r="K621" s="411" t="s">
        <v>777</v>
      </c>
      <c r="L621" s="482">
        <v>348</v>
      </c>
      <c r="M621" s="461" t="s">
        <v>2412</v>
      </c>
      <c r="N621" s="483">
        <v>67.071199999999919</v>
      </c>
      <c r="O621" s="483">
        <v>134.15400000000011</v>
      </c>
      <c r="P621" s="913" t="s">
        <v>2413</v>
      </c>
      <c r="Q621" s="484">
        <v>336.67839999999967</v>
      </c>
      <c r="R621" s="804"/>
      <c r="S621" s="415"/>
    </row>
    <row r="622" spans="1:19" s="460" customFormat="1" ht="15" customHeight="1">
      <c r="A622" s="411">
        <v>608</v>
      </c>
      <c r="B622" s="413" t="s">
        <v>2732</v>
      </c>
      <c r="C622" s="411">
        <f t="shared" si="11"/>
        <v>608</v>
      </c>
      <c r="D622" s="443" t="s">
        <v>2202</v>
      </c>
      <c r="E622" s="412" t="s">
        <v>286</v>
      </c>
      <c r="F622" s="912">
        <v>4.8639700000000001E-2</v>
      </c>
      <c r="G622" s="480">
        <v>3463.0023344000001</v>
      </c>
      <c r="H622" s="414">
        <v>487.2</v>
      </c>
      <c r="I622" s="413" t="s">
        <v>533</v>
      </c>
      <c r="J622" s="411">
        <v>2</v>
      </c>
      <c r="K622" s="411" t="s">
        <v>778</v>
      </c>
      <c r="L622" s="482">
        <v>348</v>
      </c>
      <c r="M622" s="461" t="s">
        <v>2412</v>
      </c>
      <c r="N622" s="483">
        <v>121.62599999999989</v>
      </c>
      <c r="O622" s="483">
        <v>243.24040000000008</v>
      </c>
      <c r="P622" s="913" t="s">
        <v>2413</v>
      </c>
      <c r="Q622" s="484">
        <v>336.67839999999967</v>
      </c>
      <c r="R622" s="804"/>
      <c r="S622" s="415"/>
    </row>
    <row r="623" spans="1:19" s="460" customFormat="1" ht="15" customHeight="1">
      <c r="A623" s="233">
        <v>609</v>
      </c>
      <c r="B623" s="413" t="s">
        <v>2733</v>
      </c>
      <c r="C623" s="411">
        <f t="shared" si="11"/>
        <v>609</v>
      </c>
      <c r="D623" s="443" t="s">
        <v>2202</v>
      </c>
      <c r="E623" s="412" t="s">
        <v>287</v>
      </c>
      <c r="F623" s="912">
        <v>5.2398100000000003E-2</v>
      </c>
      <c r="G623" s="480">
        <v>2538.48</v>
      </c>
      <c r="H623" s="414">
        <v>487.2</v>
      </c>
      <c r="I623" s="413" t="s">
        <v>481</v>
      </c>
      <c r="J623" s="411">
        <v>1</v>
      </c>
      <c r="K623" s="411" t="s">
        <v>779</v>
      </c>
      <c r="L623" s="482">
        <v>348</v>
      </c>
      <c r="M623" s="461" t="s">
        <v>2412</v>
      </c>
      <c r="N623" s="483">
        <v>67.071199999999919</v>
      </c>
      <c r="O623" s="483">
        <v>134.15400000000011</v>
      </c>
      <c r="P623" s="913" t="s">
        <v>2413</v>
      </c>
      <c r="Q623" s="484">
        <v>336.67839999999967</v>
      </c>
      <c r="R623" s="804"/>
      <c r="S623" s="415"/>
    </row>
    <row r="624" spans="1:19" s="460" customFormat="1" ht="15" customHeight="1">
      <c r="A624" s="411">
        <v>610</v>
      </c>
      <c r="B624" s="413" t="s">
        <v>2734</v>
      </c>
      <c r="C624" s="411">
        <f t="shared" si="11"/>
        <v>610</v>
      </c>
      <c r="D624" s="443" t="s">
        <v>2202</v>
      </c>
      <c r="E624" s="412" t="s">
        <v>288</v>
      </c>
      <c r="F624" s="912">
        <v>4.8639700000000001E-2</v>
      </c>
      <c r="G624" s="480">
        <v>3463.0023344000001</v>
      </c>
      <c r="H624" s="414">
        <v>487.2</v>
      </c>
      <c r="I624" s="413" t="s">
        <v>533</v>
      </c>
      <c r="J624" s="411">
        <v>2</v>
      </c>
      <c r="K624" s="411" t="s">
        <v>780</v>
      </c>
      <c r="L624" s="482">
        <v>348</v>
      </c>
      <c r="M624" s="461" t="s">
        <v>2412</v>
      </c>
      <c r="N624" s="483">
        <v>121.62599999999989</v>
      </c>
      <c r="O624" s="483">
        <v>243.24040000000008</v>
      </c>
      <c r="P624" s="913" t="s">
        <v>2413</v>
      </c>
      <c r="Q624" s="484">
        <v>336.67839999999967</v>
      </c>
      <c r="R624" s="804"/>
      <c r="S624" s="415"/>
    </row>
    <row r="625" spans="1:19" s="460" customFormat="1" ht="15" customHeight="1">
      <c r="A625" s="411">
        <v>611</v>
      </c>
      <c r="B625" s="413" t="s">
        <v>4867</v>
      </c>
      <c r="C625" s="411">
        <f t="shared" si="11"/>
        <v>611</v>
      </c>
      <c r="D625" s="443" t="s">
        <v>2202</v>
      </c>
      <c r="E625" s="412" t="s">
        <v>4898</v>
      </c>
      <c r="F625" s="912">
        <v>4.8640000000000003E-2</v>
      </c>
      <c r="G625" s="480">
        <v>3463</v>
      </c>
      <c r="H625" s="414">
        <v>487.2</v>
      </c>
      <c r="I625" s="413" t="s">
        <v>533</v>
      </c>
      <c r="J625" s="411">
        <v>2</v>
      </c>
      <c r="K625" s="411" t="s">
        <v>4926</v>
      </c>
      <c r="L625" s="482">
        <v>348</v>
      </c>
      <c r="M625" s="461" t="s">
        <v>2412</v>
      </c>
      <c r="N625" s="483">
        <v>121.62599999999989</v>
      </c>
      <c r="O625" s="483">
        <v>243.24040000000008</v>
      </c>
      <c r="P625" s="913" t="s">
        <v>2413</v>
      </c>
      <c r="Q625" s="484">
        <v>336.67839999999967</v>
      </c>
      <c r="R625" s="804"/>
      <c r="S625" s="415"/>
    </row>
    <row r="626" spans="1:19" ht="15" customHeight="1">
      <c r="A626" s="233">
        <v>612</v>
      </c>
      <c r="B626" s="413" t="s">
        <v>4124</v>
      </c>
      <c r="C626" s="411">
        <f t="shared" si="11"/>
        <v>612</v>
      </c>
      <c r="D626" s="443" t="s">
        <v>2202</v>
      </c>
      <c r="E626" s="412" t="s">
        <v>4125</v>
      </c>
      <c r="F626" s="912">
        <v>4.1871799999999994E-2</v>
      </c>
      <c r="G626" s="480">
        <v>2538.48</v>
      </c>
      <c r="H626" s="414">
        <v>487.2</v>
      </c>
      <c r="I626" s="413" t="s">
        <v>481</v>
      </c>
      <c r="J626" s="411">
        <v>1</v>
      </c>
      <c r="K626" s="411" t="s">
        <v>4126</v>
      </c>
      <c r="L626" s="482">
        <v>348</v>
      </c>
      <c r="M626" s="461" t="s">
        <v>2412</v>
      </c>
      <c r="N626" s="483">
        <v>67.071199999999919</v>
      </c>
      <c r="O626" s="483">
        <v>134.15400000000011</v>
      </c>
      <c r="P626" s="913" t="s">
        <v>2413</v>
      </c>
      <c r="Q626" s="484">
        <v>336.67839999999967</v>
      </c>
      <c r="R626" s="497"/>
    </row>
    <row r="627" spans="1:19" ht="15" customHeight="1">
      <c r="A627" s="411">
        <v>613</v>
      </c>
      <c r="B627" s="413" t="s">
        <v>2735</v>
      </c>
      <c r="C627" s="411">
        <f t="shared" si="11"/>
        <v>613</v>
      </c>
      <c r="D627" s="443" t="s">
        <v>2202</v>
      </c>
      <c r="E627" s="412" t="s">
        <v>289</v>
      </c>
      <c r="F627" s="912">
        <v>3.9067999999999999E-2</v>
      </c>
      <c r="G627" s="480">
        <v>2538.4744000000001</v>
      </c>
      <c r="H627" s="414">
        <v>487.2</v>
      </c>
      <c r="I627" s="413" t="s">
        <v>481</v>
      </c>
      <c r="J627" s="411">
        <v>1</v>
      </c>
      <c r="K627" s="411" t="s">
        <v>781</v>
      </c>
      <c r="L627" s="482">
        <v>348</v>
      </c>
      <c r="M627" s="461" t="s">
        <v>2412</v>
      </c>
      <c r="N627" s="483">
        <v>67.071199999999919</v>
      </c>
      <c r="O627" s="483">
        <v>134.15400000000011</v>
      </c>
      <c r="P627" s="913" t="s">
        <v>2413</v>
      </c>
      <c r="Q627" s="484">
        <v>336.67839999999967</v>
      </c>
      <c r="R627" s="497"/>
    </row>
    <row r="628" spans="1:19" ht="15" customHeight="1">
      <c r="A628" s="411">
        <v>614</v>
      </c>
      <c r="B628" s="413" t="s">
        <v>2736</v>
      </c>
      <c r="C628" s="411">
        <f t="shared" si="11"/>
        <v>614</v>
      </c>
      <c r="D628" s="443" t="s">
        <v>2203</v>
      </c>
      <c r="E628" s="412" t="s">
        <v>290</v>
      </c>
      <c r="F628" s="912">
        <v>4.8639700000000001E-2</v>
      </c>
      <c r="G628" s="480">
        <v>3463.0023344000001</v>
      </c>
      <c r="H628" s="414">
        <v>487.2</v>
      </c>
      <c r="I628" s="413" t="s">
        <v>533</v>
      </c>
      <c r="J628" s="411">
        <v>2</v>
      </c>
      <c r="K628" s="411" t="s">
        <v>782</v>
      </c>
      <c r="L628" s="482">
        <v>348</v>
      </c>
      <c r="M628" s="461" t="s">
        <v>2412</v>
      </c>
      <c r="N628" s="483">
        <v>121.62599999999989</v>
      </c>
      <c r="O628" s="483">
        <v>243.24040000000008</v>
      </c>
      <c r="P628" s="913" t="s">
        <v>2413</v>
      </c>
      <c r="Q628" s="484">
        <v>336.67839999999967</v>
      </c>
      <c r="R628" s="497"/>
    </row>
    <row r="629" spans="1:19" ht="15" customHeight="1">
      <c r="A629" s="233">
        <v>615</v>
      </c>
      <c r="B629" s="413" t="s">
        <v>2737</v>
      </c>
      <c r="C629" s="411">
        <f t="shared" si="11"/>
        <v>615</v>
      </c>
      <c r="D629" s="443" t="s">
        <v>2203</v>
      </c>
      <c r="E629" s="412" t="s">
        <v>291</v>
      </c>
      <c r="F629" s="912">
        <v>5.1864600000000004E-2</v>
      </c>
      <c r="G629" s="480">
        <v>3463.0023344000001</v>
      </c>
      <c r="H629" s="414">
        <v>487.2</v>
      </c>
      <c r="I629" s="413" t="s">
        <v>533</v>
      </c>
      <c r="J629" s="411">
        <v>2</v>
      </c>
      <c r="K629" s="411" t="s">
        <v>783</v>
      </c>
      <c r="L629" s="482">
        <v>348</v>
      </c>
      <c r="M629" s="461" t="s">
        <v>2412</v>
      </c>
      <c r="N629" s="483">
        <v>121.62599999999989</v>
      </c>
      <c r="O629" s="483">
        <v>243.24040000000008</v>
      </c>
      <c r="P629" s="913" t="s">
        <v>2413</v>
      </c>
      <c r="Q629" s="484">
        <v>336.67839999999967</v>
      </c>
      <c r="R629" s="497"/>
    </row>
    <row r="630" spans="1:19" ht="15" customHeight="1">
      <c r="A630" s="411">
        <v>616</v>
      </c>
      <c r="B630" s="413" t="s">
        <v>2738</v>
      </c>
      <c r="C630" s="411">
        <f t="shared" si="11"/>
        <v>616</v>
      </c>
      <c r="D630" s="443" t="s">
        <v>2203</v>
      </c>
      <c r="E630" s="412" t="s">
        <v>292</v>
      </c>
      <c r="F630" s="912">
        <v>4.8565799999999999E-2</v>
      </c>
      <c r="G630" s="480">
        <v>2538.48</v>
      </c>
      <c r="H630" s="414">
        <v>487.2</v>
      </c>
      <c r="I630" s="413" t="s">
        <v>481</v>
      </c>
      <c r="J630" s="411">
        <v>1</v>
      </c>
      <c r="K630" s="411" t="s">
        <v>784</v>
      </c>
      <c r="L630" s="482">
        <v>348</v>
      </c>
      <c r="M630" s="461" t="s">
        <v>2412</v>
      </c>
      <c r="N630" s="483">
        <v>67.071199999999919</v>
      </c>
      <c r="O630" s="483">
        <v>134.15400000000011</v>
      </c>
      <c r="P630" s="913" t="s">
        <v>2413</v>
      </c>
      <c r="Q630" s="484">
        <v>336.67839999999967</v>
      </c>
      <c r="R630" s="497"/>
    </row>
    <row r="631" spans="1:19" ht="15" customHeight="1">
      <c r="A631" s="411">
        <v>617</v>
      </c>
      <c r="B631" s="413" t="s">
        <v>2739</v>
      </c>
      <c r="C631" s="411">
        <f t="shared" si="11"/>
        <v>617</v>
      </c>
      <c r="D631" s="443" t="s">
        <v>2203</v>
      </c>
      <c r="E631" s="412" t="s">
        <v>293</v>
      </c>
      <c r="F631" s="912">
        <v>4.8639700000000001E-2</v>
      </c>
      <c r="G631" s="480">
        <v>3463.0023344000001</v>
      </c>
      <c r="H631" s="414">
        <v>487.2</v>
      </c>
      <c r="I631" s="413" t="s">
        <v>533</v>
      </c>
      <c r="J631" s="411">
        <v>2</v>
      </c>
      <c r="K631" s="411" t="s">
        <v>785</v>
      </c>
      <c r="L631" s="482">
        <v>348</v>
      </c>
      <c r="M631" s="461" t="s">
        <v>2412</v>
      </c>
      <c r="N631" s="483">
        <v>121.62599999999989</v>
      </c>
      <c r="O631" s="483">
        <v>243.24040000000008</v>
      </c>
      <c r="P631" s="913" t="s">
        <v>2413</v>
      </c>
      <c r="Q631" s="484">
        <v>336.67839999999967</v>
      </c>
      <c r="R631" s="497"/>
    </row>
    <row r="632" spans="1:19" ht="15" customHeight="1">
      <c r="A632" s="233">
        <v>618</v>
      </c>
      <c r="B632" s="413" t="s">
        <v>2740</v>
      </c>
      <c r="C632" s="411">
        <f t="shared" si="11"/>
        <v>618</v>
      </c>
      <c r="D632" s="443" t="s">
        <v>2203</v>
      </c>
      <c r="E632" s="412" t="s">
        <v>294</v>
      </c>
      <c r="F632" s="912">
        <v>5.1864600000000004E-2</v>
      </c>
      <c r="G632" s="480">
        <v>3463.0023344000001</v>
      </c>
      <c r="H632" s="414">
        <v>487.2</v>
      </c>
      <c r="I632" s="413" t="s">
        <v>533</v>
      </c>
      <c r="J632" s="411">
        <v>2</v>
      </c>
      <c r="K632" s="411" t="s">
        <v>786</v>
      </c>
      <c r="L632" s="482">
        <v>348</v>
      </c>
      <c r="M632" s="461" t="s">
        <v>2412</v>
      </c>
      <c r="N632" s="483">
        <v>121.62599999999989</v>
      </c>
      <c r="O632" s="483">
        <v>243.24040000000008</v>
      </c>
      <c r="P632" s="913" t="s">
        <v>2413</v>
      </c>
      <c r="Q632" s="484">
        <v>336.67839999999967</v>
      </c>
      <c r="R632" s="497"/>
    </row>
    <row r="633" spans="1:19" ht="15" customHeight="1">
      <c r="A633" s="411">
        <v>619</v>
      </c>
      <c r="B633" s="413" t="s">
        <v>5150</v>
      </c>
      <c r="C633" s="411">
        <f t="shared" si="11"/>
        <v>619</v>
      </c>
      <c r="D633" s="443" t="s">
        <v>2204</v>
      </c>
      <c r="E633" s="412" t="s">
        <v>10974</v>
      </c>
      <c r="F633" s="912">
        <v>3.6269999999999997E-2</v>
      </c>
      <c r="G633" s="480">
        <v>2538.48</v>
      </c>
      <c r="H633" s="414">
        <v>487.2</v>
      </c>
      <c r="I633" s="413" t="s">
        <v>481</v>
      </c>
      <c r="J633" s="411">
        <v>1</v>
      </c>
      <c r="K633" s="411" t="s">
        <v>5151</v>
      </c>
      <c r="L633" s="482">
        <v>348</v>
      </c>
      <c r="M633" s="461" t="s">
        <v>2412</v>
      </c>
      <c r="N633" s="483">
        <v>67.071199999999919</v>
      </c>
      <c r="O633" s="483">
        <v>134.154</v>
      </c>
      <c r="P633" s="913" t="s">
        <v>2413</v>
      </c>
      <c r="Q633" s="484">
        <v>336.67840000000001</v>
      </c>
      <c r="R633" s="497"/>
    </row>
    <row r="634" spans="1:19" ht="15" customHeight="1">
      <c r="A634" s="411">
        <v>620</v>
      </c>
      <c r="B634" s="413" t="s">
        <v>5648</v>
      </c>
      <c r="C634" s="411">
        <f t="shared" si="11"/>
        <v>620</v>
      </c>
      <c r="D634" s="443" t="s">
        <v>2204</v>
      </c>
      <c r="E634" s="412" t="s">
        <v>5697</v>
      </c>
      <c r="F634" s="912">
        <v>3.6269999999999997E-2</v>
      </c>
      <c r="G634" s="480">
        <v>2538.48</v>
      </c>
      <c r="H634" s="414">
        <v>487.2</v>
      </c>
      <c r="I634" s="413" t="s">
        <v>481</v>
      </c>
      <c r="J634" s="411">
        <v>1</v>
      </c>
      <c r="K634" s="411" t="s">
        <v>5722</v>
      </c>
      <c r="L634" s="482">
        <v>348</v>
      </c>
      <c r="M634" s="461" t="s">
        <v>2412</v>
      </c>
      <c r="N634" s="483">
        <v>67.071199999999919</v>
      </c>
      <c r="O634" s="483">
        <v>134.15399999999985</v>
      </c>
      <c r="P634" s="913" t="s">
        <v>2413</v>
      </c>
      <c r="Q634" s="484">
        <v>336.67840000000001</v>
      </c>
      <c r="R634" s="497"/>
    </row>
    <row r="635" spans="1:19" ht="15" customHeight="1">
      <c r="A635" s="233">
        <v>621</v>
      </c>
      <c r="B635" s="413" t="s">
        <v>2741</v>
      </c>
      <c r="C635" s="411">
        <f t="shared" si="11"/>
        <v>621</v>
      </c>
      <c r="D635" s="443" t="s">
        <v>2204</v>
      </c>
      <c r="E635" s="412" t="s">
        <v>295</v>
      </c>
      <c r="F635" s="912">
        <v>3.62701E-2</v>
      </c>
      <c r="G635" s="480">
        <v>2538.48</v>
      </c>
      <c r="H635" s="414">
        <v>487.2</v>
      </c>
      <c r="I635" s="413" t="s">
        <v>481</v>
      </c>
      <c r="J635" s="411">
        <v>1</v>
      </c>
      <c r="K635" s="411" t="s">
        <v>788</v>
      </c>
      <c r="L635" s="482">
        <v>348</v>
      </c>
      <c r="M635" s="461" t="s">
        <v>2412</v>
      </c>
      <c r="N635" s="483">
        <v>67.071199999999919</v>
      </c>
      <c r="O635" s="483">
        <v>134.15400000000011</v>
      </c>
      <c r="P635" s="913" t="s">
        <v>2413</v>
      </c>
      <c r="Q635" s="484">
        <v>336.67839999999967</v>
      </c>
      <c r="R635" s="497"/>
    </row>
    <row r="636" spans="1:19" ht="15" customHeight="1">
      <c r="A636" s="411">
        <v>622</v>
      </c>
      <c r="B636" s="413" t="s">
        <v>3437</v>
      </c>
      <c r="C636" s="411">
        <f t="shared" si="11"/>
        <v>622</v>
      </c>
      <c r="D636" s="443" t="s">
        <v>2204</v>
      </c>
      <c r="E636" s="412" t="s">
        <v>3607</v>
      </c>
      <c r="F636" s="912">
        <v>3.62701E-2</v>
      </c>
      <c r="G636" s="480">
        <v>2538.48</v>
      </c>
      <c r="H636" s="414">
        <v>487.2</v>
      </c>
      <c r="I636" s="413" t="s">
        <v>481</v>
      </c>
      <c r="J636" s="411">
        <v>1</v>
      </c>
      <c r="K636" s="411" t="s">
        <v>3525</v>
      </c>
      <c r="L636" s="482">
        <v>348</v>
      </c>
      <c r="M636" s="461" t="s">
        <v>2412</v>
      </c>
      <c r="N636" s="483">
        <v>67.071199999999919</v>
      </c>
      <c r="O636" s="483">
        <v>134.15400000000011</v>
      </c>
      <c r="P636" s="913" t="s">
        <v>2413</v>
      </c>
      <c r="Q636" s="484">
        <v>336.67839999999967</v>
      </c>
      <c r="R636" s="497"/>
    </row>
    <row r="637" spans="1:19" ht="15" customHeight="1">
      <c r="A637" s="411">
        <v>623</v>
      </c>
      <c r="B637" s="413" t="s">
        <v>2742</v>
      </c>
      <c r="C637" s="411">
        <f t="shared" si="11"/>
        <v>623</v>
      </c>
      <c r="D637" s="443" t="s">
        <v>2204</v>
      </c>
      <c r="E637" s="412" t="s">
        <v>296</v>
      </c>
      <c r="F637" s="912">
        <v>3.62701E-2</v>
      </c>
      <c r="G637" s="480">
        <v>2538.48</v>
      </c>
      <c r="H637" s="414">
        <v>487.2</v>
      </c>
      <c r="I637" s="413" t="s">
        <v>481</v>
      </c>
      <c r="J637" s="411">
        <v>1</v>
      </c>
      <c r="K637" s="411" t="s">
        <v>789</v>
      </c>
      <c r="L637" s="482">
        <v>348</v>
      </c>
      <c r="M637" s="461" t="s">
        <v>2412</v>
      </c>
      <c r="N637" s="483">
        <v>67.071199999999919</v>
      </c>
      <c r="O637" s="483">
        <v>134.15400000000011</v>
      </c>
      <c r="P637" s="913" t="s">
        <v>2413</v>
      </c>
      <c r="Q637" s="484">
        <v>336.67839999999967</v>
      </c>
      <c r="R637" s="497"/>
    </row>
    <row r="638" spans="1:19" ht="15" customHeight="1">
      <c r="A638" s="233">
        <v>624</v>
      </c>
      <c r="B638" s="413" t="s">
        <v>3260</v>
      </c>
      <c r="C638" s="411">
        <f t="shared" si="11"/>
        <v>624</v>
      </c>
      <c r="D638" s="443" t="s">
        <v>2204</v>
      </c>
      <c r="E638" s="412" t="s">
        <v>2204</v>
      </c>
      <c r="F638" s="912">
        <v>3.62701E-2</v>
      </c>
      <c r="G638" s="480">
        <v>2538.48</v>
      </c>
      <c r="H638" s="414">
        <v>487.2</v>
      </c>
      <c r="I638" s="413" t="s">
        <v>481</v>
      </c>
      <c r="J638" s="411">
        <v>1</v>
      </c>
      <c r="K638" s="411" t="s">
        <v>787</v>
      </c>
      <c r="L638" s="482">
        <v>348</v>
      </c>
      <c r="M638" s="461" t="s">
        <v>2412</v>
      </c>
      <c r="N638" s="483">
        <v>67.071199999999919</v>
      </c>
      <c r="O638" s="483">
        <v>134.15400000000011</v>
      </c>
      <c r="P638" s="913" t="s">
        <v>2413</v>
      </c>
      <c r="Q638" s="484">
        <v>336.67839999999967</v>
      </c>
      <c r="R638" s="497"/>
    </row>
    <row r="639" spans="1:19" ht="15" customHeight="1">
      <c r="A639" s="411">
        <v>625</v>
      </c>
      <c r="B639" s="413" t="s">
        <v>2743</v>
      </c>
      <c r="C639" s="411">
        <f t="shared" si="11"/>
        <v>625</v>
      </c>
      <c r="D639" s="443" t="s">
        <v>2205</v>
      </c>
      <c r="E639" s="412" t="s">
        <v>297</v>
      </c>
      <c r="F639" s="912">
        <v>4.2815000000000006E-2</v>
      </c>
      <c r="G639" s="480">
        <v>2538.48</v>
      </c>
      <c r="H639" s="414">
        <v>487.2</v>
      </c>
      <c r="I639" s="413" t="s">
        <v>481</v>
      </c>
      <c r="J639" s="411">
        <v>1</v>
      </c>
      <c r="K639" s="411" t="s">
        <v>790</v>
      </c>
      <c r="L639" s="482">
        <v>348</v>
      </c>
      <c r="M639" s="461" t="s">
        <v>2412</v>
      </c>
      <c r="N639" s="483">
        <v>67.071199999999919</v>
      </c>
      <c r="O639" s="483">
        <v>134.15400000000011</v>
      </c>
      <c r="P639" s="913" t="s">
        <v>2413</v>
      </c>
      <c r="Q639" s="484">
        <v>336.67839999999967</v>
      </c>
      <c r="R639" s="497"/>
    </row>
    <row r="640" spans="1:19" ht="15" customHeight="1">
      <c r="A640" s="411">
        <v>626</v>
      </c>
      <c r="B640" s="413" t="s">
        <v>2744</v>
      </c>
      <c r="C640" s="411">
        <f t="shared" si="11"/>
        <v>626</v>
      </c>
      <c r="D640" s="443" t="s">
        <v>2205</v>
      </c>
      <c r="E640" s="412" t="s">
        <v>2377</v>
      </c>
      <c r="F640" s="912">
        <v>3.89457E-2</v>
      </c>
      <c r="G640" s="480">
        <v>2538.48</v>
      </c>
      <c r="H640" s="414">
        <v>487.2</v>
      </c>
      <c r="I640" s="413" t="s">
        <v>481</v>
      </c>
      <c r="J640" s="411">
        <v>1</v>
      </c>
      <c r="K640" s="411" t="s">
        <v>2378</v>
      </c>
      <c r="L640" s="482">
        <v>348</v>
      </c>
      <c r="M640" s="461" t="s">
        <v>2412</v>
      </c>
      <c r="N640" s="483">
        <v>67.071199999999919</v>
      </c>
      <c r="O640" s="483">
        <v>134.15400000000011</v>
      </c>
      <c r="P640" s="913" t="s">
        <v>2413</v>
      </c>
      <c r="Q640" s="484">
        <v>336.67839999999967</v>
      </c>
      <c r="R640" s="497"/>
    </row>
    <row r="641" spans="1:18" ht="15" customHeight="1">
      <c r="A641" s="233">
        <v>627</v>
      </c>
      <c r="B641" s="413" t="s">
        <v>2745</v>
      </c>
      <c r="C641" s="411">
        <f t="shared" si="11"/>
        <v>627</v>
      </c>
      <c r="D641" s="443" t="s">
        <v>2205</v>
      </c>
      <c r="E641" s="412" t="s">
        <v>298</v>
      </c>
      <c r="F641" s="912">
        <v>2.9693600000000001E-2</v>
      </c>
      <c r="G641" s="480">
        <v>2538.48</v>
      </c>
      <c r="H641" s="414">
        <v>487.2</v>
      </c>
      <c r="I641" s="413" t="s">
        <v>481</v>
      </c>
      <c r="J641" s="411">
        <v>1</v>
      </c>
      <c r="K641" s="411" t="s">
        <v>791</v>
      </c>
      <c r="L641" s="482">
        <v>348</v>
      </c>
      <c r="M641" s="461" t="s">
        <v>2412</v>
      </c>
      <c r="N641" s="483">
        <v>67.071199999999919</v>
      </c>
      <c r="O641" s="483">
        <v>134.15400000000011</v>
      </c>
      <c r="P641" s="913" t="s">
        <v>2413</v>
      </c>
      <c r="Q641" s="484">
        <v>336.67839999999967</v>
      </c>
      <c r="R641" s="497"/>
    </row>
    <row r="642" spans="1:18" ht="15" customHeight="1">
      <c r="A642" s="411">
        <v>628</v>
      </c>
      <c r="B642" s="413" t="s">
        <v>2746</v>
      </c>
      <c r="C642" s="411">
        <f t="shared" si="11"/>
        <v>628</v>
      </c>
      <c r="D642" s="443" t="s">
        <v>2205</v>
      </c>
      <c r="E642" s="412" t="s">
        <v>299</v>
      </c>
      <c r="F642" s="912">
        <v>4.8639700000000001E-2</v>
      </c>
      <c r="G642" s="480">
        <v>3463.0023344000001</v>
      </c>
      <c r="H642" s="414">
        <v>487.2</v>
      </c>
      <c r="I642" s="413" t="s">
        <v>533</v>
      </c>
      <c r="J642" s="411">
        <v>2</v>
      </c>
      <c r="K642" s="411" t="s">
        <v>792</v>
      </c>
      <c r="L642" s="482">
        <v>348</v>
      </c>
      <c r="M642" s="461" t="s">
        <v>2412</v>
      </c>
      <c r="N642" s="483">
        <v>121.62599999999989</v>
      </c>
      <c r="O642" s="483">
        <v>243.24040000000008</v>
      </c>
      <c r="P642" s="913" t="s">
        <v>2413</v>
      </c>
      <c r="Q642" s="484">
        <v>336.67839999999967</v>
      </c>
      <c r="R642" s="497"/>
    </row>
    <row r="643" spans="1:18" ht="15" customHeight="1">
      <c r="A643" s="411">
        <v>629</v>
      </c>
      <c r="B643" s="413" t="s">
        <v>2747</v>
      </c>
      <c r="C643" s="411">
        <f t="shared" si="11"/>
        <v>629</v>
      </c>
      <c r="D643" s="443" t="s">
        <v>2205</v>
      </c>
      <c r="E643" s="412" t="s">
        <v>300</v>
      </c>
      <c r="F643" s="912">
        <v>3.9627599999999999E-2</v>
      </c>
      <c r="G643" s="480">
        <v>2538.48</v>
      </c>
      <c r="H643" s="414">
        <v>487.2</v>
      </c>
      <c r="I643" s="413" t="s">
        <v>481</v>
      </c>
      <c r="J643" s="411">
        <v>1</v>
      </c>
      <c r="K643" s="411" t="s">
        <v>793</v>
      </c>
      <c r="L643" s="482">
        <v>348</v>
      </c>
      <c r="M643" s="461" t="s">
        <v>2412</v>
      </c>
      <c r="N643" s="483">
        <v>67.071199999999919</v>
      </c>
      <c r="O643" s="483">
        <v>134.15400000000011</v>
      </c>
      <c r="P643" s="913" t="s">
        <v>2413</v>
      </c>
      <c r="Q643" s="484">
        <v>336.67839999999967</v>
      </c>
      <c r="R643" s="497"/>
    </row>
    <row r="644" spans="1:18" ht="15" customHeight="1">
      <c r="A644" s="233">
        <v>630</v>
      </c>
      <c r="B644" s="413" t="s">
        <v>2748</v>
      </c>
      <c r="C644" s="411">
        <f t="shared" si="11"/>
        <v>630</v>
      </c>
      <c r="D644" s="443" t="s">
        <v>2205</v>
      </c>
      <c r="E644" s="412" t="s">
        <v>301</v>
      </c>
      <c r="F644" s="912">
        <v>3.9243699999999999E-2</v>
      </c>
      <c r="G644" s="480">
        <v>2538.48</v>
      </c>
      <c r="H644" s="414">
        <v>487.2</v>
      </c>
      <c r="I644" s="413" t="s">
        <v>481</v>
      </c>
      <c r="J644" s="411">
        <v>1</v>
      </c>
      <c r="K644" s="411" t="s">
        <v>794</v>
      </c>
      <c r="L644" s="482">
        <v>348</v>
      </c>
      <c r="M644" s="461" t="s">
        <v>2412</v>
      </c>
      <c r="N644" s="483">
        <v>67.071199999999919</v>
      </c>
      <c r="O644" s="483">
        <v>134.15400000000011</v>
      </c>
      <c r="P644" s="913" t="s">
        <v>2413</v>
      </c>
      <c r="Q644" s="484">
        <v>336.67839999999967</v>
      </c>
      <c r="R644" s="497"/>
    </row>
    <row r="645" spans="1:18" ht="15" customHeight="1">
      <c r="A645" s="411">
        <v>631</v>
      </c>
      <c r="B645" s="413" t="s">
        <v>4159</v>
      </c>
      <c r="C645" s="411">
        <f t="shared" si="11"/>
        <v>631</v>
      </c>
      <c r="D645" s="443" t="s">
        <v>2205</v>
      </c>
      <c r="E645" s="412" t="s">
        <v>4164</v>
      </c>
      <c r="F645" s="912">
        <v>3.84199E-2</v>
      </c>
      <c r="G645" s="480">
        <v>2538.48</v>
      </c>
      <c r="H645" s="414">
        <v>487.2</v>
      </c>
      <c r="I645" s="413" t="s">
        <v>481</v>
      </c>
      <c r="J645" s="411">
        <v>1</v>
      </c>
      <c r="K645" s="411" t="s">
        <v>4169</v>
      </c>
      <c r="L645" s="482">
        <v>348</v>
      </c>
      <c r="M645" s="461" t="s">
        <v>2412</v>
      </c>
      <c r="N645" s="483">
        <v>67.071199999999919</v>
      </c>
      <c r="O645" s="483">
        <v>134.15400000000011</v>
      </c>
      <c r="P645" s="913" t="s">
        <v>2413</v>
      </c>
      <c r="Q645" s="484">
        <v>336.67839999999967</v>
      </c>
      <c r="R645" s="497"/>
    </row>
    <row r="646" spans="1:18" ht="15" customHeight="1">
      <c r="A646" s="411">
        <v>632</v>
      </c>
      <c r="B646" s="413" t="s">
        <v>2749</v>
      </c>
      <c r="C646" s="411">
        <f t="shared" si="11"/>
        <v>632</v>
      </c>
      <c r="D646" s="443" t="s">
        <v>2205</v>
      </c>
      <c r="E646" s="412" t="s">
        <v>302</v>
      </c>
      <c r="F646" s="912">
        <v>3.3987400000000001E-2</v>
      </c>
      <c r="G646" s="480">
        <v>2538.48</v>
      </c>
      <c r="H646" s="414">
        <v>487.2</v>
      </c>
      <c r="I646" s="413" t="s">
        <v>481</v>
      </c>
      <c r="J646" s="411">
        <v>1</v>
      </c>
      <c r="K646" s="411" t="s">
        <v>795</v>
      </c>
      <c r="L646" s="482">
        <v>348</v>
      </c>
      <c r="M646" s="461" t="s">
        <v>2412</v>
      </c>
      <c r="N646" s="483">
        <v>67.071199999999919</v>
      </c>
      <c r="O646" s="483">
        <v>134.15400000000011</v>
      </c>
      <c r="P646" s="913" t="s">
        <v>2413</v>
      </c>
      <c r="Q646" s="484">
        <v>336.67839999999967</v>
      </c>
      <c r="R646" s="497"/>
    </row>
    <row r="647" spans="1:18" ht="15" customHeight="1">
      <c r="A647" s="233">
        <v>633</v>
      </c>
      <c r="B647" s="413" t="s">
        <v>2750</v>
      </c>
      <c r="C647" s="411">
        <f t="shared" si="11"/>
        <v>633</v>
      </c>
      <c r="D647" s="443" t="s">
        <v>2205</v>
      </c>
      <c r="E647" s="412" t="s">
        <v>303</v>
      </c>
      <c r="F647" s="912">
        <v>3.3987400000000001E-2</v>
      </c>
      <c r="G647" s="480">
        <v>2538.48</v>
      </c>
      <c r="H647" s="414">
        <v>487.2</v>
      </c>
      <c r="I647" s="413" t="s">
        <v>481</v>
      </c>
      <c r="J647" s="411">
        <v>1</v>
      </c>
      <c r="K647" s="411" t="s">
        <v>796</v>
      </c>
      <c r="L647" s="482">
        <v>348</v>
      </c>
      <c r="M647" s="461" t="s">
        <v>2412</v>
      </c>
      <c r="N647" s="483">
        <v>67.071199999999919</v>
      </c>
      <c r="O647" s="483">
        <v>134.15400000000011</v>
      </c>
      <c r="P647" s="913" t="s">
        <v>2413</v>
      </c>
      <c r="Q647" s="484">
        <v>336.67839999999967</v>
      </c>
      <c r="R647" s="497"/>
    </row>
    <row r="648" spans="1:18" ht="15" customHeight="1">
      <c r="A648" s="411">
        <v>634</v>
      </c>
      <c r="B648" s="413" t="s">
        <v>2751</v>
      </c>
      <c r="C648" s="411">
        <f t="shared" si="11"/>
        <v>634</v>
      </c>
      <c r="D648" s="443" t="s">
        <v>2205</v>
      </c>
      <c r="E648" s="412" t="s">
        <v>304</v>
      </c>
      <c r="F648" s="912">
        <v>3.2215399999999998E-2</v>
      </c>
      <c r="G648" s="480">
        <v>2538.48</v>
      </c>
      <c r="H648" s="414">
        <v>487.2</v>
      </c>
      <c r="I648" s="413" t="s">
        <v>481</v>
      </c>
      <c r="J648" s="411">
        <v>1</v>
      </c>
      <c r="K648" s="411" t="s">
        <v>797</v>
      </c>
      <c r="L648" s="482">
        <v>348</v>
      </c>
      <c r="M648" s="461" t="s">
        <v>2412</v>
      </c>
      <c r="N648" s="483">
        <v>67.071199999999919</v>
      </c>
      <c r="O648" s="483">
        <v>134.15400000000011</v>
      </c>
      <c r="P648" s="913" t="s">
        <v>2413</v>
      </c>
      <c r="Q648" s="484">
        <v>336.67839999999967</v>
      </c>
      <c r="R648" s="497"/>
    </row>
    <row r="649" spans="1:18" ht="15" customHeight="1">
      <c r="A649" s="411">
        <v>635</v>
      </c>
      <c r="B649" s="413" t="s">
        <v>2752</v>
      </c>
      <c r="C649" s="411">
        <f t="shared" si="11"/>
        <v>635</v>
      </c>
      <c r="D649" s="443" t="s">
        <v>2205</v>
      </c>
      <c r="E649" s="412" t="s">
        <v>305</v>
      </c>
      <c r="F649" s="912">
        <v>3.7050300000000001E-2</v>
      </c>
      <c r="G649" s="480">
        <v>2538.48</v>
      </c>
      <c r="H649" s="414">
        <v>487.2</v>
      </c>
      <c r="I649" s="413" t="s">
        <v>481</v>
      </c>
      <c r="J649" s="411">
        <v>1</v>
      </c>
      <c r="K649" s="411" t="s">
        <v>798</v>
      </c>
      <c r="L649" s="482">
        <v>348</v>
      </c>
      <c r="M649" s="461" t="s">
        <v>2412</v>
      </c>
      <c r="N649" s="483">
        <v>67.071199999999919</v>
      </c>
      <c r="O649" s="483">
        <v>134.15400000000011</v>
      </c>
      <c r="P649" s="913" t="s">
        <v>2413</v>
      </c>
      <c r="Q649" s="484">
        <v>336.67839999999967</v>
      </c>
      <c r="R649" s="497"/>
    </row>
    <row r="650" spans="1:18" ht="15" customHeight="1">
      <c r="A650" s="233">
        <v>636</v>
      </c>
      <c r="B650" s="413" t="s">
        <v>2753</v>
      </c>
      <c r="C650" s="411">
        <f t="shared" si="11"/>
        <v>636</v>
      </c>
      <c r="D650" s="443" t="s">
        <v>2205</v>
      </c>
      <c r="E650" s="412" t="s">
        <v>306</v>
      </c>
      <c r="F650" s="912">
        <v>2.90593E-2</v>
      </c>
      <c r="G650" s="480">
        <v>2538.48</v>
      </c>
      <c r="H650" s="414">
        <v>487.2</v>
      </c>
      <c r="I650" s="413" t="s">
        <v>481</v>
      </c>
      <c r="J650" s="411">
        <v>1</v>
      </c>
      <c r="K650" s="411" t="s">
        <v>799</v>
      </c>
      <c r="L650" s="482">
        <v>348</v>
      </c>
      <c r="M650" s="461" t="s">
        <v>2412</v>
      </c>
      <c r="N650" s="483">
        <v>67.071199999999919</v>
      </c>
      <c r="O650" s="483">
        <v>134.15400000000011</v>
      </c>
      <c r="P650" s="913" t="s">
        <v>2413</v>
      </c>
      <c r="Q650" s="484">
        <v>336.67839999999967</v>
      </c>
      <c r="R650" s="497"/>
    </row>
    <row r="651" spans="1:18" ht="15" customHeight="1">
      <c r="A651" s="411">
        <v>637</v>
      </c>
      <c r="B651" s="413" t="s">
        <v>2754</v>
      </c>
      <c r="C651" s="411">
        <f t="shared" si="11"/>
        <v>637</v>
      </c>
      <c r="D651" s="443" t="s">
        <v>2205</v>
      </c>
      <c r="E651" s="412" t="s">
        <v>307</v>
      </c>
      <c r="F651" s="912">
        <v>4.0914499999999999E-2</v>
      </c>
      <c r="G651" s="480">
        <v>2538.48</v>
      </c>
      <c r="H651" s="414">
        <v>487.2</v>
      </c>
      <c r="I651" s="413" t="s">
        <v>481</v>
      </c>
      <c r="J651" s="411">
        <v>1</v>
      </c>
      <c r="K651" s="411" t="s">
        <v>800</v>
      </c>
      <c r="L651" s="482">
        <v>348</v>
      </c>
      <c r="M651" s="461" t="s">
        <v>2412</v>
      </c>
      <c r="N651" s="483">
        <v>67.071199999999919</v>
      </c>
      <c r="O651" s="483">
        <v>134.15400000000011</v>
      </c>
      <c r="P651" s="913" t="s">
        <v>2413</v>
      </c>
      <c r="Q651" s="484">
        <v>336.67839999999967</v>
      </c>
      <c r="R651" s="497"/>
    </row>
    <row r="652" spans="1:18" ht="15" customHeight="1">
      <c r="A652" s="411">
        <v>638</v>
      </c>
      <c r="B652" s="413" t="s">
        <v>2755</v>
      </c>
      <c r="C652" s="411">
        <f t="shared" si="11"/>
        <v>638</v>
      </c>
      <c r="D652" s="443" t="s">
        <v>2205</v>
      </c>
      <c r="E652" s="412" t="s">
        <v>308</v>
      </c>
      <c r="F652" s="912">
        <v>3.5941899999999999E-2</v>
      </c>
      <c r="G652" s="480">
        <v>2538.48</v>
      </c>
      <c r="H652" s="414">
        <v>487.2</v>
      </c>
      <c r="I652" s="413" t="s">
        <v>481</v>
      </c>
      <c r="J652" s="411">
        <v>1</v>
      </c>
      <c r="K652" s="411" t="s">
        <v>801</v>
      </c>
      <c r="L652" s="482">
        <v>348</v>
      </c>
      <c r="M652" s="461" t="s">
        <v>2412</v>
      </c>
      <c r="N652" s="483">
        <v>67.071199999999919</v>
      </c>
      <c r="O652" s="483">
        <v>134.15400000000011</v>
      </c>
      <c r="P652" s="913" t="s">
        <v>2413</v>
      </c>
      <c r="Q652" s="484">
        <v>336.67839999999967</v>
      </c>
      <c r="R652" s="497"/>
    </row>
    <row r="653" spans="1:18" ht="15" customHeight="1">
      <c r="A653" s="233">
        <v>639</v>
      </c>
      <c r="B653" s="413" t="s">
        <v>2756</v>
      </c>
      <c r="C653" s="411">
        <f t="shared" si="11"/>
        <v>639</v>
      </c>
      <c r="D653" s="443" t="s">
        <v>2205</v>
      </c>
      <c r="E653" s="412" t="s">
        <v>309</v>
      </c>
      <c r="F653" s="912">
        <v>4.8639700000000001E-2</v>
      </c>
      <c r="G653" s="480">
        <v>3463.0023344000001</v>
      </c>
      <c r="H653" s="414">
        <v>487.2</v>
      </c>
      <c r="I653" s="413" t="s">
        <v>533</v>
      </c>
      <c r="J653" s="411">
        <v>2</v>
      </c>
      <c r="K653" s="411" t="s">
        <v>802</v>
      </c>
      <c r="L653" s="482">
        <v>348</v>
      </c>
      <c r="M653" s="461" t="s">
        <v>2412</v>
      </c>
      <c r="N653" s="483">
        <v>121.62599999999989</v>
      </c>
      <c r="O653" s="483">
        <v>243.24040000000008</v>
      </c>
      <c r="P653" s="913" t="s">
        <v>2413</v>
      </c>
      <c r="Q653" s="484">
        <v>336.67839999999967</v>
      </c>
      <c r="R653" s="497"/>
    </row>
    <row r="654" spans="1:18" ht="15" customHeight="1">
      <c r="A654" s="411">
        <v>640</v>
      </c>
      <c r="B654" s="413" t="s">
        <v>2757</v>
      </c>
      <c r="C654" s="411">
        <f t="shared" si="11"/>
        <v>640</v>
      </c>
      <c r="D654" s="443" t="s">
        <v>2205</v>
      </c>
      <c r="E654" s="412" t="s">
        <v>310</v>
      </c>
      <c r="F654" s="912">
        <v>4.18877E-2</v>
      </c>
      <c r="G654" s="480">
        <v>2538.48</v>
      </c>
      <c r="H654" s="414">
        <v>487.2</v>
      </c>
      <c r="I654" s="413" t="s">
        <v>481</v>
      </c>
      <c r="J654" s="411">
        <v>1</v>
      </c>
      <c r="K654" s="411" t="s">
        <v>803</v>
      </c>
      <c r="L654" s="482">
        <v>348</v>
      </c>
      <c r="M654" s="461" t="s">
        <v>2412</v>
      </c>
      <c r="N654" s="483">
        <v>67.071199999999919</v>
      </c>
      <c r="O654" s="483">
        <v>134.15400000000011</v>
      </c>
      <c r="P654" s="913" t="s">
        <v>2413</v>
      </c>
      <c r="Q654" s="484">
        <v>336.67839999999967</v>
      </c>
      <c r="R654" s="497"/>
    </row>
    <row r="655" spans="1:18" ht="15" customHeight="1">
      <c r="A655" s="411">
        <v>641</v>
      </c>
      <c r="B655" s="413" t="s">
        <v>2758</v>
      </c>
      <c r="C655" s="411">
        <f t="shared" si="11"/>
        <v>641</v>
      </c>
      <c r="D655" s="443" t="s">
        <v>2206</v>
      </c>
      <c r="E655" s="412" t="s">
        <v>311</v>
      </c>
      <c r="F655" s="912">
        <v>3.7725300000000003E-2</v>
      </c>
      <c r="G655" s="480">
        <v>2538.48</v>
      </c>
      <c r="H655" s="414">
        <v>487.2</v>
      </c>
      <c r="I655" s="413" t="s">
        <v>481</v>
      </c>
      <c r="J655" s="411">
        <v>1</v>
      </c>
      <c r="K655" s="411" t="s">
        <v>804</v>
      </c>
      <c r="L655" s="482">
        <v>348</v>
      </c>
      <c r="M655" s="461" t="s">
        <v>2412</v>
      </c>
      <c r="N655" s="483">
        <v>67.071199999999919</v>
      </c>
      <c r="O655" s="483">
        <v>134.15400000000011</v>
      </c>
      <c r="P655" s="913" t="s">
        <v>2413</v>
      </c>
      <c r="Q655" s="484">
        <v>336.67839999999967</v>
      </c>
      <c r="R655" s="497"/>
    </row>
    <row r="656" spans="1:18" ht="15" customHeight="1">
      <c r="A656" s="233">
        <v>642</v>
      </c>
      <c r="B656" s="413" t="s">
        <v>2759</v>
      </c>
      <c r="C656" s="411">
        <f t="shared" ref="C656:C719" si="12">A656</f>
        <v>642</v>
      </c>
      <c r="D656" s="443" t="s">
        <v>2206</v>
      </c>
      <c r="E656" s="412" t="s">
        <v>312</v>
      </c>
      <c r="F656" s="912">
        <v>3.7725300000000003E-2</v>
      </c>
      <c r="G656" s="480">
        <v>2538.48</v>
      </c>
      <c r="H656" s="414">
        <v>487.2</v>
      </c>
      <c r="I656" s="413" t="s">
        <v>481</v>
      </c>
      <c r="J656" s="411">
        <v>1</v>
      </c>
      <c r="K656" s="411" t="s">
        <v>805</v>
      </c>
      <c r="L656" s="482">
        <v>348</v>
      </c>
      <c r="M656" s="461" t="s">
        <v>2412</v>
      </c>
      <c r="N656" s="483">
        <v>67.071199999999919</v>
      </c>
      <c r="O656" s="483">
        <v>134.15400000000011</v>
      </c>
      <c r="P656" s="913" t="s">
        <v>2413</v>
      </c>
      <c r="Q656" s="484">
        <v>336.67839999999967</v>
      </c>
      <c r="R656" s="497"/>
    </row>
    <row r="657" spans="1:18" ht="15" customHeight="1">
      <c r="A657" s="411">
        <v>643</v>
      </c>
      <c r="B657" s="413" t="s">
        <v>2760</v>
      </c>
      <c r="C657" s="411">
        <f t="shared" si="12"/>
        <v>643</v>
      </c>
      <c r="D657" s="443" t="s">
        <v>2207</v>
      </c>
      <c r="E657" s="412" t="s">
        <v>313</v>
      </c>
      <c r="F657" s="912">
        <v>4.7289500000000005E-2</v>
      </c>
      <c r="G657" s="480">
        <v>2538.48</v>
      </c>
      <c r="H657" s="414">
        <v>487.2</v>
      </c>
      <c r="I657" s="413" t="s">
        <v>481</v>
      </c>
      <c r="J657" s="411">
        <v>1</v>
      </c>
      <c r="K657" s="411" t="s">
        <v>806</v>
      </c>
      <c r="L657" s="482">
        <v>348</v>
      </c>
      <c r="M657" s="461" t="s">
        <v>2412</v>
      </c>
      <c r="N657" s="483">
        <v>67.071199999999919</v>
      </c>
      <c r="O657" s="483">
        <v>134.15400000000011</v>
      </c>
      <c r="P657" s="913" t="s">
        <v>2413</v>
      </c>
      <c r="Q657" s="484">
        <v>336.67839999999967</v>
      </c>
      <c r="R657" s="497"/>
    </row>
    <row r="658" spans="1:18" ht="15" customHeight="1">
      <c r="A658" s="411">
        <v>644</v>
      </c>
      <c r="B658" s="413" t="s">
        <v>2761</v>
      </c>
      <c r="C658" s="411">
        <f t="shared" si="12"/>
        <v>644</v>
      </c>
      <c r="D658" s="443" t="s">
        <v>2207</v>
      </c>
      <c r="E658" s="412" t="s">
        <v>314</v>
      </c>
      <c r="F658" s="912">
        <v>4.9665100000000004E-2</v>
      </c>
      <c r="G658" s="480">
        <v>2538.48</v>
      </c>
      <c r="H658" s="414">
        <v>487.2</v>
      </c>
      <c r="I658" s="413" t="s">
        <v>481</v>
      </c>
      <c r="J658" s="411">
        <v>1</v>
      </c>
      <c r="K658" s="411" t="s">
        <v>807</v>
      </c>
      <c r="L658" s="482">
        <v>348</v>
      </c>
      <c r="M658" s="461" t="s">
        <v>2412</v>
      </c>
      <c r="N658" s="483">
        <v>67.071199999999919</v>
      </c>
      <c r="O658" s="483">
        <v>134.15400000000011</v>
      </c>
      <c r="P658" s="913" t="s">
        <v>2413</v>
      </c>
      <c r="Q658" s="484">
        <v>336.67839999999967</v>
      </c>
      <c r="R658" s="497"/>
    </row>
    <row r="659" spans="1:18" ht="15" customHeight="1">
      <c r="A659" s="233">
        <v>645</v>
      </c>
      <c r="B659" s="413" t="s">
        <v>2762</v>
      </c>
      <c r="C659" s="411">
        <f t="shared" si="12"/>
        <v>645</v>
      </c>
      <c r="D659" s="443" t="s">
        <v>2207</v>
      </c>
      <c r="E659" s="412" t="s">
        <v>315</v>
      </c>
      <c r="F659" s="912">
        <v>5.8476100000000003E-2</v>
      </c>
      <c r="G659" s="480">
        <v>2538.48</v>
      </c>
      <c r="H659" s="414">
        <v>487.2</v>
      </c>
      <c r="I659" s="413" t="s">
        <v>481</v>
      </c>
      <c r="J659" s="411">
        <v>1</v>
      </c>
      <c r="K659" s="411" t="s">
        <v>808</v>
      </c>
      <c r="L659" s="482">
        <v>348</v>
      </c>
      <c r="M659" s="461" t="s">
        <v>2412</v>
      </c>
      <c r="N659" s="483">
        <v>67.071199999999919</v>
      </c>
      <c r="O659" s="483">
        <v>134.15400000000011</v>
      </c>
      <c r="P659" s="913" t="s">
        <v>2413</v>
      </c>
      <c r="Q659" s="484">
        <v>336.67839999999967</v>
      </c>
      <c r="R659" s="497"/>
    </row>
    <row r="660" spans="1:18" ht="15" customHeight="1">
      <c r="A660" s="411">
        <v>646</v>
      </c>
      <c r="B660" s="413" t="s">
        <v>2763</v>
      </c>
      <c r="C660" s="411">
        <f t="shared" si="12"/>
        <v>646</v>
      </c>
      <c r="D660" s="443" t="s">
        <v>2207</v>
      </c>
      <c r="E660" s="412" t="s">
        <v>316</v>
      </c>
      <c r="F660" s="912">
        <v>4.7440300000000005E-2</v>
      </c>
      <c r="G660" s="480">
        <v>2538.48</v>
      </c>
      <c r="H660" s="414">
        <v>487.2</v>
      </c>
      <c r="I660" s="413" t="s">
        <v>481</v>
      </c>
      <c r="J660" s="411">
        <v>1</v>
      </c>
      <c r="K660" s="411" t="s">
        <v>809</v>
      </c>
      <c r="L660" s="482">
        <v>348</v>
      </c>
      <c r="M660" s="461" t="s">
        <v>2412</v>
      </c>
      <c r="N660" s="483">
        <v>67.071199999999919</v>
      </c>
      <c r="O660" s="483">
        <v>134.15400000000011</v>
      </c>
      <c r="P660" s="913" t="s">
        <v>2413</v>
      </c>
      <c r="Q660" s="484">
        <v>336.67839999999967</v>
      </c>
      <c r="R660" s="497"/>
    </row>
    <row r="661" spans="1:18" ht="15" customHeight="1">
      <c r="A661" s="411">
        <v>647</v>
      </c>
      <c r="B661" s="413" t="s">
        <v>2764</v>
      </c>
      <c r="C661" s="411">
        <f t="shared" si="12"/>
        <v>647</v>
      </c>
      <c r="D661" s="443" t="s">
        <v>2207</v>
      </c>
      <c r="E661" s="412" t="s">
        <v>317</v>
      </c>
      <c r="F661" s="912">
        <v>4.6474799999999997E-2</v>
      </c>
      <c r="G661" s="480">
        <v>2538.48</v>
      </c>
      <c r="H661" s="414">
        <v>487.2</v>
      </c>
      <c r="I661" s="413" t="s">
        <v>481</v>
      </c>
      <c r="J661" s="411">
        <v>1</v>
      </c>
      <c r="K661" s="411" t="s">
        <v>810</v>
      </c>
      <c r="L661" s="482">
        <v>348</v>
      </c>
      <c r="M661" s="461" t="s">
        <v>2412</v>
      </c>
      <c r="N661" s="483">
        <v>67.071199999999919</v>
      </c>
      <c r="O661" s="483">
        <v>134.15400000000011</v>
      </c>
      <c r="P661" s="913" t="s">
        <v>2413</v>
      </c>
      <c r="Q661" s="484">
        <v>336.67839999999967</v>
      </c>
      <c r="R661" s="497"/>
    </row>
    <row r="662" spans="1:18" ht="15" customHeight="1">
      <c r="A662" s="233">
        <v>648</v>
      </c>
      <c r="B662" s="413" t="s">
        <v>2765</v>
      </c>
      <c r="C662" s="411">
        <f t="shared" si="12"/>
        <v>648</v>
      </c>
      <c r="D662" s="443" t="s">
        <v>2207</v>
      </c>
      <c r="E662" s="412" t="s">
        <v>2766</v>
      </c>
      <c r="F662" s="912">
        <v>4.6474799999999997E-2</v>
      </c>
      <c r="G662" s="480">
        <v>2538.48</v>
      </c>
      <c r="H662" s="414">
        <v>487.2</v>
      </c>
      <c r="I662" s="413" t="s">
        <v>481</v>
      </c>
      <c r="J662" s="411">
        <v>1</v>
      </c>
      <c r="K662" s="411" t="s">
        <v>2767</v>
      </c>
      <c r="L662" s="482">
        <v>348</v>
      </c>
      <c r="M662" s="461" t="s">
        <v>2412</v>
      </c>
      <c r="N662" s="483">
        <v>67.071199999999919</v>
      </c>
      <c r="O662" s="483">
        <v>134.15400000000011</v>
      </c>
      <c r="P662" s="913" t="s">
        <v>2413</v>
      </c>
      <c r="Q662" s="484">
        <v>336.67839999999967</v>
      </c>
      <c r="R662" s="497"/>
    </row>
    <row r="663" spans="1:18" ht="15" customHeight="1">
      <c r="A663" s="411">
        <v>649</v>
      </c>
      <c r="B663" s="413" t="s">
        <v>2768</v>
      </c>
      <c r="C663" s="411">
        <f t="shared" si="12"/>
        <v>649</v>
      </c>
      <c r="D663" s="443" t="s">
        <v>2207</v>
      </c>
      <c r="E663" s="412" t="s">
        <v>318</v>
      </c>
      <c r="F663" s="912">
        <v>4.8911400000000001E-2</v>
      </c>
      <c r="G663" s="480">
        <v>2538.48</v>
      </c>
      <c r="H663" s="414">
        <v>487.2</v>
      </c>
      <c r="I663" s="413" t="s">
        <v>481</v>
      </c>
      <c r="J663" s="411">
        <v>1</v>
      </c>
      <c r="K663" s="411" t="s">
        <v>811</v>
      </c>
      <c r="L663" s="482">
        <v>348</v>
      </c>
      <c r="M663" s="461" t="s">
        <v>2412</v>
      </c>
      <c r="N663" s="483">
        <v>67.071199999999919</v>
      </c>
      <c r="O663" s="483">
        <v>134.15400000000011</v>
      </c>
      <c r="P663" s="913" t="s">
        <v>2413</v>
      </c>
      <c r="Q663" s="484">
        <v>336.67839999999967</v>
      </c>
      <c r="R663" s="497"/>
    </row>
    <row r="664" spans="1:18" ht="15" customHeight="1">
      <c r="A664" s="411">
        <v>650</v>
      </c>
      <c r="B664" s="413" t="s">
        <v>5649</v>
      </c>
      <c r="C664" s="411">
        <f t="shared" si="12"/>
        <v>650</v>
      </c>
      <c r="D664" s="443" t="s">
        <v>2207</v>
      </c>
      <c r="E664" s="412" t="s">
        <v>5698</v>
      </c>
      <c r="F664" s="912">
        <v>4.6475000000000002E-2</v>
      </c>
      <c r="G664" s="480">
        <v>2538.48</v>
      </c>
      <c r="H664" s="414">
        <v>487.2</v>
      </c>
      <c r="I664" s="413" t="s">
        <v>481</v>
      </c>
      <c r="J664" s="411">
        <v>1</v>
      </c>
      <c r="K664" s="411" t="s">
        <v>5723</v>
      </c>
      <c r="L664" s="482">
        <v>348</v>
      </c>
      <c r="M664" s="461" t="s">
        <v>2412</v>
      </c>
      <c r="N664" s="483">
        <v>67.071199999999919</v>
      </c>
      <c r="O664" s="483">
        <v>134.15399999999985</v>
      </c>
      <c r="P664" s="913" t="s">
        <v>2413</v>
      </c>
      <c r="Q664" s="484">
        <v>336.67840000000001</v>
      </c>
      <c r="R664" s="497"/>
    </row>
    <row r="665" spans="1:18" ht="15" customHeight="1">
      <c r="A665" s="233">
        <v>651</v>
      </c>
      <c r="B665" s="413" t="s">
        <v>5650</v>
      </c>
      <c r="C665" s="411">
        <f t="shared" si="12"/>
        <v>651</v>
      </c>
      <c r="D665" s="443" t="s">
        <v>2207</v>
      </c>
      <c r="E665" s="412" t="s">
        <v>5699</v>
      </c>
      <c r="F665" s="912">
        <v>4.6475000000000002E-2</v>
      </c>
      <c r="G665" s="480">
        <v>2538.48</v>
      </c>
      <c r="H665" s="414">
        <v>487.2</v>
      </c>
      <c r="I665" s="413" t="s">
        <v>481</v>
      </c>
      <c r="J665" s="411">
        <v>1</v>
      </c>
      <c r="K665" s="411" t="s">
        <v>5724</v>
      </c>
      <c r="L665" s="482">
        <v>348</v>
      </c>
      <c r="M665" s="461" t="s">
        <v>2412</v>
      </c>
      <c r="N665" s="483">
        <v>67.071199999999919</v>
      </c>
      <c r="O665" s="483">
        <v>134.15399999999985</v>
      </c>
      <c r="P665" s="913" t="s">
        <v>2413</v>
      </c>
      <c r="Q665" s="484">
        <v>336.67840000000001</v>
      </c>
      <c r="R665" s="497"/>
    </row>
    <row r="666" spans="1:18" ht="15" customHeight="1">
      <c r="A666" s="411">
        <v>652</v>
      </c>
      <c r="B666" s="413" t="s">
        <v>4225</v>
      </c>
      <c r="C666" s="411">
        <f t="shared" si="12"/>
        <v>652</v>
      </c>
      <c r="D666" s="443" t="s">
        <v>2207</v>
      </c>
      <c r="E666" s="412" t="s">
        <v>4230</v>
      </c>
      <c r="F666" s="912">
        <v>4.6474799999999997E-2</v>
      </c>
      <c r="G666" s="480">
        <v>2538.48</v>
      </c>
      <c r="H666" s="414">
        <v>487.2</v>
      </c>
      <c r="I666" s="413" t="s">
        <v>481</v>
      </c>
      <c r="J666" s="411">
        <v>1</v>
      </c>
      <c r="K666" s="411" t="s">
        <v>4235</v>
      </c>
      <c r="L666" s="482">
        <v>348</v>
      </c>
      <c r="M666" s="461" t="s">
        <v>2412</v>
      </c>
      <c r="N666" s="483">
        <v>67.071199999999919</v>
      </c>
      <c r="O666" s="483">
        <v>134.15400000000011</v>
      </c>
      <c r="P666" s="913" t="s">
        <v>2413</v>
      </c>
      <c r="Q666" s="484">
        <v>336.67839999999967</v>
      </c>
      <c r="R666" s="497"/>
    </row>
    <row r="667" spans="1:18" ht="15" customHeight="1">
      <c r="A667" s="411">
        <v>653</v>
      </c>
      <c r="B667" s="413" t="s">
        <v>3438</v>
      </c>
      <c r="C667" s="411">
        <f t="shared" si="12"/>
        <v>653</v>
      </c>
      <c r="D667" s="443" t="s">
        <v>2207</v>
      </c>
      <c r="E667" s="412" t="s">
        <v>3608</v>
      </c>
      <c r="F667" s="912">
        <v>4.6474799999999997E-2</v>
      </c>
      <c r="G667" s="480">
        <v>2538.48</v>
      </c>
      <c r="H667" s="414">
        <v>487.2</v>
      </c>
      <c r="I667" s="413" t="s">
        <v>481</v>
      </c>
      <c r="J667" s="411">
        <v>1</v>
      </c>
      <c r="K667" s="411" t="s">
        <v>3526</v>
      </c>
      <c r="L667" s="482">
        <v>348</v>
      </c>
      <c r="M667" s="461" t="s">
        <v>2412</v>
      </c>
      <c r="N667" s="483">
        <v>67.071199999999919</v>
      </c>
      <c r="O667" s="483">
        <v>134.15400000000011</v>
      </c>
      <c r="P667" s="913" t="s">
        <v>2413</v>
      </c>
      <c r="Q667" s="484">
        <v>336.67839999999967</v>
      </c>
      <c r="R667" s="497"/>
    </row>
    <row r="668" spans="1:18" ht="15" customHeight="1">
      <c r="A668" s="233">
        <v>654</v>
      </c>
      <c r="B668" s="413" t="s">
        <v>2769</v>
      </c>
      <c r="C668" s="411">
        <f t="shared" si="12"/>
        <v>654</v>
      </c>
      <c r="D668" s="443" t="s">
        <v>2207</v>
      </c>
      <c r="E668" s="412" t="s">
        <v>319</v>
      </c>
      <c r="F668" s="912">
        <v>4.7931299999999996E-2</v>
      </c>
      <c r="G668" s="480">
        <v>2538.48</v>
      </c>
      <c r="H668" s="414">
        <v>487.2</v>
      </c>
      <c r="I668" s="413" t="s">
        <v>481</v>
      </c>
      <c r="J668" s="411">
        <v>1</v>
      </c>
      <c r="K668" s="411" t="s">
        <v>812</v>
      </c>
      <c r="L668" s="482">
        <v>348</v>
      </c>
      <c r="M668" s="461" t="s">
        <v>2412</v>
      </c>
      <c r="N668" s="483">
        <v>67.071199999999919</v>
      </c>
      <c r="O668" s="483">
        <v>134.15400000000011</v>
      </c>
      <c r="P668" s="913" t="s">
        <v>2413</v>
      </c>
      <c r="Q668" s="484">
        <v>336.67839999999967</v>
      </c>
      <c r="R668" s="497"/>
    </row>
    <row r="669" spans="1:18" ht="15" customHeight="1">
      <c r="A669" s="411">
        <v>655</v>
      </c>
      <c r="B669" s="413" t="s">
        <v>5651</v>
      </c>
      <c r="C669" s="411">
        <f t="shared" si="12"/>
        <v>655</v>
      </c>
      <c r="D669" s="443" t="s">
        <v>2207</v>
      </c>
      <c r="E669" s="412" t="s">
        <v>5700</v>
      </c>
      <c r="F669" s="912">
        <v>5.7061000000000001E-2</v>
      </c>
      <c r="G669" s="480">
        <v>2538.48</v>
      </c>
      <c r="H669" s="414">
        <v>487.2</v>
      </c>
      <c r="I669" s="413" t="s">
        <v>481</v>
      </c>
      <c r="J669" s="411">
        <v>1</v>
      </c>
      <c r="K669" s="411" t="s">
        <v>5725</v>
      </c>
      <c r="L669" s="482">
        <v>348</v>
      </c>
      <c r="M669" s="461" t="s">
        <v>2412</v>
      </c>
      <c r="N669" s="483">
        <v>67.071199999999919</v>
      </c>
      <c r="O669" s="483">
        <v>134.15399999999985</v>
      </c>
      <c r="P669" s="913" t="s">
        <v>2413</v>
      </c>
      <c r="Q669" s="484">
        <v>336.67840000000001</v>
      </c>
      <c r="R669" s="497"/>
    </row>
    <row r="670" spans="1:18" ht="15" customHeight="1">
      <c r="A670" s="411">
        <v>656</v>
      </c>
      <c r="B670" s="413" t="s">
        <v>5652</v>
      </c>
      <c r="C670" s="411">
        <f t="shared" si="12"/>
        <v>656</v>
      </c>
      <c r="D670" s="443" t="s">
        <v>2207</v>
      </c>
      <c r="E670" s="412" t="s">
        <v>5701</v>
      </c>
      <c r="F670" s="912">
        <v>5.7061000000000001E-2</v>
      </c>
      <c r="G670" s="480">
        <v>2538.48</v>
      </c>
      <c r="H670" s="414">
        <v>491.2</v>
      </c>
      <c r="I670" s="413" t="s">
        <v>481</v>
      </c>
      <c r="J670" s="411">
        <v>1</v>
      </c>
      <c r="K670" s="411" t="s">
        <v>5726</v>
      </c>
      <c r="L670" s="482">
        <v>348</v>
      </c>
      <c r="M670" s="461" t="s">
        <v>2412</v>
      </c>
      <c r="N670" s="483">
        <v>67.071199999999919</v>
      </c>
      <c r="O670" s="483">
        <v>134.15399999999985</v>
      </c>
      <c r="P670" s="913" t="s">
        <v>2413</v>
      </c>
      <c r="Q670" s="484">
        <v>336.67840000000001</v>
      </c>
      <c r="R670" s="497"/>
    </row>
    <row r="671" spans="1:18" ht="15" customHeight="1">
      <c r="A671" s="233">
        <v>657</v>
      </c>
      <c r="B671" s="413" t="s">
        <v>3203</v>
      </c>
      <c r="C671" s="411">
        <f t="shared" si="12"/>
        <v>657</v>
      </c>
      <c r="D671" s="443" t="s">
        <v>2207</v>
      </c>
      <c r="E671" s="412" t="s">
        <v>3204</v>
      </c>
      <c r="F671" s="912">
        <v>5.7060599999999996E-2</v>
      </c>
      <c r="G671" s="480">
        <v>2538.48</v>
      </c>
      <c r="H671" s="414">
        <v>487.2</v>
      </c>
      <c r="I671" s="413" t="s">
        <v>481</v>
      </c>
      <c r="J671" s="411">
        <v>1</v>
      </c>
      <c r="K671" s="411" t="s">
        <v>3205</v>
      </c>
      <c r="L671" s="482">
        <v>348</v>
      </c>
      <c r="M671" s="461" t="s">
        <v>2412</v>
      </c>
      <c r="N671" s="483">
        <v>67.071199999999919</v>
      </c>
      <c r="O671" s="483">
        <v>134.15400000000011</v>
      </c>
      <c r="P671" s="913" t="s">
        <v>2413</v>
      </c>
      <c r="Q671" s="484">
        <v>336.67839999999967</v>
      </c>
      <c r="R671" s="497"/>
    </row>
    <row r="672" spans="1:18" ht="15" customHeight="1">
      <c r="A672" s="411">
        <v>658</v>
      </c>
      <c r="B672" s="413" t="s">
        <v>3439</v>
      </c>
      <c r="C672" s="411">
        <f t="shared" si="12"/>
        <v>658</v>
      </c>
      <c r="D672" s="443" t="s">
        <v>2207</v>
      </c>
      <c r="E672" s="412" t="s">
        <v>3609</v>
      </c>
      <c r="F672" s="912">
        <v>5.7060599999999996E-2</v>
      </c>
      <c r="G672" s="480">
        <v>2538.48</v>
      </c>
      <c r="H672" s="414">
        <v>487.2</v>
      </c>
      <c r="I672" s="413" t="s">
        <v>481</v>
      </c>
      <c r="J672" s="411">
        <v>1</v>
      </c>
      <c r="K672" s="411" t="s">
        <v>3527</v>
      </c>
      <c r="L672" s="482">
        <v>348</v>
      </c>
      <c r="M672" s="461" t="s">
        <v>2412</v>
      </c>
      <c r="N672" s="483">
        <v>67.071199999999919</v>
      </c>
      <c r="O672" s="483">
        <v>134.15400000000011</v>
      </c>
      <c r="P672" s="913" t="s">
        <v>2413</v>
      </c>
      <c r="Q672" s="484">
        <v>336.67839999999967</v>
      </c>
      <c r="R672" s="497"/>
    </row>
    <row r="673" spans="1:18" ht="15" customHeight="1">
      <c r="A673" s="411">
        <v>659</v>
      </c>
      <c r="B673" s="413" t="s">
        <v>3194</v>
      </c>
      <c r="C673" s="411">
        <f t="shared" si="12"/>
        <v>659</v>
      </c>
      <c r="D673" s="443" t="s">
        <v>2207</v>
      </c>
      <c r="E673" s="412" t="s">
        <v>3195</v>
      </c>
      <c r="F673" s="912">
        <v>5.7060599999999996E-2</v>
      </c>
      <c r="G673" s="480">
        <v>2538.48</v>
      </c>
      <c r="H673" s="414">
        <v>487.2</v>
      </c>
      <c r="I673" s="413" t="s">
        <v>481</v>
      </c>
      <c r="J673" s="411">
        <v>1</v>
      </c>
      <c r="K673" s="411" t="s">
        <v>3196</v>
      </c>
      <c r="L673" s="482">
        <v>348</v>
      </c>
      <c r="M673" s="461" t="s">
        <v>2412</v>
      </c>
      <c r="N673" s="483">
        <v>67.071199999999919</v>
      </c>
      <c r="O673" s="483">
        <v>134.15400000000011</v>
      </c>
      <c r="P673" s="913" t="s">
        <v>2413</v>
      </c>
      <c r="Q673" s="484">
        <v>336.67839999999967</v>
      </c>
      <c r="R673" s="497"/>
    </row>
    <row r="674" spans="1:18" ht="15" customHeight="1">
      <c r="A674" s="233">
        <v>660</v>
      </c>
      <c r="B674" s="413" t="s">
        <v>2770</v>
      </c>
      <c r="C674" s="411">
        <f t="shared" si="12"/>
        <v>660</v>
      </c>
      <c r="D674" s="443" t="s">
        <v>482</v>
      </c>
      <c r="E674" s="412" t="s">
        <v>482</v>
      </c>
      <c r="F674" s="912">
        <v>3.0097700000000002E-2</v>
      </c>
      <c r="G674" s="480">
        <v>2538.48</v>
      </c>
      <c r="H674" s="414">
        <v>487.2</v>
      </c>
      <c r="I674" s="413" t="s">
        <v>481</v>
      </c>
      <c r="J674" s="411">
        <v>1</v>
      </c>
      <c r="K674" s="411" t="s">
        <v>813</v>
      </c>
      <c r="L674" s="482">
        <v>348</v>
      </c>
      <c r="M674" s="461" t="s">
        <v>2412</v>
      </c>
      <c r="N674" s="483">
        <v>67.071199999999919</v>
      </c>
      <c r="O674" s="483">
        <v>134.15400000000011</v>
      </c>
      <c r="P674" s="913" t="s">
        <v>2413</v>
      </c>
      <c r="Q674" s="484">
        <v>336.67839999999967</v>
      </c>
      <c r="R674" s="497"/>
    </row>
    <row r="675" spans="1:18" ht="15" customHeight="1">
      <c r="A675" s="411">
        <v>661</v>
      </c>
      <c r="B675" s="413" t="s">
        <v>3440</v>
      </c>
      <c r="C675" s="411">
        <f t="shared" si="12"/>
        <v>661</v>
      </c>
      <c r="D675" s="443" t="s">
        <v>2208</v>
      </c>
      <c r="E675" s="412" t="s">
        <v>3610</v>
      </c>
      <c r="F675" s="912">
        <v>5.0578399999999996E-2</v>
      </c>
      <c r="G675" s="480">
        <v>3463.0023344000001</v>
      </c>
      <c r="H675" s="414">
        <v>487.2</v>
      </c>
      <c r="I675" s="413" t="s">
        <v>533</v>
      </c>
      <c r="J675" s="411">
        <v>2</v>
      </c>
      <c r="K675" s="411" t="s">
        <v>3528</v>
      </c>
      <c r="L675" s="482">
        <v>348</v>
      </c>
      <c r="M675" s="461" t="s">
        <v>2412</v>
      </c>
      <c r="N675" s="483">
        <v>121.62599999999989</v>
      </c>
      <c r="O675" s="483">
        <v>243.24040000000008</v>
      </c>
      <c r="P675" s="913" t="s">
        <v>2413</v>
      </c>
      <c r="Q675" s="484">
        <v>336.67839999999967</v>
      </c>
      <c r="R675" s="497"/>
    </row>
    <row r="676" spans="1:18" ht="15" customHeight="1">
      <c r="A676" s="411">
        <v>662</v>
      </c>
      <c r="B676" s="413" t="s">
        <v>2771</v>
      </c>
      <c r="C676" s="411">
        <f t="shared" si="12"/>
        <v>662</v>
      </c>
      <c r="D676" s="443" t="s">
        <v>2208</v>
      </c>
      <c r="E676" s="412" t="s">
        <v>320</v>
      </c>
      <c r="F676" s="912">
        <v>5.0578399999999996E-2</v>
      </c>
      <c r="G676" s="480">
        <v>3463.0023344000001</v>
      </c>
      <c r="H676" s="414">
        <v>487.2</v>
      </c>
      <c r="I676" s="413" t="s">
        <v>533</v>
      </c>
      <c r="J676" s="411">
        <v>2</v>
      </c>
      <c r="K676" s="411" t="s">
        <v>814</v>
      </c>
      <c r="L676" s="482">
        <v>348</v>
      </c>
      <c r="M676" s="461" t="s">
        <v>2412</v>
      </c>
      <c r="N676" s="483">
        <v>121.62599999999989</v>
      </c>
      <c r="O676" s="483">
        <v>243.24040000000008</v>
      </c>
      <c r="P676" s="913" t="s">
        <v>2413</v>
      </c>
      <c r="Q676" s="484">
        <v>336.67839999999967</v>
      </c>
      <c r="R676" s="497"/>
    </row>
    <row r="677" spans="1:18" ht="15" customHeight="1">
      <c r="A677" s="233">
        <v>663</v>
      </c>
      <c r="B677" s="413" t="s">
        <v>2772</v>
      </c>
      <c r="C677" s="411">
        <f t="shared" si="12"/>
        <v>663</v>
      </c>
      <c r="D677" s="443" t="s">
        <v>2208</v>
      </c>
      <c r="E677" s="412" t="s">
        <v>321</v>
      </c>
      <c r="F677" s="912">
        <v>5.0578399999999996E-2</v>
      </c>
      <c r="G677" s="480">
        <v>3463.0023344000001</v>
      </c>
      <c r="H677" s="414">
        <v>487.2</v>
      </c>
      <c r="I677" s="413" t="s">
        <v>533</v>
      </c>
      <c r="J677" s="411">
        <v>2</v>
      </c>
      <c r="K677" s="411" t="s">
        <v>815</v>
      </c>
      <c r="L677" s="482">
        <v>348</v>
      </c>
      <c r="M677" s="461" t="s">
        <v>2412</v>
      </c>
      <c r="N677" s="483">
        <v>121.62599999999989</v>
      </c>
      <c r="O677" s="483">
        <v>243.24040000000008</v>
      </c>
      <c r="P677" s="913" t="s">
        <v>2413</v>
      </c>
      <c r="Q677" s="484">
        <v>336.67839999999967</v>
      </c>
      <c r="R677" s="497"/>
    </row>
    <row r="678" spans="1:18" ht="15" customHeight="1">
      <c r="A678" s="411">
        <v>664</v>
      </c>
      <c r="B678" s="413" t="s">
        <v>2773</v>
      </c>
      <c r="C678" s="411">
        <f t="shared" si="12"/>
        <v>664</v>
      </c>
      <c r="D678" s="443" t="s">
        <v>2208</v>
      </c>
      <c r="E678" s="412" t="s">
        <v>322</v>
      </c>
      <c r="F678" s="912">
        <v>5.0578399999999996E-2</v>
      </c>
      <c r="G678" s="480">
        <v>3463.0023344000001</v>
      </c>
      <c r="H678" s="414">
        <v>487.2</v>
      </c>
      <c r="I678" s="413" t="s">
        <v>533</v>
      </c>
      <c r="J678" s="411">
        <v>2</v>
      </c>
      <c r="K678" s="411" t="s">
        <v>816</v>
      </c>
      <c r="L678" s="482">
        <v>348</v>
      </c>
      <c r="M678" s="461" t="s">
        <v>2412</v>
      </c>
      <c r="N678" s="483">
        <v>121.62599999999989</v>
      </c>
      <c r="O678" s="483">
        <v>243.24040000000008</v>
      </c>
      <c r="P678" s="913" t="s">
        <v>2413</v>
      </c>
      <c r="Q678" s="484">
        <v>336.67839999999967</v>
      </c>
      <c r="R678" s="497"/>
    </row>
    <row r="679" spans="1:18" ht="15" customHeight="1">
      <c r="A679" s="411">
        <v>665</v>
      </c>
      <c r="B679" s="413" t="s">
        <v>2774</v>
      </c>
      <c r="C679" s="411">
        <f t="shared" si="12"/>
        <v>665</v>
      </c>
      <c r="D679" s="443" t="s">
        <v>2208</v>
      </c>
      <c r="E679" s="412" t="s">
        <v>323</v>
      </c>
      <c r="F679" s="912">
        <v>5.0578399999999996E-2</v>
      </c>
      <c r="G679" s="480">
        <v>3463.0023344000001</v>
      </c>
      <c r="H679" s="414">
        <v>487.2</v>
      </c>
      <c r="I679" s="413" t="s">
        <v>533</v>
      </c>
      <c r="J679" s="411">
        <v>2</v>
      </c>
      <c r="K679" s="411" t="s">
        <v>817</v>
      </c>
      <c r="L679" s="482">
        <v>348</v>
      </c>
      <c r="M679" s="461" t="s">
        <v>2412</v>
      </c>
      <c r="N679" s="483">
        <v>121.62599999999989</v>
      </c>
      <c r="O679" s="483">
        <v>243.24040000000008</v>
      </c>
      <c r="P679" s="913" t="s">
        <v>2413</v>
      </c>
      <c r="Q679" s="484">
        <v>336.67839999999967</v>
      </c>
      <c r="R679" s="497"/>
    </row>
    <row r="680" spans="1:18" ht="15" customHeight="1">
      <c r="A680" s="233">
        <v>666</v>
      </c>
      <c r="B680" s="413" t="s">
        <v>2775</v>
      </c>
      <c r="C680" s="411">
        <f t="shared" si="12"/>
        <v>666</v>
      </c>
      <c r="D680" s="443" t="s">
        <v>2209</v>
      </c>
      <c r="E680" s="412" t="s">
        <v>324</v>
      </c>
      <c r="F680" s="912">
        <v>5.0578399999999996E-2</v>
      </c>
      <c r="G680" s="480">
        <v>3463.0023344000001</v>
      </c>
      <c r="H680" s="414">
        <v>487.2</v>
      </c>
      <c r="I680" s="413" t="s">
        <v>533</v>
      </c>
      <c r="J680" s="411">
        <v>2</v>
      </c>
      <c r="K680" s="411" t="s">
        <v>818</v>
      </c>
      <c r="L680" s="482">
        <v>348</v>
      </c>
      <c r="M680" s="461" t="s">
        <v>2412</v>
      </c>
      <c r="N680" s="483">
        <v>121.62599999999989</v>
      </c>
      <c r="O680" s="483">
        <v>243.24040000000008</v>
      </c>
      <c r="P680" s="913" t="s">
        <v>2413</v>
      </c>
      <c r="Q680" s="484">
        <v>336.67839999999967</v>
      </c>
      <c r="R680" s="497"/>
    </row>
    <row r="681" spans="1:18" ht="15" customHeight="1">
      <c r="A681" s="411">
        <v>667</v>
      </c>
      <c r="B681" s="413" t="s">
        <v>2776</v>
      </c>
      <c r="C681" s="411">
        <f t="shared" si="12"/>
        <v>667</v>
      </c>
      <c r="D681" s="443" t="s">
        <v>2209</v>
      </c>
      <c r="E681" s="412" t="s">
        <v>325</v>
      </c>
      <c r="F681" s="912">
        <v>5.0578399999999996E-2</v>
      </c>
      <c r="G681" s="480">
        <v>3463.0023344000001</v>
      </c>
      <c r="H681" s="414">
        <v>487.2</v>
      </c>
      <c r="I681" s="413" t="s">
        <v>533</v>
      </c>
      <c r="J681" s="411">
        <v>2</v>
      </c>
      <c r="K681" s="411" t="s">
        <v>819</v>
      </c>
      <c r="L681" s="482">
        <v>348</v>
      </c>
      <c r="M681" s="461" t="s">
        <v>2412</v>
      </c>
      <c r="N681" s="483">
        <v>121.62599999999989</v>
      </c>
      <c r="O681" s="483">
        <v>243.24040000000008</v>
      </c>
      <c r="P681" s="913" t="s">
        <v>2413</v>
      </c>
      <c r="Q681" s="484">
        <v>336.67839999999967</v>
      </c>
      <c r="R681" s="497"/>
    </row>
    <row r="682" spans="1:18" ht="15" customHeight="1">
      <c r="A682" s="411">
        <v>668</v>
      </c>
      <c r="B682" s="413" t="s">
        <v>2777</v>
      </c>
      <c r="C682" s="411">
        <f t="shared" si="12"/>
        <v>668</v>
      </c>
      <c r="D682" s="443" t="s">
        <v>2209</v>
      </c>
      <c r="E682" s="412" t="s">
        <v>326</v>
      </c>
      <c r="F682" s="912">
        <v>5.0578399999999996E-2</v>
      </c>
      <c r="G682" s="480">
        <v>3463.0023344000001</v>
      </c>
      <c r="H682" s="414">
        <v>487.2</v>
      </c>
      <c r="I682" s="413" t="s">
        <v>533</v>
      </c>
      <c r="J682" s="411">
        <v>2</v>
      </c>
      <c r="K682" s="411" t="s">
        <v>820</v>
      </c>
      <c r="L682" s="482">
        <v>348</v>
      </c>
      <c r="M682" s="461" t="s">
        <v>2412</v>
      </c>
      <c r="N682" s="483">
        <v>121.62599999999989</v>
      </c>
      <c r="O682" s="483">
        <v>243.24040000000008</v>
      </c>
      <c r="P682" s="913" t="s">
        <v>2413</v>
      </c>
      <c r="Q682" s="484">
        <v>336.67839999999967</v>
      </c>
      <c r="R682" s="497"/>
    </row>
    <row r="683" spans="1:18" ht="15" customHeight="1">
      <c r="A683" s="233">
        <v>669</v>
      </c>
      <c r="B683" s="413" t="s">
        <v>2778</v>
      </c>
      <c r="C683" s="411">
        <f t="shared" si="12"/>
        <v>669</v>
      </c>
      <c r="D683" s="443" t="s">
        <v>2210</v>
      </c>
      <c r="E683" s="412" t="s">
        <v>327</v>
      </c>
      <c r="F683" s="912">
        <v>4.8639700000000001E-2</v>
      </c>
      <c r="G683" s="480">
        <v>3463.0023344000001</v>
      </c>
      <c r="H683" s="414">
        <v>487.2</v>
      </c>
      <c r="I683" s="413" t="s">
        <v>533</v>
      </c>
      <c r="J683" s="411">
        <v>2</v>
      </c>
      <c r="K683" s="411" t="s">
        <v>821</v>
      </c>
      <c r="L683" s="482">
        <v>348</v>
      </c>
      <c r="M683" s="461" t="s">
        <v>2412</v>
      </c>
      <c r="N683" s="483">
        <v>121.62599999999989</v>
      </c>
      <c r="O683" s="483">
        <v>243.24040000000008</v>
      </c>
      <c r="P683" s="913" t="s">
        <v>2413</v>
      </c>
      <c r="Q683" s="484">
        <v>336.67839999999967</v>
      </c>
      <c r="R683" s="497"/>
    </row>
    <row r="684" spans="1:18" ht="15" customHeight="1">
      <c r="A684" s="411">
        <v>670</v>
      </c>
      <c r="B684" s="413" t="s">
        <v>2779</v>
      </c>
      <c r="C684" s="411">
        <f t="shared" si="12"/>
        <v>670</v>
      </c>
      <c r="D684" s="443" t="s">
        <v>2210</v>
      </c>
      <c r="E684" s="412" t="s">
        <v>328</v>
      </c>
      <c r="F684" s="912">
        <v>4.8639700000000001E-2</v>
      </c>
      <c r="G684" s="480">
        <v>3463.0023344000001</v>
      </c>
      <c r="H684" s="414">
        <v>487.2</v>
      </c>
      <c r="I684" s="413" t="s">
        <v>533</v>
      </c>
      <c r="J684" s="411">
        <v>2</v>
      </c>
      <c r="K684" s="411" t="s">
        <v>822</v>
      </c>
      <c r="L684" s="482">
        <v>348</v>
      </c>
      <c r="M684" s="461" t="s">
        <v>2412</v>
      </c>
      <c r="N684" s="483">
        <v>121.62599999999989</v>
      </c>
      <c r="O684" s="483">
        <v>243.24040000000008</v>
      </c>
      <c r="P684" s="913" t="s">
        <v>2413</v>
      </c>
      <c r="Q684" s="484">
        <v>336.67839999999967</v>
      </c>
      <c r="R684" s="497"/>
    </row>
    <row r="685" spans="1:18" ht="15" customHeight="1">
      <c r="A685" s="411">
        <v>671</v>
      </c>
      <c r="B685" s="413" t="s">
        <v>3441</v>
      </c>
      <c r="C685" s="411">
        <f t="shared" si="12"/>
        <v>671</v>
      </c>
      <c r="D685" s="443" t="s">
        <v>3611</v>
      </c>
      <c r="E685" s="412" t="s">
        <v>3612</v>
      </c>
      <c r="F685" s="912">
        <v>3.1363000000000002E-2</v>
      </c>
      <c r="G685" s="480">
        <v>7453.37</v>
      </c>
      <c r="H685" s="414">
        <v>487.2</v>
      </c>
      <c r="I685" s="413" t="s">
        <v>3620</v>
      </c>
      <c r="J685" s="411">
        <v>3</v>
      </c>
      <c r="K685" s="411" t="s">
        <v>3529</v>
      </c>
      <c r="L685" s="482">
        <v>348</v>
      </c>
      <c r="M685" s="461" t="s">
        <v>2412</v>
      </c>
      <c r="N685" s="483">
        <v>298.14</v>
      </c>
      <c r="O685" s="483">
        <v>596.29</v>
      </c>
      <c r="P685" s="913" t="s">
        <v>2413</v>
      </c>
      <c r="Q685" s="484">
        <v>0</v>
      </c>
      <c r="R685" s="497"/>
    </row>
    <row r="686" spans="1:18" ht="15" customHeight="1">
      <c r="A686" s="233">
        <v>672</v>
      </c>
      <c r="B686" s="413" t="s">
        <v>2780</v>
      </c>
      <c r="C686" s="411">
        <f t="shared" si="12"/>
        <v>672</v>
      </c>
      <c r="D686" s="443" t="s">
        <v>2211</v>
      </c>
      <c r="E686" s="412" t="s">
        <v>329</v>
      </c>
      <c r="F686" s="912">
        <v>4.1417200000000001E-2</v>
      </c>
      <c r="G686" s="480">
        <v>2538.48</v>
      </c>
      <c r="H686" s="414">
        <v>487.2</v>
      </c>
      <c r="I686" s="413" t="s">
        <v>481</v>
      </c>
      <c r="J686" s="411">
        <v>1</v>
      </c>
      <c r="K686" s="411" t="s">
        <v>823</v>
      </c>
      <c r="L686" s="482">
        <v>348</v>
      </c>
      <c r="M686" s="461" t="s">
        <v>2412</v>
      </c>
      <c r="N686" s="483">
        <v>67.071199999999919</v>
      </c>
      <c r="O686" s="483">
        <v>134.15400000000011</v>
      </c>
      <c r="P686" s="913" t="s">
        <v>2413</v>
      </c>
      <c r="Q686" s="484">
        <v>336.67839999999967</v>
      </c>
      <c r="R686" s="497"/>
    </row>
    <row r="687" spans="1:18" ht="15" customHeight="1">
      <c r="A687" s="411">
        <v>673</v>
      </c>
      <c r="B687" s="413" t="s">
        <v>5653</v>
      </c>
      <c r="C687" s="411">
        <f t="shared" si="12"/>
        <v>673</v>
      </c>
      <c r="D687" s="443" t="s">
        <v>2211</v>
      </c>
      <c r="E687" s="412" t="s">
        <v>5702</v>
      </c>
      <c r="F687" s="912">
        <v>2.9878999999999999E-2</v>
      </c>
      <c r="G687" s="480">
        <v>2538.48</v>
      </c>
      <c r="H687" s="414">
        <v>487.2</v>
      </c>
      <c r="I687" s="413" t="s">
        <v>481</v>
      </c>
      <c r="J687" s="411">
        <v>1</v>
      </c>
      <c r="K687" s="411" t="s">
        <v>5727</v>
      </c>
      <c r="L687" s="482">
        <v>348</v>
      </c>
      <c r="M687" s="461" t="s">
        <v>2412</v>
      </c>
      <c r="N687" s="483">
        <v>67.071199999999919</v>
      </c>
      <c r="O687" s="483">
        <v>134.15399999999985</v>
      </c>
      <c r="P687" s="913" t="s">
        <v>2413</v>
      </c>
      <c r="Q687" s="484">
        <v>336.67840000000001</v>
      </c>
      <c r="R687" s="497"/>
    </row>
    <row r="688" spans="1:18" ht="15" customHeight="1">
      <c r="A688" s="411">
        <v>674</v>
      </c>
      <c r="B688" s="413" t="s">
        <v>2781</v>
      </c>
      <c r="C688" s="411">
        <f t="shared" si="12"/>
        <v>674</v>
      </c>
      <c r="D688" s="443" t="s">
        <v>2211</v>
      </c>
      <c r="E688" s="412" t="s">
        <v>330</v>
      </c>
      <c r="F688" s="912">
        <v>4.1025699999999998E-2</v>
      </c>
      <c r="G688" s="480">
        <v>2538.48</v>
      </c>
      <c r="H688" s="414">
        <v>487.2</v>
      </c>
      <c r="I688" s="413" t="s">
        <v>481</v>
      </c>
      <c r="J688" s="411">
        <v>1</v>
      </c>
      <c r="K688" s="411" t="s">
        <v>824</v>
      </c>
      <c r="L688" s="482">
        <v>348</v>
      </c>
      <c r="M688" s="461" t="s">
        <v>2412</v>
      </c>
      <c r="N688" s="483">
        <v>67.071199999999919</v>
      </c>
      <c r="O688" s="483">
        <v>134.15400000000011</v>
      </c>
      <c r="P688" s="913" t="s">
        <v>2413</v>
      </c>
      <c r="Q688" s="484">
        <v>336.67839999999967</v>
      </c>
      <c r="R688" s="497"/>
    </row>
    <row r="689" spans="1:18" ht="15" customHeight="1">
      <c r="A689" s="233">
        <v>675</v>
      </c>
      <c r="B689" s="413" t="s">
        <v>2782</v>
      </c>
      <c r="C689" s="411">
        <f t="shared" si="12"/>
        <v>675</v>
      </c>
      <c r="D689" s="443" t="s">
        <v>2211</v>
      </c>
      <c r="E689" s="412" t="s">
        <v>331</v>
      </c>
      <c r="F689" s="912">
        <v>2.80865E-2</v>
      </c>
      <c r="G689" s="480">
        <v>2538.48</v>
      </c>
      <c r="H689" s="414">
        <v>487.2</v>
      </c>
      <c r="I689" s="413" t="s">
        <v>481</v>
      </c>
      <c r="J689" s="411">
        <v>1</v>
      </c>
      <c r="K689" s="411" t="s">
        <v>825</v>
      </c>
      <c r="L689" s="482">
        <v>348</v>
      </c>
      <c r="M689" s="461" t="s">
        <v>2412</v>
      </c>
      <c r="N689" s="483">
        <v>67.071199999999919</v>
      </c>
      <c r="O689" s="483">
        <v>134.15400000000011</v>
      </c>
      <c r="P689" s="913" t="s">
        <v>2413</v>
      </c>
      <c r="Q689" s="484">
        <v>336.67839999999967</v>
      </c>
      <c r="R689" s="497"/>
    </row>
    <row r="690" spans="1:18" ht="15" customHeight="1">
      <c r="A690" s="411">
        <v>676</v>
      </c>
      <c r="B690" s="413" t="s">
        <v>4771</v>
      </c>
      <c r="C690" s="411">
        <f t="shared" si="12"/>
        <v>676</v>
      </c>
      <c r="D690" s="443" t="s">
        <v>2211</v>
      </c>
      <c r="E690" s="412" t="s">
        <v>4776</v>
      </c>
      <c r="F690" s="912">
        <v>2.80865E-2</v>
      </c>
      <c r="G690" s="480">
        <v>2538.48</v>
      </c>
      <c r="H690" s="414">
        <v>487.2</v>
      </c>
      <c r="I690" s="413" t="s">
        <v>481</v>
      </c>
      <c r="J690" s="411">
        <v>1</v>
      </c>
      <c r="K690" s="411" t="s">
        <v>4286</v>
      </c>
      <c r="L690" s="482">
        <v>348</v>
      </c>
      <c r="M690" s="461" t="s">
        <v>2412</v>
      </c>
      <c r="N690" s="483">
        <v>67.071199999999919</v>
      </c>
      <c r="O690" s="483">
        <v>134.15400000000011</v>
      </c>
      <c r="P690" s="913" t="s">
        <v>2413</v>
      </c>
      <c r="Q690" s="484">
        <v>336.67839999999967</v>
      </c>
      <c r="R690" s="497"/>
    </row>
    <row r="691" spans="1:18" ht="15" customHeight="1">
      <c r="A691" s="411">
        <v>677</v>
      </c>
      <c r="B691" s="413" t="s">
        <v>2783</v>
      </c>
      <c r="C691" s="411">
        <f t="shared" si="12"/>
        <v>677</v>
      </c>
      <c r="D691" s="443" t="s">
        <v>2211</v>
      </c>
      <c r="E691" s="412" t="s">
        <v>332</v>
      </c>
      <c r="F691" s="912">
        <v>3.0901499999999998E-2</v>
      </c>
      <c r="G691" s="480">
        <v>2538.48</v>
      </c>
      <c r="H691" s="414">
        <v>487.2</v>
      </c>
      <c r="I691" s="413" t="s">
        <v>481</v>
      </c>
      <c r="J691" s="411">
        <v>1</v>
      </c>
      <c r="K691" s="411" t="s">
        <v>826</v>
      </c>
      <c r="L691" s="482">
        <v>348</v>
      </c>
      <c r="M691" s="461" t="s">
        <v>2412</v>
      </c>
      <c r="N691" s="483">
        <v>67.071199999999919</v>
      </c>
      <c r="O691" s="483">
        <v>134.15400000000011</v>
      </c>
      <c r="P691" s="913" t="s">
        <v>2413</v>
      </c>
      <c r="Q691" s="484">
        <v>336.67839999999967</v>
      </c>
      <c r="R691" s="497"/>
    </row>
    <row r="692" spans="1:18" ht="15" customHeight="1">
      <c r="A692" s="233">
        <v>678</v>
      </c>
      <c r="B692" s="413" t="s">
        <v>2784</v>
      </c>
      <c r="C692" s="411">
        <f t="shared" si="12"/>
        <v>678</v>
      </c>
      <c r="D692" s="443" t="s">
        <v>2211</v>
      </c>
      <c r="E692" s="412" t="s">
        <v>333</v>
      </c>
      <c r="F692" s="912">
        <v>2.9502E-2</v>
      </c>
      <c r="G692" s="480">
        <v>2538.4744000000001</v>
      </c>
      <c r="H692" s="414">
        <v>487.2</v>
      </c>
      <c r="I692" s="413" t="s">
        <v>481</v>
      </c>
      <c r="J692" s="411">
        <v>1</v>
      </c>
      <c r="K692" s="411" t="s">
        <v>827</v>
      </c>
      <c r="L692" s="482">
        <v>348</v>
      </c>
      <c r="M692" s="461" t="s">
        <v>2412</v>
      </c>
      <c r="N692" s="483">
        <v>67.071199999999919</v>
      </c>
      <c r="O692" s="483">
        <v>134.15400000000011</v>
      </c>
      <c r="P692" s="913" t="s">
        <v>2413</v>
      </c>
      <c r="Q692" s="484">
        <v>336.67839999999967</v>
      </c>
      <c r="R692" s="497"/>
    </row>
    <row r="693" spans="1:18" ht="15" customHeight="1">
      <c r="A693" s="411">
        <v>679</v>
      </c>
      <c r="B693" s="413" t="s">
        <v>3213</v>
      </c>
      <c r="C693" s="411">
        <f t="shared" si="12"/>
        <v>679</v>
      </c>
      <c r="D693" s="443" t="s">
        <v>2211</v>
      </c>
      <c r="E693" s="412" t="s">
        <v>3219</v>
      </c>
      <c r="F693" s="912">
        <v>3.3738999999999998E-2</v>
      </c>
      <c r="G693" s="480">
        <v>2538.4744000000001</v>
      </c>
      <c r="H693" s="414">
        <v>487.2</v>
      </c>
      <c r="I693" s="413" t="s">
        <v>481</v>
      </c>
      <c r="J693" s="411">
        <v>1</v>
      </c>
      <c r="K693" s="411" t="s">
        <v>3232</v>
      </c>
      <c r="L693" s="482">
        <v>348</v>
      </c>
      <c r="M693" s="461" t="s">
        <v>2412</v>
      </c>
      <c r="N693" s="483">
        <v>67.071199999999919</v>
      </c>
      <c r="O693" s="483">
        <v>134.15400000000011</v>
      </c>
      <c r="P693" s="913" t="s">
        <v>2413</v>
      </c>
      <c r="Q693" s="484">
        <v>336.67839999999967</v>
      </c>
      <c r="R693" s="497"/>
    </row>
    <row r="694" spans="1:18" ht="15" customHeight="1">
      <c r="A694" s="411">
        <v>680</v>
      </c>
      <c r="B694" s="413" t="s">
        <v>4799</v>
      </c>
      <c r="C694" s="411">
        <f t="shared" si="12"/>
        <v>680</v>
      </c>
      <c r="D694" s="443" t="s">
        <v>2212</v>
      </c>
      <c r="E694" s="412" t="s">
        <v>4808</v>
      </c>
      <c r="F694" s="912">
        <v>4.1989699999999998E-2</v>
      </c>
      <c r="G694" s="480">
        <v>2538.48</v>
      </c>
      <c r="H694" s="414">
        <v>487.2</v>
      </c>
      <c r="I694" s="413" t="s">
        <v>481</v>
      </c>
      <c r="J694" s="411">
        <v>1</v>
      </c>
      <c r="K694" s="411" t="s">
        <v>4820</v>
      </c>
      <c r="L694" s="482">
        <v>348</v>
      </c>
      <c r="M694" s="461" t="s">
        <v>2412</v>
      </c>
      <c r="N694" s="483">
        <v>67.071199999999919</v>
      </c>
      <c r="O694" s="483">
        <v>134.15399999999983</v>
      </c>
      <c r="P694" s="913" t="s">
        <v>2413</v>
      </c>
      <c r="Q694" s="484">
        <v>336.67839999999967</v>
      </c>
      <c r="R694" s="497"/>
    </row>
    <row r="695" spans="1:18" ht="15" customHeight="1">
      <c r="A695" s="233">
        <v>681</v>
      </c>
      <c r="B695" s="413" t="s">
        <v>2785</v>
      </c>
      <c r="C695" s="411">
        <f t="shared" si="12"/>
        <v>681</v>
      </c>
      <c r="D695" s="443" t="s">
        <v>2212</v>
      </c>
      <c r="E695" s="412" t="s">
        <v>334</v>
      </c>
      <c r="F695" s="912">
        <v>3.8905000000000002E-2</v>
      </c>
      <c r="G695" s="480">
        <v>2538.4744000000001</v>
      </c>
      <c r="H695" s="414">
        <v>487.2</v>
      </c>
      <c r="I695" s="413" t="s">
        <v>481</v>
      </c>
      <c r="J695" s="411">
        <v>1</v>
      </c>
      <c r="K695" s="411" t="s">
        <v>828</v>
      </c>
      <c r="L695" s="482">
        <v>348</v>
      </c>
      <c r="M695" s="461" t="s">
        <v>2412</v>
      </c>
      <c r="N695" s="483">
        <v>67.071199999999919</v>
      </c>
      <c r="O695" s="483">
        <v>134.15400000000011</v>
      </c>
      <c r="P695" s="913" t="s">
        <v>2413</v>
      </c>
      <c r="Q695" s="484">
        <v>336.67839999999967</v>
      </c>
      <c r="R695" s="497"/>
    </row>
    <row r="696" spans="1:18" ht="15" customHeight="1">
      <c r="A696" s="411">
        <v>682</v>
      </c>
      <c r="B696" s="413" t="s">
        <v>2786</v>
      </c>
      <c r="C696" s="411">
        <f t="shared" si="12"/>
        <v>682</v>
      </c>
      <c r="D696" s="443" t="s">
        <v>2212</v>
      </c>
      <c r="E696" s="412" t="s">
        <v>335</v>
      </c>
      <c r="F696" s="912">
        <v>3.5734399999999999E-2</v>
      </c>
      <c r="G696" s="480">
        <v>2538.48</v>
      </c>
      <c r="H696" s="414">
        <v>487.2</v>
      </c>
      <c r="I696" s="413" t="s">
        <v>481</v>
      </c>
      <c r="J696" s="411">
        <v>1</v>
      </c>
      <c r="K696" s="411" t="s">
        <v>829</v>
      </c>
      <c r="L696" s="482">
        <v>348</v>
      </c>
      <c r="M696" s="461" t="s">
        <v>2412</v>
      </c>
      <c r="N696" s="483">
        <v>67.071199999999919</v>
      </c>
      <c r="O696" s="483">
        <v>134.15400000000011</v>
      </c>
      <c r="P696" s="913" t="s">
        <v>2413</v>
      </c>
      <c r="Q696" s="484">
        <v>336.67839999999967</v>
      </c>
      <c r="R696" s="497"/>
    </row>
    <row r="697" spans="1:18" ht="15" customHeight="1">
      <c r="A697" s="411">
        <v>683</v>
      </c>
      <c r="B697" s="413" t="s">
        <v>3318</v>
      </c>
      <c r="C697" s="411">
        <f t="shared" si="12"/>
        <v>683</v>
      </c>
      <c r="D697" s="443" t="s">
        <v>2212</v>
      </c>
      <c r="E697" s="412" t="s">
        <v>3319</v>
      </c>
      <c r="F697" s="912">
        <v>3.4455E-2</v>
      </c>
      <c r="G697" s="480">
        <v>2538.4744000000001</v>
      </c>
      <c r="H697" s="414">
        <v>487.2</v>
      </c>
      <c r="I697" s="413" t="s">
        <v>481</v>
      </c>
      <c r="J697" s="411">
        <v>1</v>
      </c>
      <c r="K697" s="411" t="s">
        <v>3329</v>
      </c>
      <c r="L697" s="482">
        <v>348</v>
      </c>
      <c r="M697" s="461" t="s">
        <v>2412</v>
      </c>
      <c r="N697" s="483">
        <v>67.071199999999919</v>
      </c>
      <c r="O697" s="483">
        <v>134.15400000000011</v>
      </c>
      <c r="P697" s="913" t="s">
        <v>2413</v>
      </c>
      <c r="Q697" s="484">
        <v>336.67839999999967</v>
      </c>
      <c r="R697" s="497"/>
    </row>
    <row r="698" spans="1:18" ht="15" customHeight="1">
      <c r="A698" s="233">
        <v>684</v>
      </c>
      <c r="B698" s="413" t="s">
        <v>2787</v>
      </c>
      <c r="C698" s="411">
        <f t="shared" si="12"/>
        <v>684</v>
      </c>
      <c r="D698" s="443" t="s">
        <v>2212</v>
      </c>
      <c r="E698" s="412" t="s">
        <v>336</v>
      </c>
      <c r="F698" s="912">
        <v>3.6913599999999998E-2</v>
      </c>
      <c r="G698" s="480">
        <v>2538.48</v>
      </c>
      <c r="H698" s="414">
        <v>487.2</v>
      </c>
      <c r="I698" s="413" t="s">
        <v>481</v>
      </c>
      <c r="J698" s="411">
        <v>1</v>
      </c>
      <c r="K698" s="411" t="s">
        <v>830</v>
      </c>
      <c r="L698" s="482">
        <v>348</v>
      </c>
      <c r="M698" s="461" t="s">
        <v>2412</v>
      </c>
      <c r="N698" s="483">
        <v>67.071199999999919</v>
      </c>
      <c r="O698" s="483">
        <v>134.15400000000011</v>
      </c>
      <c r="P698" s="913" t="s">
        <v>2413</v>
      </c>
      <c r="Q698" s="484">
        <v>336.67839999999967</v>
      </c>
      <c r="R698" s="497"/>
    </row>
    <row r="699" spans="1:18" ht="15" customHeight="1">
      <c r="A699" s="411">
        <v>685</v>
      </c>
      <c r="B699" s="413" t="s">
        <v>2788</v>
      </c>
      <c r="C699" s="411">
        <f t="shared" si="12"/>
        <v>685</v>
      </c>
      <c r="D699" s="443" t="s">
        <v>2212</v>
      </c>
      <c r="E699" s="412" t="s">
        <v>337</v>
      </c>
      <c r="F699" s="912">
        <v>3.84093E-2</v>
      </c>
      <c r="G699" s="480">
        <v>2538.48</v>
      </c>
      <c r="H699" s="414">
        <v>487.2</v>
      </c>
      <c r="I699" s="413" t="s">
        <v>481</v>
      </c>
      <c r="J699" s="411">
        <v>1</v>
      </c>
      <c r="K699" s="411" t="s">
        <v>831</v>
      </c>
      <c r="L699" s="482">
        <v>348</v>
      </c>
      <c r="M699" s="461" t="s">
        <v>2412</v>
      </c>
      <c r="N699" s="483">
        <v>67.071199999999919</v>
      </c>
      <c r="O699" s="483">
        <v>134.15400000000011</v>
      </c>
      <c r="P699" s="913" t="s">
        <v>2413</v>
      </c>
      <c r="Q699" s="484">
        <v>336.67839999999967</v>
      </c>
      <c r="R699" s="497"/>
    </row>
    <row r="700" spans="1:18" ht="15" customHeight="1">
      <c r="A700" s="411">
        <v>686</v>
      </c>
      <c r="B700" s="413" t="s">
        <v>5172</v>
      </c>
      <c r="C700" s="411">
        <f t="shared" si="12"/>
        <v>686</v>
      </c>
      <c r="D700" s="443" t="s">
        <v>2212</v>
      </c>
      <c r="E700" s="412" t="s">
        <v>5192</v>
      </c>
      <c r="F700" s="912">
        <v>3.4168999999999998E-2</v>
      </c>
      <c r="G700" s="480">
        <v>2538.4744000000001</v>
      </c>
      <c r="H700" s="414">
        <v>487.2</v>
      </c>
      <c r="I700" s="413" t="s">
        <v>481</v>
      </c>
      <c r="J700" s="411">
        <v>1</v>
      </c>
      <c r="K700" s="411" t="s">
        <v>5211</v>
      </c>
      <c r="L700" s="482">
        <v>348</v>
      </c>
      <c r="M700" s="461" t="s">
        <v>2412</v>
      </c>
      <c r="N700" s="483">
        <v>67.071199999999919</v>
      </c>
      <c r="O700" s="483">
        <v>134.15399999999985</v>
      </c>
      <c r="P700" s="913" t="s">
        <v>2413</v>
      </c>
      <c r="Q700" s="484">
        <v>336.67840000000001</v>
      </c>
      <c r="R700" s="497"/>
    </row>
    <row r="701" spans="1:18" ht="15" customHeight="1">
      <c r="A701" s="233">
        <v>687</v>
      </c>
      <c r="B701" s="413" t="s">
        <v>2789</v>
      </c>
      <c r="C701" s="411">
        <f t="shared" si="12"/>
        <v>687</v>
      </c>
      <c r="D701" s="443" t="s">
        <v>2212</v>
      </c>
      <c r="E701" s="412" t="s">
        <v>338</v>
      </c>
      <c r="F701" s="912">
        <v>4.8255299999999994E-2</v>
      </c>
      <c r="G701" s="480">
        <v>2538.48</v>
      </c>
      <c r="H701" s="414">
        <v>487.2</v>
      </c>
      <c r="I701" s="413" t="s">
        <v>481</v>
      </c>
      <c r="J701" s="411">
        <v>1</v>
      </c>
      <c r="K701" s="411" t="s">
        <v>832</v>
      </c>
      <c r="L701" s="482">
        <v>348</v>
      </c>
      <c r="M701" s="461" t="s">
        <v>2412</v>
      </c>
      <c r="N701" s="483">
        <v>67.071199999999919</v>
      </c>
      <c r="O701" s="483">
        <v>134.15400000000011</v>
      </c>
      <c r="P701" s="913" t="s">
        <v>2413</v>
      </c>
      <c r="Q701" s="484">
        <v>336.67839999999967</v>
      </c>
      <c r="R701" s="497"/>
    </row>
    <row r="702" spans="1:18" ht="15" customHeight="1">
      <c r="A702" s="411">
        <v>688</v>
      </c>
      <c r="B702" s="413" t="s">
        <v>11041</v>
      </c>
      <c r="C702" s="411">
        <f t="shared" si="12"/>
        <v>688</v>
      </c>
      <c r="D702" s="443" t="s">
        <v>11043</v>
      </c>
      <c r="E702" s="412" t="s">
        <v>11043</v>
      </c>
      <c r="F702" s="912">
        <v>4.2298000000000002E-2</v>
      </c>
      <c r="G702" s="480">
        <v>2538.48</v>
      </c>
      <c r="H702" s="414">
        <v>487.2</v>
      </c>
      <c r="I702" s="413" t="s">
        <v>481</v>
      </c>
      <c r="J702" s="411">
        <v>1</v>
      </c>
      <c r="K702" s="411" t="s">
        <v>11067</v>
      </c>
      <c r="L702" s="482">
        <v>348</v>
      </c>
      <c r="M702" s="461" t="s">
        <v>2412</v>
      </c>
      <c r="N702" s="483">
        <v>67.071199999999919</v>
      </c>
      <c r="O702" s="483">
        <v>134.15399999999985</v>
      </c>
      <c r="P702" s="913" t="s">
        <v>2413</v>
      </c>
      <c r="Q702" s="484">
        <v>336.67840000000001</v>
      </c>
      <c r="R702" s="497"/>
    </row>
    <row r="703" spans="1:18" ht="15" customHeight="1">
      <c r="A703" s="411">
        <v>689</v>
      </c>
      <c r="B703" s="413" t="s">
        <v>2790</v>
      </c>
      <c r="C703" s="411">
        <f t="shared" si="12"/>
        <v>689</v>
      </c>
      <c r="D703" s="443" t="s">
        <v>2213</v>
      </c>
      <c r="E703" s="412" t="s">
        <v>339</v>
      </c>
      <c r="F703" s="912">
        <v>3.8490500000000004E-2</v>
      </c>
      <c r="G703" s="480">
        <v>2538.48</v>
      </c>
      <c r="H703" s="414">
        <v>487.2</v>
      </c>
      <c r="I703" s="413" t="s">
        <v>481</v>
      </c>
      <c r="J703" s="411">
        <v>1</v>
      </c>
      <c r="K703" s="411" t="s">
        <v>833</v>
      </c>
      <c r="L703" s="482">
        <v>348</v>
      </c>
      <c r="M703" s="461" t="s">
        <v>2412</v>
      </c>
      <c r="N703" s="483">
        <v>67.071199999999919</v>
      </c>
      <c r="O703" s="483">
        <v>134.15400000000011</v>
      </c>
      <c r="P703" s="913" t="s">
        <v>2413</v>
      </c>
      <c r="Q703" s="484">
        <v>336.67839999999967</v>
      </c>
      <c r="R703" s="497"/>
    </row>
    <row r="704" spans="1:18" ht="15" customHeight="1">
      <c r="A704" s="233">
        <v>690</v>
      </c>
      <c r="B704" s="413" t="s">
        <v>2791</v>
      </c>
      <c r="C704" s="411">
        <f t="shared" si="12"/>
        <v>690</v>
      </c>
      <c r="D704" s="443" t="s">
        <v>2213</v>
      </c>
      <c r="E704" s="412" t="s">
        <v>340</v>
      </c>
      <c r="F704" s="912">
        <v>3.4241600000000004E-2</v>
      </c>
      <c r="G704" s="480">
        <v>2538.48</v>
      </c>
      <c r="H704" s="414">
        <v>487.2</v>
      </c>
      <c r="I704" s="413" t="s">
        <v>481</v>
      </c>
      <c r="J704" s="411">
        <v>1</v>
      </c>
      <c r="K704" s="411" t="s">
        <v>834</v>
      </c>
      <c r="L704" s="482">
        <v>348</v>
      </c>
      <c r="M704" s="461" t="s">
        <v>2412</v>
      </c>
      <c r="N704" s="483">
        <v>67.071199999999919</v>
      </c>
      <c r="O704" s="483">
        <v>134.15400000000011</v>
      </c>
      <c r="P704" s="913" t="s">
        <v>2413</v>
      </c>
      <c r="Q704" s="484">
        <v>336.67839999999967</v>
      </c>
      <c r="R704" s="497"/>
    </row>
    <row r="705" spans="1:18" ht="15" customHeight="1">
      <c r="A705" s="411">
        <v>691</v>
      </c>
      <c r="B705" s="413" t="s">
        <v>2792</v>
      </c>
      <c r="C705" s="411">
        <f t="shared" si="12"/>
        <v>691</v>
      </c>
      <c r="D705" s="443" t="s">
        <v>2213</v>
      </c>
      <c r="E705" s="412" t="s">
        <v>341</v>
      </c>
      <c r="F705" s="912">
        <v>3.06401E-2</v>
      </c>
      <c r="G705" s="480">
        <v>2538.48</v>
      </c>
      <c r="H705" s="414">
        <v>487.2</v>
      </c>
      <c r="I705" s="413" t="s">
        <v>481</v>
      </c>
      <c r="J705" s="411">
        <v>1</v>
      </c>
      <c r="K705" s="411" t="s">
        <v>835</v>
      </c>
      <c r="L705" s="482">
        <v>348</v>
      </c>
      <c r="M705" s="461" t="s">
        <v>2412</v>
      </c>
      <c r="N705" s="483">
        <v>67.071199999999919</v>
      </c>
      <c r="O705" s="483">
        <v>134.15400000000011</v>
      </c>
      <c r="P705" s="913" t="s">
        <v>2413</v>
      </c>
      <c r="Q705" s="484">
        <v>336.67839999999967</v>
      </c>
      <c r="R705" s="497"/>
    </row>
    <row r="706" spans="1:18" ht="15" customHeight="1">
      <c r="A706" s="411">
        <v>692</v>
      </c>
      <c r="B706" s="413" t="s">
        <v>2793</v>
      </c>
      <c r="C706" s="411">
        <f t="shared" si="12"/>
        <v>692</v>
      </c>
      <c r="D706" s="443" t="s">
        <v>2213</v>
      </c>
      <c r="E706" s="412" t="s">
        <v>342</v>
      </c>
      <c r="F706" s="912">
        <v>3.7463999999999997E-2</v>
      </c>
      <c r="G706" s="480">
        <v>2538.4744000000001</v>
      </c>
      <c r="H706" s="414">
        <v>487.2</v>
      </c>
      <c r="I706" s="413" t="s">
        <v>481</v>
      </c>
      <c r="J706" s="411">
        <v>1</v>
      </c>
      <c r="K706" s="411" t="s">
        <v>836</v>
      </c>
      <c r="L706" s="482">
        <v>348</v>
      </c>
      <c r="M706" s="461" t="s">
        <v>2412</v>
      </c>
      <c r="N706" s="483">
        <v>67.071199999999919</v>
      </c>
      <c r="O706" s="483">
        <v>134.15400000000011</v>
      </c>
      <c r="P706" s="913" t="s">
        <v>2413</v>
      </c>
      <c r="Q706" s="484">
        <v>336.67839999999967</v>
      </c>
      <c r="R706" s="497"/>
    </row>
    <row r="707" spans="1:18" ht="15" customHeight="1">
      <c r="A707" s="233">
        <v>693</v>
      </c>
      <c r="B707" s="413" t="s">
        <v>2794</v>
      </c>
      <c r="C707" s="411">
        <f t="shared" si="12"/>
        <v>693</v>
      </c>
      <c r="D707" s="443" t="s">
        <v>2213</v>
      </c>
      <c r="E707" s="412" t="s">
        <v>343</v>
      </c>
      <c r="F707" s="912">
        <v>4.0758999999999997E-2</v>
      </c>
      <c r="G707" s="480">
        <v>2538.48</v>
      </c>
      <c r="H707" s="414">
        <v>487.2</v>
      </c>
      <c r="I707" s="413" t="s">
        <v>481</v>
      </c>
      <c r="J707" s="411">
        <v>1</v>
      </c>
      <c r="K707" s="411" t="s">
        <v>837</v>
      </c>
      <c r="L707" s="482">
        <v>348</v>
      </c>
      <c r="M707" s="461" t="s">
        <v>2412</v>
      </c>
      <c r="N707" s="483">
        <v>67.071199999999919</v>
      </c>
      <c r="O707" s="483">
        <v>134.15400000000011</v>
      </c>
      <c r="P707" s="913" t="s">
        <v>2413</v>
      </c>
      <c r="Q707" s="484">
        <v>336.67839999999967</v>
      </c>
      <c r="R707" s="497"/>
    </row>
    <row r="708" spans="1:18" ht="15" customHeight="1">
      <c r="A708" s="411">
        <v>694</v>
      </c>
      <c r="B708" s="413" t="s">
        <v>2795</v>
      </c>
      <c r="C708" s="411">
        <f t="shared" si="12"/>
        <v>694</v>
      </c>
      <c r="D708" s="443" t="s">
        <v>2213</v>
      </c>
      <c r="E708" s="412" t="s">
        <v>344</v>
      </c>
      <c r="F708" s="912">
        <v>6.1468600000000005E-2</v>
      </c>
      <c r="G708" s="480">
        <v>3463.0023344000001</v>
      </c>
      <c r="H708" s="414">
        <v>487.2</v>
      </c>
      <c r="I708" s="413" t="s">
        <v>533</v>
      </c>
      <c r="J708" s="411">
        <v>2</v>
      </c>
      <c r="K708" s="411" t="s">
        <v>838</v>
      </c>
      <c r="L708" s="482">
        <v>348</v>
      </c>
      <c r="M708" s="461" t="s">
        <v>2412</v>
      </c>
      <c r="N708" s="483">
        <v>121.62599999999989</v>
      </c>
      <c r="O708" s="483">
        <v>243.24040000000008</v>
      </c>
      <c r="P708" s="913" t="s">
        <v>2413</v>
      </c>
      <c r="Q708" s="484">
        <v>336.67839999999967</v>
      </c>
      <c r="R708" s="497"/>
    </row>
    <row r="709" spans="1:18" ht="15" customHeight="1">
      <c r="A709" s="411">
        <v>695</v>
      </c>
      <c r="B709" s="413" t="s">
        <v>2796</v>
      </c>
      <c r="C709" s="411">
        <f t="shared" si="12"/>
        <v>695</v>
      </c>
      <c r="D709" s="443" t="s">
        <v>2213</v>
      </c>
      <c r="E709" s="412" t="s">
        <v>345</v>
      </c>
      <c r="F709" s="912">
        <v>4.0962600000000002E-2</v>
      </c>
      <c r="G709" s="480">
        <v>2538.48</v>
      </c>
      <c r="H709" s="414">
        <v>487.2</v>
      </c>
      <c r="I709" s="413" t="s">
        <v>481</v>
      </c>
      <c r="J709" s="411">
        <v>1</v>
      </c>
      <c r="K709" s="411" t="s">
        <v>839</v>
      </c>
      <c r="L709" s="482">
        <v>348</v>
      </c>
      <c r="M709" s="461" t="s">
        <v>2412</v>
      </c>
      <c r="N709" s="483">
        <v>67.071199999999919</v>
      </c>
      <c r="O709" s="483">
        <v>134.15400000000011</v>
      </c>
      <c r="P709" s="913" t="s">
        <v>2413</v>
      </c>
      <c r="Q709" s="484">
        <v>336.67839999999967</v>
      </c>
      <c r="R709" s="497"/>
    </row>
    <row r="710" spans="1:18" ht="15" customHeight="1">
      <c r="A710" s="233">
        <v>696</v>
      </c>
      <c r="B710" s="413" t="s">
        <v>2797</v>
      </c>
      <c r="C710" s="411">
        <f t="shared" si="12"/>
        <v>696</v>
      </c>
      <c r="D710" s="443" t="s">
        <v>2213</v>
      </c>
      <c r="E710" s="412" t="s">
        <v>346</v>
      </c>
      <c r="F710" s="912">
        <v>4.0811E-2</v>
      </c>
      <c r="G710" s="480">
        <v>2538.48</v>
      </c>
      <c r="H710" s="414">
        <v>487.2</v>
      </c>
      <c r="I710" s="413" t="s">
        <v>481</v>
      </c>
      <c r="J710" s="411">
        <v>1</v>
      </c>
      <c r="K710" s="411" t="s">
        <v>840</v>
      </c>
      <c r="L710" s="482">
        <v>348</v>
      </c>
      <c r="M710" s="461" t="s">
        <v>2412</v>
      </c>
      <c r="N710" s="483">
        <v>67.071199999999919</v>
      </c>
      <c r="O710" s="483">
        <v>134.15400000000011</v>
      </c>
      <c r="P710" s="913" t="s">
        <v>2413</v>
      </c>
      <c r="Q710" s="484">
        <v>336.67839999999967</v>
      </c>
      <c r="R710" s="497"/>
    </row>
    <row r="711" spans="1:18" ht="15" customHeight="1">
      <c r="A711" s="411">
        <v>697</v>
      </c>
      <c r="B711" s="413" t="s">
        <v>2798</v>
      </c>
      <c r="C711" s="411">
        <f t="shared" si="12"/>
        <v>697</v>
      </c>
      <c r="D711" s="443" t="s">
        <v>2213</v>
      </c>
      <c r="E711" s="412" t="s">
        <v>347</v>
      </c>
      <c r="F711" s="912">
        <v>5.1864600000000004E-2</v>
      </c>
      <c r="G711" s="480">
        <v>3463.0023344000001</v>
      </c>
      <c r="H711" s="414">
        <v>487.2</v>
      </c>
      <c r="I711" s="413" t="s">
        <v>533</v>
      </c>
      <c r="J711" s="411">
        <v>2</v>
      </c>
      <c r="K711" s="411" t="s">
        <v>841</v>
      </c>
      <c r="L711" s="482">
        <v>348</v>
      </c>
      <c r="M711" s="461" t="s">
        <v>2412</v>
      </c>
      <c r="N711" s="483">
        <v>121.62599999999989</v>
      </c>
      <c r="O711" s="483">
        <v>243.24040000000008</v>
      </c>
      <c r="P711" s="913" t="s">
        <v>2413</v>
      </c>
      <c r="Q711" s="484">
        <v>336.67839999999967</v>
      </c>
      <c r="R711" s="497"/>
    </row>
    <row r="712" spans="1:18" ht="15" customHeight="1">
      <c r="A712" s="411">
        <v>698</v>
      </c>
      <c r="B712" s="413" t="s">
        <v>3214</v>
      </c>
      <c r="C712" s="411">
        <f t="shared" si="12"/>
        <v>698</v>
      </c>
      <c r="D712" s="443" t="s">
        <v>2213</v>
      </c>
      <c r="E712" s="412" t="s">
        <v>3222</v>
      </c>
      <c r="F712" s="912">
        <v>4.8639700000000001E-2</v>
      </c>
      <c r="G712" s="480">
        <v>3463.0023344000001</v>
      </c>
      <c r="H712" s="414">
        <v>487.2</v>
      </c>
      <c r="I712" s="413" t="s">
        <v>533</v>
      </c>
      <c r="J712" s="411">
        <v>2</v>
      </c>
      <c r="K712" s="411" t="s">
        <v>3233</v>
      </c>
      <c r="L712" s="482">
        <v>348</v>
      </c>
      <c r="M712" s="461" t="s">
        <v>2412</v>
      </c>
      <c r="N712" s="483">
        <v>121.62599999999989</v>
      </c>
      <c r="O712" s="483">
        <v>243.24040000000008</v>
      </c>
      <c r="P712" s="913" t="s">
        <v>2413</v>
      </c>
      <c r="Q712" s="484">
        <v>336.67839999999967</v>
      </c>
      <c r="R712" s="497"/>
    </row>
    <row r="713" spans="1:18" ht="15" customHeight="1">
      <c r="A713" s="233">
        <v>699</v>
      </c>
      <c r="B713" s="413" t="s">
        <v>2799</v>
      </c>
      <c r="C713" s="411">
        <f t="shared" si="12"/>
        <v>699</v>
      </c>
      <c r="D713" s="443" t="s">
        <v>2213</v>
      </c>
      <c r="E713" s="412" t="s">
        <v>2379</v>
      </c>
      <c r="F713" s="912">
        <v>5.1864600000000004E-2</v>
      </c>
      <c r="G713" s="480">
        <v>3463.0023344000001</v>
      </c>
      <c r="H713" s="414">
        <v>487.2</v>
      </c>
      <c r="I713" s="413" t="s">
        <v>533</v>
      </c>
      <c r="J713" s="411">
        <v>2</v>
      </c>
      <c r="K713" s="411" t="s">
        <v>2380</v>
      </c>
      <c r="L713" s="482">
        <v>348</v>
      </c>
      <c r="M713" s="461" t="s">
        <v>2412</v>
      </c>
      <c r="N713" s="483">
        <v>121.62599999999989</v>
      </c>
      <c r="O713" s="483">
        <v>243.24040000000008</v>
      </c>
      <c r="P713" s="913" t="s">
        <v>2413</v>
      </c>
      <c r="Q713" s="484">
        <v>336.67839999999967</v>
      </c>
      <c r="R713" s="497"/>
    </row>
    <row r="714" spans="1:18" ht="15" customHeight="1">
      <c r="A714" s="411">
        <v>700</v>
      </c>
      <c r="B714" s="413" t="s">
        <v>2800</v>
      </c>
      <c r="C714" s="411">
        <f t="shared" si="12"/>
        <v>700</v>
      </c>
      <c r="D714" s="443" t="s">
        <v>2213</v>
      </c>
      <c r="E714" s="412" t="s">
        <v>348</v>
      </c>
      <c r="F714" s="912">
        <v>2.5281999999999999E-2</v>
      </c>
      <c r="G714" s="480">
        <v>2538.4744000000001</v>
      </c>
      <c r="H714" s="414">
        <v>487.2</v>
      </c>
      <c r="I714" s="413" t="s">
        <v>481</v>
      </c>
      <c r="J714" s="411">
        <v>1</v>
      </c>
      <c r="K714" s="411" t="s">
        <v>842</v>
      </c>
      <c r="L714" s="482">
        <v>348</v>
      </c>
      <c r="M714" s="461" t="s">
        <v>2412</v>
      </c>
      <c r="N714" s="483">
        <v>67.071199999999919</v>
      </c>
      <c r="O714" s="483">
        <v>134.15400000000011</v>
      </c>
      <c r="P714" s="913" t="s">
        <v>2413</v>
      </c>
      <c r="Q714" s="484">
        <v>336.67839999999967</v>
      </c>
      <c r="R714" s="497"/>
    </row>
    <row r="715" spans="1:18" ht="15" customHeight="1">
      <c r="A715" s="411">
        <v>701</v>
      </c>
      <c r="B715" s="413" t="s">
        <v>2801</v>
      </c>
      <c r="C715" s="411">
        <f t="shared" si="12"/>
        <v>701</v>
      </c>
      <c r="D715" s="443" t="s">
        <v>2213</v>
      </c>
      <c r="E715" s="412" t="s">
        <v>349</v>
      </c>
      <c r="F715" s="912">
        <v>3.7204100000000004E-2</v>
      </c>
      <c r="G715" s="480">
        <v>2538.48</v>
      </c>
      <c r="H715" s="414">
        <v>487.2</v>
      </c>
      <c r="I715" s="413" t="s">
        <v>481</v>
      </c>
      <c r="J715" s="411">
        <v>1</v>
      </c>
      <c r="K715" s="411" t="s">
        <v>843</v>
      </c>
      <c r="L715" s="482">
        <v>348</v>
      </c>
      <c r="M715" s="461" t="s">
        <v>2412</v>
      </c>
      <c r="N715" s="483">
        <v>67.071199999999919</v>
      </c>
      <c r="O715" s="483">
        <v>134.15400000000011</v>
      </c>
      <c r="P715" s="913" t="s">
        <v>2413</v>
      </c>
      <c r="Q715" s="484">
        <v>336.67839999999967</v>
      </c>
      <c r="R715" s="497"/>
    </row>
    <row r="716" spans="1:18" ht="15" customHeight="1">
      <c r="A716" s="233">
        <v>702</v>
      </c>
      <c r="B716" s="413" t="s">
        <v>2802</v>
      </c>
      <c r="C716" s="411">
        <f t="shared" si="12"/>
        <v>702</v>
      </c>
      <c r="D716" s="443" t="s">
        <v>2213</v>
      </c>
      <c r="E716" s="412" t="s">
        <v>350</v>
      </c>
      <c r="F716" s="912">
        <v>4.0337999999999999E-2</v>
      </c>
      <c r="G716" s="480">
        <v>2538.4744000000001</v>
      </c>
      <c r="H716" s="414">
        <v>487.2</v>
      </c>
      <c r="I716" s="413" t="s">
        <v>481</v>
      </c>
      <c r="J716" s="411">
        <v>1</v>
      </c>
      <c r="K716" s="411" t="s">
        <v>844</v>
      </c>
      <c r="L716" s="482">
        <v>348</v>
      </c>
      <c r="M716" s="461" t="s">
        <v>2412</v>
      </c>
      <c r="N716" s="483">
        <v>67.071199999999919</v>
      </c>
      <c r="O716" s="483">
        <v>134.15400000000011</v>
      </c>
      <c r="P716" s="913" t="s">
        <v>2413</v>
      </c>
      <c r="Q716" s="484">
        <v>336.67839999999967</v>
      </c>
      <c r="R716" s="497"/>
    </row>
    <row r="717" spans="1:18" ht="15" customHeight="1">
      <c r="A717" s="411">
        <v>703</v>
      </c>
      <c r="B717" s="413" t="s">
        <v>2803</v>
      </c>
      <c r="C717" s="411">
        <f t="shared" si="12"/>
        <v>703</v>
      </c>
      <c r="D717" s="443" t="s">
        <v>2213</v>
      </c>
      <c r="E717" s="412" t="s">
        <v>351</v>
      </c>
      <c r="F717" s="912">
        <v>4.22108E-2</v>
      </c>
      <c r="G717" s="480">
        <v>2538.48</v>
      </c>
      <c r="H717" s="414">
        <v>487.2</v>
      </c>
      <c r="I717" s="413" t="s">
        <v>481</v>
      </c>
      <c r="J717" s="411">
        <v>1</v>
      </c>
      <c r="K717" s="411" t="s">
        <v>845</v>
      </c>
      <c r="L717" s="482">
        <v>348</v>
      </c>
      <c r="M717" s="461" t="s">
        <v>2412</v>
      </c>
      <c r="N717" s="483">
        <v>67.071199999999919</v>
      </c>
      <c r="O717" s="483">
        <v>134.15400000000011</v>
      </c>
      <c r="P717" s="913" t="s">
        <v>2413</v>
      </c>
      <c r="Q717" s="484">
        <v>336.67839999999967</v>
      </c>
      <c r="R717" s="497"/>
    </row>
    <row r="718" spans="1:18" ht="15" customHeight="1">
      <c r="A718" s="411">
        <v>704</v>
      </c>
      <c r="B718" s="413" t="s">
        <v>2804</v>
      </c>
      <c r="C718" s="411">
        <f t="shared" si="12"/>
        <v>704</v>
      </c>
      <c r="D718" s="443" t="s">
        <v>2213</v>
      </c>
      <c r="E718" s="412" t="s">
        <v>352</v>
      </c>
      <c r="F718" s="912">
        <v>4.1417200000000001E-2</v>
      </c>
      <c r="G718" s="480">
        <v>2538.48</v>
      </c>
      <c r="H718" s="414">
        <v>487.2</v>
      </c>
      <c r="I718" s="413" t="s">
        <v>481</v>
      </c>
      <c r="J718" s="411">
        <v>1</v>
      </c>
      <c r="K718" s="411" t="s">
        <v>846</v>
      </c>
      <c r="L718" s="482">
        <v>348</v>
      </c>
      <c r="M718" s="461" t="s">
        <v>2412</v>
      </c>
      <c r="N718" s="483">
        <v>67.071199999999919</v>
      </c>
      <c r="O718" s="483">
        <v>134.15400000000011</v>
      </c>
      <c r="P718" s="913" t="s">
        <v>2413</v>
      </c>
      <c r="Q718" s="484">
        <v>336.67839999999967</v>
      </c>
      <c r="R718" s="497"/>
    </row>
    <row r="719" spans="1:18" ht="15" customHeight="1">
      <c r="A719" s="233">
        <v>705</v>
      </c>
      <c r="B719" s="413" t="s">
        <v>2805</v>
      </c>
      <c r="C719" s="411">
        <f t="shared" si="12"/>
        <v>705</v>
      </c>
      <c r="D719" s="443" t="s">
        <v>2213</v>
      </c>
      <c r="E719" s="412" t="s">
        <v>353</v>
      </c>
      <c r="F719" s="912">
        <v>4.1338E-2</v>
      </c>
      <c r="G719" s="480">
        <v>2538.48</v>
      </c>
      <c r="H719" s="414">
        <v>487.2</v>
      </c>
      <c r="I719" s="413" t="s">
        <v>481</v>
      </c>
      <c r="J719" s="411">
        <v>1</v>
      </c>
      <c r="K719" s="411" t="s">
        <v>847</v>
      </c>
      <c r="L719" s="482">
        <v>348</v>
      </c>
      <c r="M719" s="461" t="s">
        <v>2412</v>
      </c>
      <c r="N719" s="483">
        <v>67.071199999999919</v>
      </c>
      <c r="O719" s="483">
        <v>134.15400000000011</v>
      </c>
      <c r="P719" s="913" t="s">
        <v>2413</v>
      </c>
      <c r="Q719" s="484">
        <v>336.67839999999967</v>
      </c>
      <c r="R719" s="497"/>
    </row>
    <row r="720" spans="1:18" ht="15" customHeight="1">
      <c r="A720" s="411">
        <v>706</v>
      </c>
      <c r="B720" s="413" t="s">
        <v>2806</v>
      </c>
      <c r="C720" s="411">
        <f t="shared" ref="C720:C783" si="13">A720</f>
        <v>706</v>
      </c>
      <c r="D720" s="443" t="s">
        <v>2213</v>
      </c>
      <c r="E720" s="412" t="s">
        <v>354</v>
      </c>
      <c r="F720" s="912">
        <v>2.9425E-2</v>
      </c>
      <c r="G720" s="480">
        <v>2538.4744000000001</v>
      </c>
      <c r="H720" s="414">
        <v>487.2</v>
      </c>
      <c r="I720" s="413" t="s">
        <v>481</v>
      </c>
      <c r="J720" s="411">
        <v>1</v>
      </c>
      <c r="K720" s="411" t="s">
        <v>848</v>
      </c>
      <c r="L720" s="482">
        <v>348</v>
      </c>
      <c r="M720" s="461" t="s">
        <v>2412</v>
      </c>
      <c r="N720" s="483">
        <v>67.071199999999919</v>
      </c>
      <c r="O720" s="483">
        <v>134.15400000000011</v>
      </c>
      <c r="P720" s="913" t="s">
        <v>2413</v>
      </c>
      <c r="Q720" s="484">
        <v>336.67839999999967</v>
      </c>
      <c r="R720" s="497"/>
    </row>
    <row r="721" spans="1:18" ht="15" customHeight="1">
      <c r="A721" s="411">
        <v>707</v>
      </c>
      <c r="B721" s="413" t="s">
        <v>2807</v>
      </c>
      <c r="C721" s="411">
        <f t="shared" si="13"/>
        <v>707</v>
      </c>
      <c r="D721" s="443" t="s">
        <v>2213</v>
      </c>
      <c r="E721" s="412" t="s">
        <v>355</v>
      </c>
      <c r="F721" s="912">
        <v>5.1864600000000004E-2</v>
      </c>
      <c r="G721" s="480">
        <v>3463.0023344000001</v>
      </c>
      <c r="H721" s="414">
        <v>487.2</v>
      </c>
      <c r="I721" s="413" t="s">
        <v>533</v>
      </c>
      <c r="J721" s="411">
        <v>2</v>
      </c>
      <c r="K721" s="411" t="s">
        <v>849</v>
      </c>
      <c r="L721" s="482">
        <v>348</v>
      </c>
      <c r="M721" s="461" t="s">
        <v>2412</v>
      </c>
      <c r="N721" s="483">
        <v>121.62599999999989</v>
      </c>
      <c r="O721" s="483">
        <v>243.24040000000008</v>
      </c>
      <c r="P721" s="913" t="s">
        <v>2413</v>
      </c>
      <c r="Q721" s="484">
        <v>336.67839999999967</v>
      </c>
      <c r="R721" s="497"/>
    </row>
    <row r="722" spans="1:18" ht="15" customHeight="1">
      <c r="A722" s="233">
        <v>708</v>
      </c>
      <c r="B722" s="413" t="s">
        <v>2808</v>
      </c>
      <c r="C722" s="411">
        <f t="shared" si="13"/>
        <v>708</v>
      </c>
      <c r="D722" s="443" t="s">
        <v>2213</v>
      </c>
      <c r="E722" s="412" t="s">
        <v>356</v>
      </c>
      <c r="F722" s="912">
        <v>5.1864600000000004E-2</v>
      </c>
      <c r="G722" s="480">
        <v>3463.0023344000001</v>
      </c>
      <c r="H722" s="414">
        <v>487.2</v>
      </c>
      <c r="I722" s="413" t="s">
        <v>533</v>
      </c>
      <c r="J722" s="411">
        <v>2</v>
      </c>
      <c r="K722" s="411" t="s">
        <v>850</v>
      </c>
      <c r="L722" s="482">
        <v>348</v>
      </c>
      <c r="M722" s="461" t="s">
        <v>2412</v>
      </c>
      <c r="N722" s="483">
        <v>121.62599999999989</v>
      </c>
      <c r="O722" s="483">
        <v>243.24040000000008</v>
      </c>
      <c r="P722" s="913" t="s">
        <v>2413</v>
      </c>
      <c r="Q722" s="484">
        <v>336.67839999999967</v>
      </c>
      <c r="R722" s="497"/>
    </row>
    <row r="723" spans="1:18" ht="15" customHeight="1">
      <c r="A723" s="411">
        <v>709</v>
      </c>
      <c r="B723" s="413" t="s">
        <v>2809</v>
      </c>
      <c r="C723" s="411">
        <f t="shared" si="13"/>
        <v>709</v>
      </c>
      <c r="D723" s="443" t="s">
        <v>2213</v>
      </c>
      <c r="E723" s="412" t="s">
        <v>357</v>
      </c>
      <c r="F723" s="912">
        <v>3.2460200000000002E-2</v>
      </c>
      <c r="G723" s="480">
        <v>2538.48</v>
      </c>
      <c r="H723" s="414">
        <v>487.2</v>
      </c>
      <c r="I723" s="413" t="s">
        <v>481</v>
      </c>
      <c r="J723" s="411">
        <v>1</v>
      </c>
      <c r="K723" s="411" t="s">
        <v>851</v>
      </c>
      <c r="L723" s="482">
        <v>348</v>
      </c>
      <c r="M723" s="461" t="s">
        <v>2412</v>
      </c>
      <c r="N723" s="483">
        <v>67.071199999999919</v>
      </c>
      <c r="O723" s="483">
        <v>134.15400000000011</v>
      </c>
      <c r="P723" s="913" t="s">
        <v>2413</v>
      </c>
      <c r="Q723" s="484">
        <v>336.67839999999967</v>
      </c>
      <c r="R723" s="497"/>
    </row>
    <row r="724" spans="1:18" ht="15" customHeight="1">
      <c r="A724" s="411">
        <v>710</v>
      </c>
      <c r="B724" s="413" t="s">
        <v>11042</v>
      </c>
      <c r="C724" s="411">
        <f t="shared" si="13"/>
        <v>710</v>
      </c>
      <c r="D724" s="443" t="s">
        <v>2214</v>
      </c>
      <c r="E724" s="412" t="s">
        <v>11054</v>
      </c>
      <c r="F724" s="912">
        <v>3.8318999999999999E-2</v>
      </c>
      <c r="G724" s="480">
        <v>11870.23</v>
      </c>
      <c r="H724" s="414">
        <v>487.2</v>
      </c>
      <c r="I724" s="413" t="s">
        <v>3620</v>
      </c>
      <c r="J724" s="411">
        <v>3</v>
      </c>
      <c r="K724" s="411" t="s">
        <v>11068</v>
      </c>
      <c r="L724" s="482">
        <v>0</v>
      </c>
      <c r="M724" s="461" t="s">
        <v>2412</v>
      </c>
      <c r="N724" s="483">
        <v>481.76540000000057</v>
      </c>
      <c r="O724" s="483">
        <v>963.53080000000114</v>
      </c>
      <c r="P724" s="913" t="s">
        <v>2413</v>
      </c>
      <c r="Q724" s="484">
        <v>0</v>
      </c>
      <c r="R724" s="497"/>
    </row>
    <row r="725" spans="1:18" ht="15" customHeight="1">
      <c r="A725" s="233">
        <v>711</v>
      </c>
      <c r="B725" s="413" t="s">
        <v>5173</v>
      </c>
      <c r="C725" s="411">
        <f t="shared" si="13"/>
        <v>711</v>
      </c>
      <c r="D725" s="443" t="s">
        <v>2214</v>
      </c>
      <c r="E725" s="412" t="s">
        <v>5193</v>
      </c>
      <c r="F725" s="912">
        <v>3.8318999999999999E-2</v>
      </c>
      <c r="G725" s="480">
        <v>11870.23</v>
      </c>
      <c r="H725" s="414">
        <v>491.2</v>
      </c>
      <c r="I725" s="413" t="s">
        <v>3620</v>
      </c>
      <c r="J725" s="411">
        <v>3</v>
      </c>
      <c r="K725" s="411" t="s">
        <v>5212</v>
      </c>
      <c r="L725" s="482">
        <v>348</v>
      </c>
      <c r="M725" s="461" t="s">
        <v>2412</v>
      </c>
      <c r="N725" s="483">
        <v>481.76540000000057</v>
      </c>
      <c r="O725" s="483">
        <v>963.53080000000114</v>
      </c>
      <c r="P725" s="913" t="s">
        <v>2413</v>
      </c>
      <c r="Q725" s="484">
        <v>0</v>
      </c>
      <c r="R725" s="497"/>
    </row>
    <row r="726" spans="1:18" ht="15" customHeight="1">
      <c r="A726" s="411">
        <v>712</v>
      </c>
      <c r="B726" s="413" t="s">
        <v>4868</v>
      </c>
      <c r="C726" s="411">
        <f t="shared" si="13"/>
        <v>712</v>
      </c>
      <c r="D726" s="443" t="s">
        <v>2214</v>
      </c>
      <c r="E726" s="412" t="s">
        <v>5194</v>
      </c>
      <c r="F726" s="912">
        <v>3.8318999999999999E-2</v>
      </c>
      <c r="G726" s="480">
        <v>11870.23</v>
      </c>
      <c r="H726" s="414">
        <v>487.2</v>
      </c>
      <c r="I726" s="413" t="s">
        <v>3620</v>
      </c>
      <c r="J726" s="411">
        <v>3</v>
      </c>
      <c r="K726" s="411" t="s">
        <v>4928</v>
      </c>
      <c r="L726" s="482">
        <v>348</v>
      </c>
      <c r="M726" s="461" t="s">
        <v>2412</v>
      </c>
      <c r="N726" s="483">
        <v>481.76540000000057</v>
      </c>
      <c r="O726" s="483">
        <v>963.53080000000114</v>
      </c>
      <c r="P726" s="913" t="s">
        <v>2413</v>
      </c>
      <c r="Q726" s="484">
        <v>0</v>
      </c>
      <c r="R726" s="497"/>
    </row>
    <row r="727" spans="1:18" ht="15" customHeight="1">
      <c r="A727" s="411">
        <v>713</v>
      </c>
      <c r="B727" s="413" t="s">
        <v>2810</v>
      </c>
      <c r="C727" s="411">
        <f t="shared" si="13"/>
        <v>713</v>
      </c>
      <c r="D727" s="443" t="s">
        <v>2214</v>
      </c>
      <c r="E727" s="412" t="s">
        <v>2214</v>
      </c>
      <c r="F727" s="912">
        <v>3.4355799999999999E-2</v>
      </c>
      <c r="G727" s="480">
        <v>2538.48</v>
      </c>
      <c r="H727" s="414">
        <v>487.2</v>
      </c>
      <c r="I727" s="413" t="s">
        <v>481</v>
      </c>
      <c r="J727" s="411">
        <v>1</v>
      </c>
      <c r="K727" s="411" t="s">
        <v>852</v>
      </c>
      <c r="L727" s="482">
        <v>348</v>
      </c>
      <c r="M727" s="461" t="s">
        <v>2412</v>
      </c>
      <c r="N727" s="483">
        <v>67.071199999999919</v>
      </c>
      <c r="O727" s="483">
        <v>134.15400000000011</v>
      </c>
      <c r="P727" s="913" t="s">
        <v>2413</v>
      </c>
      <c r="Q727" s="484">
        <v>336.67839999999967</v>
      </c>
      <c r="R727" s="497"/>
    </row>
    <row r="728" spans="1:18" ht="15" customHeight="1">
      <c r="A728" s="233">
        <v>714</v>
      </c>
      <c r="B728" s="413" t="s">
        <v>5654</v>
      </c>
      <c r="C728" s="411">
        <f t="shared" si="13"/>
        <v>714</v>
      </c>
      <c r="D728" s="443" t="s">
        <v>2215</v>
      </c>
      <c r="E728" s="412" t="s">
        <v>5703</v>
      </c>
      <c r="F728" s="912">
        <v>2.8934000000000001E-2</v>
      </c>
      <c r="G728" s="480">
        <v>8154.31</v>
      </c>
      <c r="H728" s="414">
        <v>487.2</v>
      </c>
      <c r="I728" s="413" t="s">
        <v>3620</v>
      </c>
      <c r="J728" s="411">
        <v>3</v>
      </c>
      <c r="K728" s="411" t="s">
        <v>5728</v>
      </c>
      <c r="L728" s="482">
        <v>348</v>
      </c>
      <c r="M728" s="461" t="s">
        <v>2412</v>
      </c>
      <c r="N728" s="483">
        <v>330.29</v>
      </c>
      <c r="O728" s="483">
        <v>660.56199999999978</v>
      </c>
      <c r="P728" s="913" t="s">
        <v>2413</v>
      </c>
      <c r="Q728" s="484">
        <v>0</v>
      </c>
      <c r="R728" s="497"/>
    </row>
    <row r="729" spans="1:18" ht="15" customHeight="1">
      <c r="A729" s="411">
        <v>715</v>
      </c>
      <c r="B729" s="413" t="s">
        <v>5655</v>
      </c>
      <c r="C729" s="411">
        <f t="shared" si="13"/>
        <v>715</v>
      </c>
      <c r="D729" s="443" t="s">
        <v>2215</v>
      </c>
      <c r="E729" s="412" t="s">
        <v>5704</v>
      </c>
      <c r="F729" s="912">
        <v>2.8934000000000001E-2</v>
      </c>
      <c r="G729" s="480">
        <v>8154.31</v>
      </c>
      <c r="H729" s="414">
        <v>489.2</v>
      </c>
      <c r="I729" s="413" t="s">
        <v>3620</v>
      </c>
      <c r="J729" s="411">
        <v>3</v>
      </c>
      <c r="K729" s="411" t="s">
        <v>5729</v>
      </c>
      <c r="L729" s="482">
        <v>348</v>
      </c>
      <c r="M729" s="461" t="s">
        <v>2412</v>
      </c>
      <c r="N729" s="483">
        <v>330.29</v>
      </c>
      <c r="O729" s="483">
        <v>660.56199999999978</v>
      </c>
      <c r="P729" s="913" t="s">
        <v>2413</v>
      </c>
      <c r="Q729" s="484">
        <v>0</v>
      </c>
      <c r="R729" s="497"/>
    </row>
    <row r="730" spans="1:18" ht="15" customHeight="1">
      <c r="A730" s="411">
        <v>716</v>
      </c>
      <c r="B730" s="413" t="s">
        <v>3442</v>
      </c>
      <c r="C730" s="411">
        <f t="shared" si="13"/>
        <v>716</v>
      </c>
      <c r="D730" s="443" t="s">
        <v>2215</v>
      </c>
      <c r="E730" s="412" t="s">
        <v>3613</v>
      </c>
      <c r="F730" s="912">
        <v>2.8934000000000001E-2</v>
      </c>
      <c r="G730" s="480">
        <v>8154.31</v>
      </c>
      <c r="H730" s="414">
        <v>487.2</v>
      </c>
      <c r="I730" s="413" t="s">
        <v>3620</v>
      </c>
      <c r="J730" s="411">
        <v>3</v>
      </c>
      <c r="K730" s="411" t="s">
        <v>3530</v>
      </c>
      <c r="L730" s="482">
        <v>348</v>
      </c>
      <c r="M730" s="461" t="s">
        <v>2412</v>
      </c>
      <c r="N730" s="483">
        <v>330.29</v>
      </c>
      <c r="O730" s="483">
        <v>660.56</v>
      </c>
      <c r="P730" s="913" t="s">
        <v>2413</v>
      </c>
      <c r="Q730" s="484">
        <v>0</v>
      </c>
      <c r="R730" s="497"/>
    </row>
    <row r="731" spans="1:18" ht="15" customHeight="1">
      <c r="A731" s="233">
        <v>717</v>
      </c>
      <c r="B731" s="413" t="s">
        <v>3443</v>
      </c>
      <c r="C731" s="411">
        <f t="shared" si="13"/>
        <v>717</v>
      </c>
      <c r="D731" s="443" t="s">
        <v>2215</v>
      </c>
      <c r="E731" s="412" t="s">
        <v>3614</v>
      </c>
      <c r="F731" s="912">
        <v>2.8934000000000001E-2</v>
      </c>
      <c r="G731" s="480">
        <v>8154.31</v>
      </c>
      <c r="H731" s="414">
        <v>487.2</v>
      </c>
      <c r="I731" s="413" t="s">
        <v>3620</v>
      </c>
      <c r="J731" s="411">
        <v>3</v>
      </c>
      <c r="K731" s="411" t="s">
        <v>3531</v>
      </c>
      <c r="L731" s="482">
        <v>348</v>
      </c>
      <c r="M731" s="461" t="s">
        <v>2412</v>
      </c>
      <c r="N731" s="483">
        <v>330.29</v>
      </c>
      <c r="O731" s="483">
        <v>660.56</v>
      </c>
      <c r="P731" s="913" t="s">
        <v>2413</v>
      </c>
      <c r="Q731" s="484">
        <v>0</v>
      </c>
      <c r="R731" s="497"/>
    </row>
    <row r="732" spans="1:18" ht="15" customHeight="1">
      <c r="A732" s="411">
        <v>718</v>
      </c>
      <c r="B732" s="413" t="s">
        <v>3444</v>
      </c>
      <c r="C732" s="411">
        <f t="shared" si="13"/>
        <v>718</v>
      </c>
      <c r="D732" s="443" t="s">
        <v>2215</v>
      </c>
      <c r="E732" s="412" t="s">
        <v>3615</v>
      </c>
      <c r="F732" s="912">
        <v>2.8934000000000001E-2</v>
      </c>
      <c r="G732" s="480">
        <v>8154.31</v>
      </c>
      <c r="H732" s="414">
        <v>487.2</v>
      </c>
      <c r="I732" s="413" t="s">
        <v>3620</v>
      </c>
      <c r="J732" s="411">
        <v>3</v>
      </c>
      <c r="K732" s="411" t="s">
        <v>3532</v>
      </c>
      <c r="L732" s="482">
        <v>348</v>
      </c>
      <c r="M732" s="461" t="s">
        <v>2412</v>
      </c>
      <c r="N732" s="483">
        <v>330.29</v>
      </c>
      <c r="O732" s="483">
        <v>660.56</v>
      </c>
      <c r="P732" s="913" t="s">
        <v>2413</v>
      </c>
      <c r="Q732" s="484">
        <v>0</v>
      </c>
      <c r="R732" s="497"/>
    </row>
    <row r="733" spans="1:18" ht="15" customHeight="1">
      <c r="A733" s="411">
        <v>719</v>
      </c>
      <c r="B733" s="413" t="s">
        <v>3445</v>
      </c>
      <c r="C733" s="411">
        <f t="shared" si="13"/>
        <v>719</v>
      </c>
      <c r="D733" s="443" t="s">
        <v>2215</v>
      </c>
      <c r="E733" s="412" t="s">
        <v>3616</v>
      </c>
      <c r="F733" s="912">
        <v>2.8934000000000001E-2</v>
      </c>
      <c r="G733" s="480">
        <v>8154.31</v>
      </c>
      <c r="H733" s="414">
        <v>487.2</v>
      </c>
      <c r="I733" s="413" t="s">
        <v>3620</v>
      </c>
      <c r="J733" s="411">
        <v>3</v>
      </c>
      <c r="K733" s="411" t="s">
        <v>3533</v>
      </c>
      <c r="L733" s="482">
        <v>348</v>
      </c>
      <c r="M733" s="461" t="s">
        <v>2412</v>
      </c>
      <c r="N733" s="483">
        <v>330.29</v>
      </c>
      <c r="O733" s="483">
        <v>660.56</v>
      </c>
      <c r="P733" s="913" t="s">
        <v>2413</v>
      </c>
      <c r="Q733" s="484">
        <v>0</v>
      </c>
      <c r="R733" s="497"/>
    </row>
    <row r="734" spans="1:18" ht="15" customHeight="1">
      <c r="A734" s="233">
        <v>720</v>
      </c>
      <c r="B734" s="413" t="s">
        <v>10961</v>
      </c>
      <c r="C734" s="411">
        <f t="shared" si="13"/>
        <v>720</v>
      </c>
      <c r="D734" s="443" t="s">
        <v>2215</v>
      </c>
      <c r="E734" s="412" t="s">
        <v>10975</v>
      </c>
      <c r="F734" s="912">
        <v>3.1363000000000002E-2</v>
      </c>
      <c r="G734" s="480">
        <v>7453.37</v>
      </c>
      <c r="H734" s="414">
        <v>487.2</v>
      </c>
      <c r="I734" s="413" t="s">
        <v>3620</v>
      </c>
      <c r="J734" s="411">
        <v>3</v>
      </c>
      <c r="K734" s="411" t="s">
        <v>10987</v>
      </c>
      <c r="L734" s="482">
        <v>348</v>
      </c>
      <c r="M734" s="461" t="s">
        <v>2412</v>
      </c>
      <c r="N734" s="483">
        <v>298.14319999999947</v>
      </c>
      <c r="O734" s="483">
        <v>596.28639999999996</v>
      </c>
      <c r="P734" s="913" t="s">
        <v>2413</v>
      </c>
      <c r="Q734" s="484">
        <v>0</v>
      </c>
      <c r="R734" s="497"/>
    </row>
    <row r="735" spans="1:18" ht="15" customHeight="1">
      <c r="A735" s="411">
        <v>721</v>
      </c>
      <c r="B735" s="413" t="s">
        <v>5174</v>
      </c>
      <c r="C735" s="411">
        <f t="shared" si="13"/>
        <v>721</v>
      </c>
      <c r="D735" s="443" t="s">
        <v>2215</v>
      </c>
      <c r="E735" s="412" t="s">
        <v>5195</v>
      </c>
      <c r="F735" s="912">
        <v>5.1865000000000001E-2</v>
      </c>
      <c r="G735" s="480">
        <v>3463</v>
      </c>
      <c r="H735" s="414">
        <v>487.2</v>
      </c>
      <c r="I735" s="413" t="s">
        <v>533</v>
      </c>
      <c r="J735" s="411">
        <v>2</v>
      </c>
      <c r="K735" s="411" t="s">
        <v>1530</v>
      </c>
      <c r="L735" s="482">
        <v>348</v>
      </c>
      <c r="M735" s="461" t="s">
        <v>2412</v>
      </c>
      <c r="N735" s="483">
        <v>121.62599999999989</v>
      </c>
      <c r="O735" s="483">
        <v>243.24040000000008</v>
      </c>
      <c r="P735" s="913" t="s">
        <v>2413</v>
      </c>
      <c r="Q735" s="484">
        <v>336.67839999999967</v>
      </c>
      <c r="R735" s="497"/>
    </row>
    <row r="736" spans="1:18" ht="15" customHeight="1">
      <c r="A736" s="411">
        <v>722</v>
      </c>
      <c r="B736" s="413" t="s">
        <v>2811</v>
      </c>
      <c r="C736" s="411">
        <f t="shared" si="13"/>
        <v>722</v>
      </c>
      <c r="D736" s="443" t="s">
        <v>2215</v>
      </c>
      <c r="E736" s="412" t="s">
        <v>358</v>
      </c>
      <c r="F736" s="912">
        <v>4.8093299999999999E-2</v>
      </c>
      <c r="G736" s="480">
        <v>2538.48</v>
      </c>
      <c r="H736" s="414">
        <v>487.2</v>
      </c>
      <c r="I736" s="413" t="s">
        <v>481</v>
      </c>
      <c r="J736" s="411">
        <v>1</v>
      </c>
      <c r="K736" s="411" t="s">
        <v>853</v>
      </c>
      <c r="L736" s="482">
        <v>348</v>
      </c>
      <c r="M736" s="461" t="s">
        <v>2412</v>
      </c>
      <c r="N736" s="483">
        <v>67.071199999999919</v>
      </c>
      <c r="O736" s="483">
        <v>134.15400000000011</v>
      </c>
      <c r="P736" s="913" t="s">
        <v>2413</v>
      </c>
      <c r="Q736" s="484">
        <v>336.67839999999967</v>
      </c>
      <c r="R736" s="497"/>
    </row>
    <row r="737" spans="1:18" ht="15" customHeight="1">
      <c r="A737" s="233">
        <v>723</v>
      </c>
      <c r="B737" s="413" t="s">
        <v>2812</v>
      </c>
      <c r="C737" s="411">
        <f t="shared" si="13"/>
        <v>723</v>
      </c>
      <c r="D737" s="443" t="s">
        <v>2215</v>
      </c>
      <c r="E737" s="412" t="s">
        <v>359</v>
      </c>
      <c r="F737" s="912">
        <v>4.8093299999999999E-2</v>
      </c>
      <c r="G737" s="480">
        <v>2538.48</v>
      </c>
      <c r="H737" s="414">
        <v>487.2</v>
      </c>
      <c r="I737" s="413" t="s">
        <v>481</v>
      </c>
      <c r="J737" s="411">
        <v>1</v>
      </c>
      <c r="K737" s="411" t="s">
        <v>854</v>
      </c>
      <c r="L737" s="482">
        <v>348</v>
      </c>
      <c r="M737" s="461" t="s">
        <v>2412</v>
      </c>
      <c r="N737" s="483">
        <v>67.071199999999919</v>
      </c>
      <c r="O737" s="483">
        <v>134.15400000000011</v>
      </c>
      <c r="P737" s="913" t="s">
        <v>2413</v>
      </c>
      <c r="Q737" s="484">
        <v>336.67839999999967</v>
      </c>
      <c r="R737" s="497"/>
    </row>
    <row r="738" spans="1:18" ht="15" customHeight="1">
      <c r="A738" s="411">
        <v>724</v>
      </c>
      <c r="B738" s="413" t="s">
        <v>4160</v>
      </c>
      <c r="C738" s="411">
        <f t="shared" si="13"/>
        <v>724</v>
      </c>
      <c r="D738" s="443" t="s">
        <v>2215</v>
      </c>
      <c r="E738" s="412" t="s">
        <v>4165</v>
      </c>
      <c r="F738" s="912">
        <v>4.8639700000000001E-2</v>
      </c>
      <c r="G738" s="480">
        <v>3463.0023344000001</v>
      </c>
      <c r="H738" s="414">
        <v>487.2</v>
      </c>
      <c r="I738" s="413" t="s">
        <v>533</v>
      </c>
      <c r="J738" s="411">
        <v>2</v>
      </c>
      <c r="K738" s="411" t="s">
        <v>4170</v>
      </c>
      <c r="L738" s="482">
        <v>348</v>
      </c>
      <c r="M738" s="461" t="s">
        <v>2412</v>
      </c>
      <c r="N738" s="483">
        <v>121.62599999999989</v>
      </c>
      <c r="O738" s="483">
        <v>243.24040000000008</v>
      </c>
      <c r="P738" s="913" t="s">
        <v>2413</v>
      </c>
      <c r="Q738" s="484">
        <v>336.67839999999967</v>
      </c>
      <c r="R738" s="497"/>
    </row>
    <row r="739" spans="1:18" ht="15" customHeight="1">
      <c r="A739" s="411">
        <v>725</v>
      </c>
      <c r="B739" s="413" t="s">
        <v>5152</v>
      </c>
      <c r="C739" s="411">
        <f t="shared" si="13"/>
        <v>725</v>
      </c>
      <c r="D739" s="443" t="s">
        <v>2215</v>
      </c>
      <c r="E739" s="412" t="s">
        <v>4899</v>
      </c>
      <c r="F739" s="912">
        <v>4.8640000000000003E-2</v>
      </c>
      <c r="G739" s="480">
        <v>3463</v>
      </c>
      <c r="H739" s="414">
        <v>487.2</v>
      </c>
      <c r="I739" s="413" t="s">
        <v>533</v>
      </c>
      <c r="J739" s="411">
        <v>2</v>
      </c>
      <c r="K739" s="411" t="s">
        <v>4927</v>
      </c>
      <c r="L739" s="482">
        <v>348</v>
      </c>
      <c r="M739" s="461" t="s">
        <v>2412</v>
      </c>
      <c r="N739" s="483">
        <v>121.62599999999989</v>
      </c>
      <c r="O739" s="483">
        <v>243.24040000000008</v>
      </c>
      <c r="P739" s="913" t="s">
        <v>2413</v>
      </c>
      <c r="Q739" s="484">
        <v>336.67840000000001</v>
      </c>
      <c r="R739" s="497"/>
    </row>
    <row r="740" spans="1:18" ht="15" customHeight="1">
      <c r="A740" s="233">
        <v>726</v>
      </c>
      <c r="B740" s="413" t="s">
        <v>4127</v>
      </c>
      <c r="C740" s="411">
        <f t="shared" si="13"/>
        <v>726</v>
      </c>
      <c r="D740" s="443" t="s">
        <v>2215</v>
      </c>
      <c r="E740" s="412" t="s">
        <v>4128</v>
      </c>
      <c r="F740" s="912">
        <v>8.8371400000000003E-2</v>
      </c>
      <c r="G740" s="480">
        <v>2538.48</v>
      </c>
      <c r="H740" s="414">
        <v>487.2</v>
      </c>
      <c r="I740" s="413" t="s">
        <v>481</v>
      </c>
      <c r="J740" s="411">
        <v>1</v>
      </c>
      <c r="K740" s="411" t="s">
        <v>4129</v>
      </c>
      <c r="L740" s="482">
        <v>348</v>
      </c>
      <c r="M740" s="461" t="s">
        <v>2412</v>
      </c>
      <c r="N740" s="483">
        <v>67.071199999999919</v>
      </c>
      <c r="O740" s="483">
        <v>134.15400000000011</v>
      </c>
      <c r="P740" s="913" t="s">
        <v>2413</v>
      </c>
      <c r="Q740" s="484">
        <v>336.67839999999967</v>
      </c>
      <c r="R740" s="497"/>
    </row>
    <row r="741" spans="1:18" ht="15" customHeight="1">
      <c r="A741" s="411">
        <v>727</v>
      </c>
      <c r="B741" s="413" t="s">
        <v>2813</v>
      </c>
      <c r="C741" s="411">
        <f t="shared" si="13"/>
        <v>727</v>
      </c>
      <c r="D741" s="443" t="s">
        <v>2215</v>
      </c>
      <c r="E741" s="412" t="s">
        <v>360</v>
      </c>
      <c r="F741" s="912">
        <v>4.8639700000000001E-2</v>
      </c>
      <c r="G741" s="480">
        <v>3463.0023344000001</v>
      </c>
      <c r="H741" s="414">
        <v>487.2</v>
      </c>
      <c r="I741" s="413" t="s">
        <v>533</v>
      </c>
      <c r="J741" s="411">
        <v>2</v>
      </c>
      <c r="K741" s="411" t="s">
        <v>855</v>
      </c>
      <c r="L741" s="482">
        <v>348</v>
      </c>
      <c r="M741" s="461" t="s">
        <v>2412</v>
      </c>
      <c r="N741" s="483">
        <v>121.62599999999989</v>
      </c>
      <c r="O741" s="483">
        <v>243.24040000000008</v>
      </c>
      <c r="P741" s="913" t="s">
        <v>2413</v>
      </c>
      <c r="Q741" s="484">
        <v>336.67839999999967</v>
      </c>
      <c r="R741" s="497"/>
    </row>
    <row r="742" spans="1:18" ht="15" customHeight="1">
      <c r="A742" s="411">
        <v>728</v>
      </c>
      <c r="B742" s="413" t="s">
        <v>2814</v>
      </c>
      <c r="C742" s="411">
        <f t="shared" si="13"/>
        <v>728</v>
      </c>
      <c r="D742" s="443" t="s">
        <v>2215</v>
      </c>
      <c r="E742" s="412" t="s">
        <v>361</v>
      </c>
      <c r="F742" s="912">
        <v>4.8639700000000001E-2</v>
      </c>
      <c r="G742" s="480">
        <v>3463.0023344000001</v>
      </c>
      <c r="H742" s="414">
        <v>487.2</v>
      </c>
      <c r="I742" s="413" t="s">
        <v>533</v>
      </c>
      <c r="J742" s="411">
        <v>2</v>
      </c>
      <c r="K742" s="411" t="s">
        <v>856</v>
      </c>
      <c r="L742" s="482">
        <v>348</v>
      </c>
      <c r="M742" s="461" t="s">
        <v>2412</v>
      </c>
      <c r="N742" s="483">
        <v>121.62599999999989</v>
      </c>
      <c r="O742" s="483">
        <v>243.24040000000008</v>
      </c>
      <c r="P742" s="913" t="s">
        <v>2413</v>
      </c>
      <c r="Q742" s="484">
        <v>336.67839999999967</v>
      </c>
      <c r="R742" s="497"/>
    </row>
    <row r="743" spans="1:18" ht="15" customHeight="1">
      <c r="A743" s="233">
        <v>729</v>
      </c>
      <c r="B743" s="413" t="s">
        <v>2815</v>
      </c>
      <c r="C743" s="411">
        <f t="shared" si="13"/>
        <v>729</v>
      </c>
      <c r="D743" s="443" t="s">
        <v>2215</v>
      </c>
      <c r="E743" s="412" t="s">
        <v>362</v>
      </c>
      <c r="F743" s="912">
        <v>5.7975399999999996E-2</v>
      </c>
      <c r="G743" s="480">
        <v>2538.48</v>
      </c>
      <c r="H743" s="414">
        <v>487.2</v>
      </c>
      <c r="I743" s="413" t="s">
        <v>481</v>
      </c>
      <c r="J743" s="411">
        <v>1</v>
      </c>
      <c r="K743" s="411" t="s">
        <v>857</v>
      </c>
      <c r="L743" s="482">
        <v>348</v>
      </c>
      <c r="M743" s="461" t="s">
        <v>2412</v>
      </c>
      <c r="N743" s="483">
        <v>67.071199999999919</v>
      </c>
      <c r="O743" s="483">
        <v>134.15400000000011</v>
      </c>
      <c r="P743" s="913" t="s">
        <v>2413</v>
      </c>
      <c r="Q743" s="484">
        <v>336.67839999999967</v>
      </c>
      <c r="R743" s="497"/>
    </row>
    <row r="744" spans="1:18" ht="15" customHeight="1">
      <c r="A744" s="411">
        <v>730</v>
      </c>
      <c r="B744" s="413" t="s">
        <v>2816</v>
      </c>
      <c r="C744" s="411">
        <f t="shared" si="13"/>
        <v>730</v>
      </c>
      <c r="D744" s="443" t="s">
        <v>2215</v>
      </c>
      <c r="E744" s="412" t="s">
        <v>363</v>
      </c>
      <c r="F744" s="912">
        <v>4.5941700000000002E-2</v>
      </c>
      <c r="G744" s="480">
        <v>2538.48</v>
      </c>
      <c r="H744" s="414">
        <v>487.2</v>
      </c>
      <c r="I744" s="413" t="s">
        <v>481</v>
      </c>
      <c r="J744" s="411">
        <v>1</v>
      </c>
      <c r="K744" s="411" t="s">
        <v>858</v>
      </c>
      <c r="L744" s="482">
        <v>348</v>
      </c>
      <c r="M744" s="461" t="s">
        <v>2412</v>
      </c>
      <c r="N744" s="483">
        <v>67.071199999999919</v>
      </c>
      <c r="O744" s="483">
        <v>134.15400000000011</v>
      </c>
      <c r="P744" s="913" t="s">
        <v>2413</v>
      </c>
      <c r="Q744" s="484">
        <v>336.67839999999967</v>
      </c>
      <c r="R744" s="497"/>
    </row>
    <row r="745" spans="1:18" ht="15" customHeight="1">
      <c r="A745" s="411">
        <v>731</v>
      </c>
      <c r="B745" s="413" t="s">
        <v>2817</v>
      </c>
      <c r="C745" s="411">
        <f t="shared" si="13"/>
        <v>731</v>
      </c>
      <c r="D745" s="443" t="s">
        <v>2215</v>
      </c>
      <c r="E745" s="412" t="s">
        <v>364</v>
      </c>
      <c r="F745" s="912">
        <v>5.7297000000000001E-2</v>
      </c>
      <c r="G745" s="480">
        <v>2538.48</v>
      </c>
      <c r="H745" s="414">
        <v>487.2</v>
      </c>
      <c r="I745" s="413" t="s">
        <v>481</v>
      </c>
      <c r="J745" s="411">
        <v>1</v>
      </c>
      <c r="K745" s="411" t="s">
        <v>859</v>
      </c>
      <c r="L745" s="482">
        <v>348</v>
      </c>
      <c r="M745" s="461" t="s">
        <v>2412</v>
      </c>
      <c r="N745" s="483">
        <v>67.071199999999919</v>
      </c>
      <c r="O745" s="483">
        <v>134.15400000000011</v>
      </c>
      <c r="P745" s="913" t="s">
        <v>2413</v>
      </c>
      <c r="Q745" s="484">
        <v>336.67839999999967</v>
      </c>
      <c r="R745" s="497"/>
    </row>
    <row r="746" spans="1:18" ht="15" customHeight="1">
      <c r="A746" s="233">
        <v>732</v>
      </c>
      <c r="B746" s="413" t="s">
        <v>2818</v>
      </c>
      <c r="C746" s="411">
        <f t="shared" si="13"/>
        <v>732</v>
      </c>
      <c r="D746" s="443" t="s">
        <v>2215</v>
      </c>
      <c r="E746" s="412" t="s">
        <v>365</v>
      </c>
      <c r="F746" s="912">
        <v>4.5899299999999997E-2</v>
      </c>
      <c r="G746" s="480">
        <v>2538.48</v>
      </c>
      <c r="H746" s="414">
        <v>487.2</v>
      </c>
      <c r="I746" s="413" t="s">
        <v>481</v>
      </c>
      <c r="J746" s="411">
        <v>1</v>
      </c>
      <c r="K746" s="411" t="s">
        <v>860</v>
      </c>
      <c r="L746" s="482">
        <v>348</v>
      </c>
      <c r="M746" s="461" t="s">
        <v>2412</v>
      </c>
      <c r="N746" s="483">
        <v>67.071199999999919</v>
      </c>
      <c r="O746" s="483">
        <v>134.15400000000011</v>
      </c>
      <c r="P746" s="913" t="s">
        <v>2413</v>
      </c>
      <c r="Q746" s="484">
        <v>336.67839999999967</v>
      </c>
      <c r="R746" s="497"/>
    </row>
    <row r="747" spans="1:18" ht="15" customHeight="1">
      <c r="A747" s="411">
        <v>733</v>
      </c>
      <c r="B747" s="413" t="s">
        <v>2819</v>
      </c>
      <c r="C747" s="411">
        <f t="shared" si="13"/>
        <v>733</v>
      </c>
      <c r="D747" s="443" t="s">
        <v>2215</v>
      </c>
      <c r="E747" s="412" t="s">
        <v>366</v>
      </c>
      <c r="F747" s="912">
        <v>5.6409399999999998E-2</v>
      </c>
      <c r="G747" s="480">
        <v>2538.48</v>
      </c>
      <c r="H747" s="414">
        <v>487.2</v>
      </c>
      <c r="I747" s="413" t="s">
        <v>481</v>
      </c>
      <c r="J747" s="411">
        <v>1</v>
      </c>
      <c r="K747" s="411" t="s">
        <v>861</v>
      </c>
      <c r="L747" s="482">
        <v>348</v>
      </c>
      <c r="M747" s="461" t="s">
        <v>2412</v>
      </c>
      <c r="N747" s="483">
        <v>67.071199999999919</v>
      </c>
      <c r="O747" s="483">
        <v>134.15400000000011</v>
      </c>
      <c r="P747" s="913" t="s">
        <v>2413</v>
      </c>
      <c r="Q747" s="484">
        <v>336.67839999999967</v>
      </c>
      <c r="R747" s="497"/>
    </row>
    <row r="748" spans="1:18" ht="15" customHeight="1">
      <c r="A748" s="411">
        <v>734</v>
      </c>
      <c r="B748" s="413" t="s">
        <v>2820</v>
      </c>
      <c r="C748" s="411">
        <f t="shared" si="13"/>
        <v>734</v>
      </c>
      <c r="D748" s="443" t="s">
        <v>2215</v>
      </c>
      <c r="E748" s="412" t="s">
        <v>367</v>
      </c>
      <c r="F748" s="912">
        <v>4.8639700000000001E-2</v>
      </c>
      <c r="G748" s="480">
        <v>3463.0023344000001</v>
      </c>
      <c r="H748" s="414">
        <v>487.2</v>
      </c>
      <c r="I748" s="413" t="s">
        <v>533</v>
      </c>
      <c r="J748" s="411">
        <v>2</v>
      </c>
      <c r="K748" s="411" t="s">
        <v>862</v>
      </c>
      <c r="L748" s="482">
        <v>348</v>
      </c>
      <c r="M748" s="461" t="s">
        <v>2412</v>
      </c>
      <c r="N748" s="483">
        <v>121.62599999999989</v>
      </c>
      <c r="O748" s="483">
        <v>243.24040000000008</v>
      </c>
      <c r="P748" s="913" t="s">
        <v>2413</v>
      </c>
      <c r="Q748" s="484">
        <v>336.67839999999967</v>
      </c>
      <c r="R748" s="497"/>
    </row>
    <row r="749" spans="1:18" ht="15" customHeight="1">
      <c r="A749" s="233">
        <v>735</v>
      </c>
      <c r="B749" s="413" t="s">
        <v>2821</v>
      </c>
      <c r="C749" s="411">
        <f t="shared" si="13"/>
        <v>735</v>
      </c>
      <c r="D749" s="443" t="s">
        <v>2215</v>
      </c>
      <c r="E749" s="412" t="s">
        <v>368</v>
      </c>
      <c r="F749" s="912">
        <v>4.9949700000000007E-2</v>
      </c>
      <c r="G749" s="480">
        <v>3463.0023344000001</v>
      </c>
      <c r="H749" s="414">
        <v>487.2</v>
      </c>
      <c r="I749" s="413" t="s">
        <v>533</v>
      </c>
      <c r="J749" s="411">
        <v>2</v>
      </c>
      <c r="K749" s="411" t="s">
        <v>863</v>
      </c>
      <c r="L749" s="482">
        <v>348</v>
      </c>
      <c r="M749" s="461" t="s">
        <v>2412</v>
      </c>
      <c r="N749" s="483">
        <v>121.62599999999989</v>
      </c>
      <c r="O749" s="483">
        <v>243.24040000000008</v>
      </c>
      <c r="P749" s="913" t="s">
        <v>2413</v>
      </c>
      <c r="Q749" s="484">
        <v>336.67839999999967</v>
      </c>
      <c r="R749" s="497"/>
    </row>
    <row r="750" spans="1:18" ht="15" customHeight="1">
      <c r="A750" s="411">
        <v>736</v>
      </c>
      <c r="B750" s="413" t="s">
        <v>2822</v>
      </c>
      <c r="C750" s="411">
        <f t="shared" si="13"/>
        <v>736</v>
      </c>
      <c r="D750" s="443" t="s">
        <v>2215</v>
      </c>
      <c r="E750" s="412" t="s">
        <v>369</v>
      </c>
      <c r="F750" s="912">
        <v>4.5592000000000001E-2</v>
      </c>
      <c r="G750" s="480">
        <v>2538.4744000000001</v>
      </c>
      <c r="H750" s="414">
        <v>487.2</v>
      </c>
      <c r="I750" s="413" t="s">
        <v>481</v>
      </c>
      <c r="J750" s="411">
        <v>1</v>
      </c>
      <c r="K750" s="411" t="s">
        <v>1519</v>
      </c>
      <c r="L750" s="482">
        <v>348</v>
      </c>
      <c r="M750" s="461" t="s">
        <v>2412</v>
      </c>
      <c r="N750" s="483">
        <v>67.071199999999919</v>
      </c>
      <c r="O750" s="483">
        <v>134.15400000000011</v>
      </c>
      <c r="P750" s="913" t="s">
        <v>2413</v>
      </c>
      <c r="Q750" s="484">
        <v>336.67839999999967</v>
      </c>
      <c r="R750" s="497"/>
    </row>
    <row r="751" spans="1:18" ht="15" customHeight="1">
      <c r="A751" s="411">
        <v>737</v>
      </c>
      <c r="B751" s="413" t="s">
        <v>2823</v>
      </c>
      <c r="C751" s="411">
        <f t="shared" si="13"/>
        <v>737</v>
      </c>
      <c r="D751" s="443" t="s">
        <v>2215</v>
      </c>
      <c r="E751" s="412" t="s">
        <v>370</v>
      </c>
      <c r="F751" s="912">
        <v>5.72801E-2</v>
      </c>
      <c r="G751" s="480">
        <v>2538.48</v>
      </c>
      <c r="H751" s="414">
        <v>487.2</v>
      </c>
      <c r="I751" s="413" t="s">
        <v>481</v>
      </c>
      <c r="J751" s="411">
        <v>1</v>
      </c>
      <c r="K751" s="411" t="s">
        <v>1520</v>
      </c>
      <c r="L751" s="482">
        <v>348</v>
      </c>
      <c r="M751" s="461" t="s">
        <v>2412</v>
      </c>
      <c r="N751" s="483">
        <v>67.071199999999919</v>
      </c>
      <c r="O751" s="483">
        <v>134.15400000000011</v>
      </c>
      <c r="P751" s="913" t="s">
        <v>2413</v>
      </c>
      <c r="Q751" s="484">
        <v>336.67839999999967</v>
      </c>
      <c r="R751" s="497"/>
    </row>
    <row r="752" spans="1:18" ht="15" customHeight="1">
      <c r="A752" s="233">
        <v>738</v>
      </c>
      <c r="B752" s="413" t="s">
        <v>2824</v>
      </c>
      <c r="C752" s="411">
        <f t="shared" si="13"/>
        <v>738</v>
      </c>
      <c r="D752" s="443" t="s">
        <v>2215</v>
      </c>
      <c r="E752" s="412" t="s">
        <v>2381</v>
      </c>
      <c r="F752" s="912">
        <v>4.8099200000000002E-2</v>
      </c>
      <c r="G752" s="480">
        <v>2538.48</v>
      </c>
      <c r="H752" s="414">
        <v>487.2</v>
      </c>
      <c r="I752" s="413" t="s">
        <v>481</v>
      </c>
      <c r="J752" s="411">
        <v>1</v>
      </c>
      <c r="K752" s="411" t="s">
        <v>2382</v>
      </c>
      <c r="L752" s="482">
        <v>348</v>
      </c>
      <c r="M752" s="461" t="s">
        <v>2412</v>
      </c>
      <c r="N752" s="483">
        <v>67.071199999999919</v>
      </c>
      <c r="O752" s="483">
        <v>134.15400000000011</v>
      </c>
      <c r="P752" s="913" t="s">
        <v>2413</v>
      </c>
      <c r="Q752" s="484">
        <v>336.67839999999967</v>
      </c>
      <c r="R752" s="497"/>
    </row>
    <row r="753" spans="1:18" ht="15" customHeight="1">
      <c r="A753" s="411">
        <v>739</v>
      </c>
      <c r="B753" s="413" t="s">
        <v>4226</v>
      </c>
      <c r="C753" s="411">
        <f t="shared" si="13"/>
        <v>739</v>
      </c>
      <c r="D753" s="443" t="s">
        <v>2215</v>
      </c>
      <c r="E753" s="412" t="s">
        <v>4231</v>
      </c>
      <c r="F753" s="912">
        <v>4.8099200000000002E-2</v>
      </c>
      <c r="G753" s="480">
        <v>2538.48</v>
      </c>
      <c r="H753" s="414">
        <v>487.2</v>
      </c>
      <c r="I753" s="413" t="s">
        <v>481</v>
      </c>
      <c r="J753" s="411">
        <v>1</v>
      </c>
      <c r="K753" s="411" t="s">
        <v>4236</v>
      </c>
      <c r="L753" s="482">
        <v>348</v>
      </c>
      <c r="M753" s="461" t="s">
        <v>2412</v>
      </c>
      <c r="N753" s="483">
        <v>67.071199999999919</v>
      </c>
      <c r="O753" s="483">
        <v>134.15400000000011</v>
      </c>
      <c r="P753" s="913" t="s">
        <v>2413</v>
      </c>
      <c r="Q753" s="484">
        <v>336.67839999999967</v>
      </c>
      <c r="R753" s="497"/>
    </row>
    <row r="754" spans="1:18" ht="15" customHeight="1">
      <c r="A754" s="411">
        <v>740</v>
      </c>
      <c r="B754" s="413" t="s">
        <v>5656</v>
      </c>
      <c r="C754" s="411">
        <f t="shared" si="13"/>
        <v>740</v>
      </c>
      <c r="D754" s="443" t="s">
        <v>2215</v>
      </c>
      <c r="E754" s="412" t="s">
        <v>5705</v>
      </c>
      <c r="F754" s="912">
        <v>4.8099000000000003E-2</v>
      </c>
      <c r="G754" s="480">
        <v>2538.48</v>
      </c>
      <c r="H754" s="414">
        <v>487.2</v>
      </c>
      <c r="I754" s="413" t="s">
        <v>481</v>
      </c>
      <c r="J754" s="411">
        <v>1</v>
      </c>
      <c r="K754" s="411" t="s">
        <v>5730</v>
      </c>
      <c r="L754" s="482">
        <v>348</v>
      </c>
      <c r="M754" s="461" t="s">
        <v>2412</v>
      </c>
      <c r="N754" s="483">
        <v>67.071199999999919</v>
      </c>
      <c r="O754" s="483">
        <v>134.15399999999985</v>
      </c>
      <c r="P754" s="913" t="s">
        <v>2413</v>
      </c>
      <c r="Q754" s="484">
        <v>336.67840000000001</v>
      </c>
      <c r="R754" s="497"/>
    </row>
    <row r="755" spans="1:18" ht="15" customHeight="1">
      <c r="A755" s="233">
        <v>741</v>
      </c>
      <c r="B755" s="413" t="s">
        <v>5657</v>
      </c>
      <c r="C755" s="411">
        <f t="shared" si="13"/>
        <v>741</v>
      </c>
      <c r="D755" s="443" t="s">
        <v>2215</v>
      </c>
      <c r="E755" s="412" t="s">
        <v>5706</v>
      </c>
      <c r="F755" s="912">
        <v>4.8099000000000003E-2</v>
      </c>
      <c r="G755" s="480">
        <v>2538.48</v>
      </c>
      <c r="H755" s="414">
        <v>489.2</v>
      </c>
      <c r="I755" s="413" t="s">
        <v>481</v>
      </c>
      <c r="J755" s="411">
        <v>1</v>
      </c>
      <c r="K755" s="411" t="s">
        <v>5731</v>
      </c>
      <c r="L755" s="482">
        <v>348</v>
      </c>
      <c r="M755" s="461" t="s">
        <v>2412</v>
      </c>
      <c r="N755" s="483">
        <v>67.071199999999919</v>
      </c>
      <c r="O755" s="483">
        <v>134.15399999999985</v>
      </c>
      <c r="P755" s="913" t="s">
        <v>2413</v>
      </c>
      <c r="Q755" s="484">
        <v>336.67840000000001</v>
      </c>
      <c r="R755" s="497"/>
    </row>
    <row r="756" spans="1:18" ht="15" customHeight="1">
      <c r="A756" s="411">
        <v>742</v>
      </c>
      <c r="B756" s="413" t="s">
        <v>2825</v>
      </c>
      <c r="C756" s="411">
        <f t="shared" si="13"/>
        <v>742</v>
      </c>
      <c r="D756" s="443" t="s">
        <v>2215</v>
      </c>
      <c r="E756" s="412" t="s">
        <v>371</v>
      </c>
      <c r="F756" s="912">
        <v>5.0083099999999998E-2</v>
      </c>
      <c r="G756" s="480">
        <v>2538.48</v>
      </c>
      <c r="H756" s="414">
        <v>487.2</v>
      </c>
      <c r="I756" s="413" t="s">
        <v>481</v>
      </c>
      <c r="J756" s="411">
        <v>1</v>
      </c>
      <c r="K756" s="411" t="s">
        <v>1521</v>
      </c>
      <c r="L756" s="482">
        <v>348</v>
      </c>
      <c r="M756" s="461" t="s">
        <v>2412</v>
      </c>
      <c r="N756" s="483">
        <v>67.071199999999919</v>
      </c>
      <c r="O756" s="483">
        <v>134.15400000000011</v>
      </c>
      <c r="P756" s="913" t="s">
        <v>2413</v>
      </c>
      <c r="Q756" s="484">
        <v>336.67839999999967</v>
      </c>
      <c r="R756" s="497"/>
    </row>
    <row r="757" spans="1:18" ht="15" customHeight="1">
      <c r="A757" s="411">
        <v>743</v>
      </c>
      <c r="B757" s="413" t="s">
        <v>2826</v>
      </c>
      <c r="C757" s="411">
        <f t="shared" si="13"/>
        <v>743</v>
      </c>
      <c r="D757" s="443" t="s">
        <v>2215</v>
      </c>
      <c r="E757" s="412" t="s">
        <v>372</v>
      </c>
      <c r="F757" s="912">
        <v>5.72801E-2</v>
      </c>
      <c r="G757" s="480">
        <v>2538.48</v>
      </c>
      <c r="H757" s="414">
        <v>487.2</v>
      </c>
      <c r="I757" s="413" t="s">
        <v>481</v>
      </c>
      <c r="J757" s="411">
        <v>1</v>
      </c>
      <c r="K757" s="411" t="s">
        <v>1522</v>
      </c>
      <c r="L757" s="482">
        <v>348</v>
      </c>
      <c r="M757" s="461" t="s">
        <v>2412</v>
      </c>
      <c r="N757" s="483">
        <v>67.071199999999919</v>
      </c>
      <c r="O757" s="483">
        <v>134.15400000000011</v>
      </c>
      <c r="P757" s="913" t="s">
        <v>2413</v>
      </c>
      <c r="Q757" s="484">
        <v>336.67839999999967</v>
      </c>
      <c r="R757" s="497"/>
    </row>
    <row r="758" spans="1:18" ht="15" customHeight="1">
      <c r="A758" s="233">
        <v>744</v>
      </c>
      <c r="B758" s="413" t="s">
        <v>2827</v>
      </c>
      <c r="C758" s="411">
        <f t="shared" si="13"/>
        <v>744</v>
      </c>
      <c r="D758" s="443" t="s">
        <v>2215</v>
      </c>
      <c r="E758" s="412" t="s">
        <v>373</v>
      </c>
      <c r="F758" s="912">
        <v>5.9450700000000002E-2</v>
      </c>
      <c r="G758" s="480">
        <v>2538.48</v>
      </c>
      <c r="H758" s="414">
        <v>487.2</v>
      </c>
      <c r="I758" s="413" t="s">
        <v>481</v>
      </c>
      <c r="J758" s="411">
        <v>1</v>
      </c>
      <c r="K758" s="411" t="s">
        <v>1523</v>
      </c>
      <c r="L758" s="482">
        <v>348</v>
      </c>
      <c r="M758" s="461" t="s">
        <v>2412</v>
      </c>
      <c r="N758" s="483">
        <v>67.071199999999919</v>
      </c>
      <c r="O758" s="483">
        <v>134.15400000000011</v>
      </c>
      <c r="P758" s="913" t="s">
        <v>2413</v>
      </c>
      <c r="Q758" s="484">
        <v>336.67839999999967</v>
      </c>
      <c r="R758" s="497"/>
    </row>
    <row r="759" spans="1:18" ht="15" customHeight="1">
      <c r="A759" s="411">
        <v>745</v>
      </c>
      <c r="B759" s="413" t="s">
        <v>4263</v>
      </c>
      <c r="C759" s="411">
        <f t="shared" si="13"/>
        <v>745</v>
      </c>
      <c r="D759" s="443" t="s">
        <v>2215</v>
      </c>
      <c r="E759" s="412" t="s">
        <v>4273</v>
      </c>
      <c r="F759" s="912">
        <v>4.67968E-2</v>
      </c>
      <c r="G759" s="480">
        <v>2538.48</v>
      </c>
      <c r="H759" s="414">
        <v>487.2</v>
      </c>
      <c r="I759" s="413" t="s">
        <v>481</v>
      </c>
      <c r="J759" s="411">
        <v>1</v>
      </c>
      <c r="K759" s="411" t="s">
        <v>4287</v>
      </c>
      <c r="L759" s="482">
        <v>348</v>
      </c>
      <c r="M759" s="461" t="s">
        <v>2412</v>
      </c>
      <c r="N759" s="483">
        <v>67.071199999999919</v>
      </c>
      <c r="O759" s="483">
        <v>134.15400000000011</v>
      </c>
      <c r="P759" s="913" t="s">
        <v>2413</v>
      </c>
      <c r="Q759" s="484">
        <v>336.67839999999967</v>
      </c>
      <c r="R759" s="497"/>
    </row>
    <row r="760" spans="1:18" ht="15" customHeight="1">
      <c r="A760" s="411">
        <v>746</v>
      </c>
      <c r="B760" s="413" t="s">
        <v>4130</v>
      </c>
      <c r="C760" s="411">
        <f t="shared" si="13"/>
        <v>746</v>
      </c>
      <c r="D760" s="443" t="s">
        <v>2215</v>
      </c>
      <c r="E760" s="412" t="s">
        <v>4131</v>
      </c>
      <c r="F760" s="912">
        <v>4.67968E-2</v>
      </c>
      <c r="G760" s="480">
        <v>2538.48</v>
      </c>
      <c r="H760" s="414">
        <v>487.2</v>
      </c>
      <c r="I760" s="413" t="s">
        <v>481</v>
      </c>
      <c r="J760" s="411">
        <v>1</v>
      </c>
      <c r="K760" s="411" t="s">
        <v>4132</v>
      </c>
      <c r="L760" s="482">
        <v>348</v>
      </c>
      <c r="M760" s="461" t="s">
        <v>2412</v>
      </c>
      <c r="N760" s="483">
        <v>67.071199999999919</v>
      </c>
      <c r="O760" s="483">
        <v>134.15400000000011</v>
      </c>
      <c r="P760" s="913" t="s">
        <v>2413</v>
      </c>
      <c r="Q760" s="484">
        <v>336.67839999999967</v>
      </c>
      <c r="R760" s="497"/>
    </row>
    <row r="761" spans="1:18" ht="15" customHeight="1">
      <c r="A761" s="233">
        <v>747</v>
      </c>
      <c r="B761" s="413" t="s">
        <v>4264</v>
      </c>
      <c r="C761" s="411">
        <f t="shared" si="13"/>
        <v>747</v>
      </c>
      <c r="D761" s="443" t="s">
        <v>2215</v>
      </c>
      <c r="E761" s="412" t="s">
        <v>4274</v>
      </c>
      <c r="F761" s="912">
        <v>4.67968E-2</v>
      </c>
      <c r="G761" s="480">
        <v>2538.48</v>
      </c>
      <c r="H761" s="414">
        <v>487.2</v>
      </c>
      <c r="I761" s="413" t="s">
        <v>481</v>
      </c>
      <c r="J761" s="411">
        <v>1</v>
      </c>
      <c r="K761" s="411" t="s">
        <v>4288</v>
      </c>
      <c r="L761" s="482">
        <v>348</v>
      </c>
      <c r="M761" s="461" t="s">
        <v>2412</v>
      </c>
      <c r="N761" s="483">
        <v>67.071199999999919</v>
      </c>
      <c r="O761" s="483">
        <v>134.15400000000011</v>
      </c>
      <c r="P761" s="913" t="s">
        <v>2413</v>
      </c>
      <c r="Q761" s="484">
        <v>336.67839999999967</v>
      </c>
      <c r="R761" s="497"/>
    </row>
    <row r="762" spans="1:18" ht="15" customHeight="1">
      <c r="A762" s="411">
        <v>748</v>
      </c>
      <c r="B762" s="413" t="s">
        <v>3312</v>
      </c>
      <c r="C762" s="411">
        <f t="shared" si="13"/>
        <v>748</v>
      </c>
      <c r="D762" s="443" t="s">
        <v>2215</v>
      </c>
      <c r="E762" s="412" t="s">
        <v>3313</v>
      </c>
      <c r="F762" s="912">
        <v>4.67968E-2</v>
      </c>
      <c r="G762" s="480">
        <v>2538.48</v>
      </c>
      <c r="H762" s="414">
        <v>487.2</v>
      </c>
      <c r="I762" s="413" t="s">
        <v>481</v>
      </c>
      <c r="J762" s="411">
        <v>1</v>
      </c>
      <c r="K762" s="411" t="s">
        <v>3314</v>
      </c>
      <c r="L762" s="482">
        <v>348</v>
      </c>
      <c r="M762" s="461" t="s">
        <v>2412</v>
      </c>
      <c r="N762" s="483">
        <v>67.071199999999919</v>
      </c>
      <c r="O762" s="483">
        <v>134.15400000000011</v>
      </c>
      <c r="P762" s="913" t="s">
        <v>2413</v>
      </c>
      <c r="Q762" s="484">
        <v>336.67839999999967</v>
      </c>
      <c r="R762" s="497"/>
    </row>
    <row r="763" spans="1:18" ht="15" customHeight="1">
      <c r="A763" s="411">
        <v>749</v>
      </c>
      <c r="B763" s="413" t="s">
        <v>4265</v>
      </c>
      <c r="C763" s="411">
        <f t="shared" si="13"/>
        <v>749</v>
      </c>
      <c r="D763" s="443" t="s">
        <v>2215</v>
      </c>
      <c r="E763" s="412" t="s">
        <v>4275</v>
      </c>
      <c r="F763" s="912">
        <v>4.67968E-2</v>
      </c>
      <c r="G763" s="480">
        <v>2538.48</v>
      </c>
      <c r="H763" s="414">
        <v>487.2</v>
      </c>
      <c r="I763" s="413" t="s">
        <v>481</v>
      </c>
      <c r="J763" s="411">
        <v>1</v>
      </c>
      <c r="K763" s="411" t="s">
        <v>4289</v>
      </c>
      <c r="L763" s="482">
        <v>348</v>
      </c>
      <c r="M763" s="461" t="s">
        <v>2412</v>
      </c>
      <c r="N763" s="483">
        <v>67.071199999999919</v>
      </c>
      <c r="O763" s="483">
        <v>134.15400000000011</v>
      </c>
      <c r="P763" s="913" t="s">
        <v>2413</v>
      </c>
      <c r="Q763" s="484">
        <v>336.67839999999967</v>
      </c>
      <c r="R763" s="497"/>
    </row>
    <row r="764" spans="1:18" ht="15" customHeight="1">
      <c r="A764" s="233">
        <v>750</v>
      </c>
      <c r="B764" s="413" t="s">
        <v>2828</v>
      </c>
      <c r="C764" s="411">
        <f t="shared" si="13"/>
        <v>750</v>
      </c>
      <c r="D764" s="443" t="s">
        <v>2215</v>
      </c>
      <c r="E764" s="412" t="s">
        <v>374</v>
      </c>
      <c r="F764" s="912">
        <v>5.9450700000000002E-2</v>
      </c>
      <c r="G764" s="480">
        <v>2538.48</v>
      </c>
      <c r="H764" s="414">
        <v>487.2</v>
      </c>
      <c r="I764" s="413" t="s">
        <v>481</v>
      </c>
      <c r="J764" s="411">
        <v>1</v>
      </c>
      <c r="K764" s="411" t="s">
        <v>1524</v>
      </c>
      <c r="L764" s="482">
        <v>348</v>
      </c>
      <c r="M764" s="461" t="s">
        <v>2412</v>
      </c>
      <c r="N764" s="483">
        <v>67.071199999999919</v>
      </c>
      <c r="O764" s="483">
        <v>134.15400000000011</v>
      </c>
      <c r="P764" s="913" t="s">
        <v>2413</v>
      </c>
      <c r="Q764" s="484">
        <v>336.67839999999967</v>
      </c>
      <c r="R764" s="497"/>
    </row>
    <row r="765" spans="1:18" ht="15" customHeight="1">
      <c r="A765" s="411">
        <v>751</v>
      </c>
      <c r="B765" s="413" t="s">
        <v>5175</v>
      </c>
      <c r="C765" s="411">
        <f t="shared" si="13"/>
        <v>751</v>
      </c>
      <c r="D765" s="443" t="s">
        <v>2215</v>
      </c>
      <c r="E765" s="412" t="s">
        <v>5196</v>
      </c>
      <c r="F765" s="912">
        <v>4.6796999999999998E-2</v>
      </c>
      <c r="G765" s="480">
        <v>2538.48</v>
      </c>
      <c r="H765" s="414">
        <v>489.2</v>
      </c>
      <c r="I765" s="413" t="s">
        <v>481</v>
      </c>
      <c r="J765" s="411">
        <v>1</v>
      </c>
      <c r="K765" s="411" t="s">
        <v>5213</v>
      </c>
      <c r="L765" s="482">
        <v>348</v>
      </c>
      <c r="M765" s="461" t="s">
        <v>2412</v>
      </c>
      <c r="N765" s="483">
        <v>67.071199999999919</v>
      </c>
      <c r="O765" s="483">
        <v>134.15399999999985</v>
      </c>
      <c r="P765" s="913" t="s">
        <v>2413</v>
      </c>
      <c r="Q765" s="484">
        <v>336.67840000000001</v>
      </c>
      <c r="R765" s="497"/>
    </row>
    <row r="766" spans="1:18" ht="15" customHeight="1">
      <c r="A766" s="411">
        <v>752</v>
      </c>
      <c r="B766" s="413" t="s">
        <v>2829</v>
      </c>
      <c r="C766" s="411">
        <f t="shared" si="13"/>
        <v>752</v>
      </c>
      <c r="D766" s="443" t="s">
        <v>2215</v>
      </c>
      <c r="E766" s="412" t="s">
        <v>375</v>
      </c>
      <c r="F766" s="912">
        <v>4.67968E-2</v>
      </c>
      <c r="G766" s="480">
        <v>2538.48</v>
      </c>
      <c r="H766" s="414">
        <v>487.2</v>
      </c>
      <c r="I766" s="413" t="s">
        <v>481</v>
      </c>
      <c r="J766" s="411">
        <v>1</v>
      </c>
      <c r="K766" s="411" t="s">
        <v>1525</v>
      </c>
      <c r="L766" s="482">
        <v>348</v>
      </c>
      <c r="M766" s="461" t="s">
        <v>2412</v>
      </c>
      <c r="N766" s="483">
        <v>67.071199999999919</v>
      </c>
      <c r="O766" s="483">
        <v>134.15400000000011</v>
      </c>
      <c r="P766" s="913" t="s">
        <v>2413</v>
      </c>
      <c r="Q766" s="484">
        <v>336.67839999999967</v>
      </c>
      <c r="R766" s="497"/>
    </row>
    <row r="767" spans="1:18" ht="15" customHeight="1">
      <c r="A767" s="233">
        <v>753</v>
      </c>
      <c r="B767" s="413" t="s">
        <v>2830</v>
      </c>
      <c r="C767" s="411">
        <f t="shared" si="13"/>
        <v>753</v>
      </c>
      <c r="D767" s="443" t="s">
        <v>2215</v>
      </c>
      <c r="E767" s="412" t="s">
        <v>376</v>
      </c>
      <c r="F767" s="912">
        <v>4.6935000000000004E-2</v>
      </c>
      <c r="G767" s="480">
        <v>2538.48</v>
      </c>
      <c r="H767" s="414">
        <v>487.2</v>
      </c>
      <c r="I767" s="413" t="s">
        <v>481</v>
      </c>
      <c r="J767" s="411">
        <v>1</v>
      </c>
      <c r="K767" s="411" t="s">
        <v>1526</v>
      </c>
      <c r="L767" s="482">
        <v>348</v>
      </c>
      <c r="M767" s="461" t="s">
        <v>2412</v>
      </c>
      <c r="N767" s="483">
        <v>67.071199999999919</v>
      </c>
      <c r="O767" s="483">
        <v>134.15400000000011</v>
      </c>
      <c r="P767" s="913" t="s">
        <v>2413</v>
      </c>
      <c r="Q767" s="484">
        <v>336.67839999999967</v>
      </c>
      <c r="R767" s="497"/>
    </row>
    <row r="768" spans="1:18" ht="15" customHeight="1">
      <c r="A768" s="411">
        <v>754</v>
      </c>
      <c r="B768" s="413" t="s">
        <v>2831</v>
      </c>
      <c r="C768" s="411">
        <f t="shared" si="13"/>
        <v>754</v>
      </c>
      <c r="D768" s="443" t="s">
        <v>2215</v>
      </c>
      <c r="E768" s="412" t="s">
        <v>377</v>
      </c>
      <c r="F768" s="912">
        <v>6.0121000000000001E-2</v>
      </c>
      <c r="G768" s="480">
        <v>2538.4744000000001</v>
      </c>
      <c r="H768" s="414">
        <v>487.2</v>
      </c>
      <c r="I768" s="413" t="s">
        <v>481</v>
      </c>
      <c r="J768" s="411">
        <v>1</v>
      </c>
      <c r="K768" s="411" t="s">
        <v>1527</v>
      </c>
      <c r="L768" s="482">
        <v>348</v>
      </c>
      <c r="M768" s="461" t="s">
        <v>2412</v>
      </c>
      <c r="N768" s="483">
        <v>67.071199999999919</v>
      </c>
      <c r="O768" s="483">
        <v>134.15400000000011</v>
      </c>
      <c r="P768" s="913" t="s">
        <v>2413</v>
      </c>
      <c r="Q768" s="484">
        <v>336.67839999999967</v>
      </c>
      <c r="R768" s="497"/>
    </row>
    <row r="769" spans="1:19" s="436" customFormat="1" ht="15" customHeight="1">
      <c r="A769" s="411">
        <v>755</v>
      </c>
      <c r="B769" s="413" t="s">
        <v>5658</v>
      </c>
      <c r="C769" s="411">
        <f t="shared" si="13"/>
        <v>755</v>
      </c>
      <c r="D769" s="443" t="s">
        <v>2215</v>
      </c>
      <c r="E769" s="412" t="s">
        <v>5707</v>
      </c>
      <c r="F769" s="912">
        <v>3.9847E-2</v>
      </c>
      <c r="G769" s="480">
        <v>2538.48</v>
      </c>
      <c r="H769" s="414">
        <v>489.2</v>
      </c>
      <c r="I769" s="413" t="s">
        <v>481</v>
      </c>
      <c r="J769" s="411">
        <v>1</v>
      </c>
      <c r="K769" s="411" t="s">
        <v>5732</v>
      </c>
      <c r="L769" s="482">
        <v>348</v>
      </c>
      <c r="M769" s="461" t="s">
        <v>2412</v>
      </c>
      <c r="N769" s="483">
        <v>67.071199999999919</v>
      </c>
      <c r="O769" s="483">
        <v>134.15399999999985</v>
      </c>
      <c r="P769" s="913" t="s">
        <v>2413</v>
      </c>
      <c r="Q769" s="484">
        <v>336.67840000000001</v>
      </c>
      <c r="R769" s="497"/>
      <c r="S769" s="415"/>
    </row>
    <row r="770" spans="1:19" s="436" customFormat="1" ht="15" customHeight="1">
      <c r="A770" s="233">
        <v>756</v>
      </c>
      <c r="B770" s="413" t="s">
        <v>2832</v>
      </c>
      <c r="C770" s="411">
        <f t="shared" si="13"/>
        <v>756</v>
      </c>
      <c r="D770" s="443" t="s">
        <v>2215</v>
      </c>
      <c r="E770" s="412" t="s">
        <v>378</v>
      </c>
      <c r="F770" s="912">
        <v>4.1773600000000001E-2</v>
      </c>
      <c r="G770" s="480">
        <v>2538.48</v>
      </c>
      <c r="H770" s="414">
        <v>487.2</v>
      </c>
      <c r="I770" s="413" t="s">
        <v>481</v>
      </c>
      <c r="J770" s="411">
        <v>1</v>
      </c>
      <c r="K770" s="411" t="s">
        <v>1528</v>
      </c>
      <c r="L770" s="482">
        <v>348</v>
      </c>
      <c r="M770" s="461" t="s">
        <v>2412</v>
      </c>
      <c r="N770" s="483">
        <v>67.071199999999919</v>
      </c>
      <c r="O770" s="483">
        <v>134.15400000000011</v>
      </c>
      <c r="P770" s="913" t="s">
        <v>2413</v>
      </c>
      <c r="Q770" s="484">
        <v>336.67839999999967</v>
      </c>
      <c r="R770" s="497"/>
      <c r="S770" s="415"/>
    </row>
    <row r="771" spans="1:19" s="436" customFormat="1" ht="15" customHeight="1">
      <c r="A771" s="411">
        <v>757</v>
      </c>
      <c r="B771" s="413" t="s">
        <v>2833</v>
      </c>
      <c r="C771" s="411">
        <f t="shared" si="13"/>
        <v>757</v>
      </c>
      <c r="D771" s="443" t="s">
        <v>2215</v>
      </c>
      <c r="E771" s="412" t="s">
        <v>2383</v>
      </c>
      <c r="F771" s="912">
        <v>4.1773600000000001E-2</v>
      </c>
      <c r="G771" s="480">
        <v>2538.48</v>
      </c>
      <c r="H771" s="414">
        <v>487.2</v>
      </c>
      <c r="I771" s="413" t="s">
        <v>481</v>
      </c>
      <c r="J771" s="411">
        <v>1</v>
      </c>
      <c r="K771" s="411" t="s">
        <v>2384</v>
      </c>
      <c r="L771" s="482">
        <v>348</v>
      </c>
      <c r="M771" s="461" t="s">
        <v>2412</v>
      </c>
      <c r="N771" s="483">
        <v>67.071199999999919</v>
      </c>
      <c r="O771" s="483">
        <v>134.15400000000011</v>
      </c>
      <c r="P771" s="913" t="s">
        <v>2413</v>
      </c>
      <c r="Q771" s="484">
        <v>336.67839999999967</v>
      </c>
      <c r="R771" s="497"/>
      <c r="S771" s="415"/>
    </row>
    <row r="772" spans="1:19" s="436" customFormat="1" ht="15" customHeight="1">
      <c r="A772" s="411">
        <v>758</v>
      </c>
      <c r="B772" s="413" t="s">
        <v>2834</v>
      </c>
      <c r="C772" s="411">
        <f t="shared" si="13"/>
        <v>758</v>
      </c>
      <c r="D772" s="443" t="s">
        <v>2215</v>
      </c>
      <c r="E772" s="412" t="s">
        <v>379</v>
      </c>
      <c r="F772" s="912">
        <v>4.1773600000000001E-2</v>
      </c>
      <c r="G772" s="480">
        <v>2538.48</v>
      </c>
      <c r="H772" s="414">
        <v>487.2</v>
      </c>
      <c r="I772" s="413" t="s">
        <v>481</v>
      </c>
      <c r="J772" s="411">
        <v>1</v>
      </c>
      <c r="K772" s="411" t="s">
        <v>1529</v>
      </c>
      <c r="L772" s="482">
        <v>348</v>
      </c>
      <c r="M772" s="461" t="s">
        <v>2412</v>
      </c>
      <c r="N772" s="483">
        <v>67.071199999999919</v>
      </c>
      <c r="O772" s="483">
        <v>134.15400000000011</v>
      </c>
      <c r="P772" s="913" t="s">
        <v>2413</v>
      </c>
      <c r="Q772" s="484">
        <v>336.67839999999967</v>
      </c>
      <c r="R772" s="497"/>
      <c r="S772" s="415"/>
    </row>
    <row r="773" spans="1:19" s="436" customFormat="1" ht="15" customHeight="1">
      <c r="A773" s="233">
        <v>759</v>
      </c>
      <c r="B773" s="413" t="s">
        <v>4152</v>
      </c>
      <c r="C773" s="411">
        <f t="shared" si="13"/>
        <v>759</v>
      </c>
      <c r="D773" s="443" t="s">
        <v>2215</v>
      </c>
      <c r="E773" s="412" t="s">
        <v>4143</v>
      </c>
      <c r="F773" s="912">
        <v>4.1773600000000001E-2</v>
      </c>
      <c r="G773" s="480">
        <v>2538.48</v>
      </c>
      <c r="H773" s="414">
        <v>487.2</v>
      </c>
      <c r="I773" s="413" t="s">
        <v>481</v>
      </c>
      <c r="J773" s="411">
        <v>1</v>
      </c>
      <c r="K773" s="411" t="s">
        <v>4144</v>
      </c>
      <c r="L773" s="482">
        <v>348</v>
      </c>
      <c r="M773" s="461" t="s">
        <v>2412</v>
      </c>
      <c r="N773" s="483">
        <v>67.071199999999919</v>
      </c>
      <c r="O773" s="483">
        <v>134.15400000000011</v>
      </c>
      <c r="P773" s="913" t="s">
        <v>2413</v>
      </c>
      <c r="Q773" s="484">
        <v>336.67839999999967</v>
      </c>
      <c r="R773" s="497"/>
      <c r="S773" s="415"/>
    </row>
    <row r="774" spans="1:19" s="436" customFormat="1" ht="15" customHeight="1">
      <c r="A774" s="411">
        <v>760</v>
      </c>
      <c r="B774" s="413" t="s">
        <v>4153</v>
      </c>
      <c r="C774" s="411">
        <f t="shared" si="13"/>
        <v>760</v>
      </c>
      <c r="D774" s="443" t="s">
        <v>2215</v>
      </c>
      <c r="E774" s="412" t="s">
        <v>4145</v>
      </c>
      <c r="F774" s="912">
        <v>4.1773600000000001E-2</v>
      </c>
      <c r="G774" s="480">
        <v>2538.48</v>
      </c>
      <c r="H774" s="414">
        <v>487.2</v>
      </c>
      <c r="I774" s="413" t="s">
        <v>481</v>
      </c>
      <c r="J774" s="411">
        <v>1</v>
      </c>
      <c r="K774" s="411" t="s">
        <v>4146</v>
      </c>
      <c r="L774" s="482">
        <v>348</v>
      </c>
      <c r="M774" s="461" t="s">
        <v>2412</v>
      </c>
      <c r="N774" s="483">
        <v>67.071199999999919</v>
      </c>
      <c r="O774" s="483">
        <v>134.15400000000011</v>
      </c>
      <c r="P774" s="913" t="s">
        <v>2413</v>
      </c>
      <c r="Q774" s="484">
        <v>336.67839999999967</v>
      </c>
      <c r="R774" s="497"/>
      <c r="S774" s="415"/>
    </row>
    <row r="775" spans="1:19" s="436" customFormat="1" ht="15" customHeight="1">
      <c r="A775" s="411">
        <v>761</v>
      </c>
      <c r="B775" s="413" t="s">
        <v>4154</v>
      </c>
      <c r="C775" s="411">
        <f t="shared" si="13"/>
        <v>761</v>
      </c>
      <c r="D775" s="443" t="s">
        <v>2215</v>
      </c>
      <c r="E775" s="412" t="s">
        <v>4147</v>
      </c>
      <c r="F775" s="912">
        <v>4.1773600000000001E-2</v>
      </c>
      <c r="G775" s="480">
        <v>2538.48</v>
      </c>
      <c r="H775" s="414">
        <v>487.2</v>
      </c>
      <c r="I775" s="413" t="s">
        <v>481</v>
      </c>
      <c r="J775" s="411">
        <v>1</v>
      </c>
      <c r="K775" s="411" t="s">
        <v>4148</v>
      </c>
      <c r="L775" s="482">
        <v>348</v>
      </c>
      <c r="M775" s="461" t="s">
        <v>2412</v>
      </c>
      <c r="N775" s="483">
        <v>67.071199999999919</v>
      </c>
      <c r="O775" s="483">
        <v>134.15400000000011</v>
      </c>
      <c r="P775" s="913" t="s">
        <v>2413</v>
      </c>
      <c r="Q775" s="484">
        <v>336.67839999999967</v>
      </c>
      <c r="R775" s="497"/>
      <c r="S775" s="415"/>
    </row>
    <row r="776" spans="1:19" s="436" customFormat="1" ht="15" customHeight="1">
      <c r="A776" s="233">
        <v>762</v>
      </c>
      <c r="B776" s="413" t="s">
        <v>4155</v>
      </c>
      <c r="C776" s="411">
        <f t="shared" si="13"/>
        <v>762</v>
      </c>
      <c r="D776" s="443" t="s">
        <v>2215</v>
      </c>
      <c r="E776" s="412" t="s">
        <v>4149</v>
      </c>
      <c r="F776" s="912">
        <v>4.1773600000000001E-2</v>
      </c>
      <c r="G776" s="480">
        <v>2538.48</v>
      </c>
      <c r="H776" s="414">
        <v>487.2</v>
      </c>
      <c r="I776" s="413" t="s">
        <v>481</v>
      </c>
      <c r="J776" s="411">
        <v>1</v>
      </c>
      <c r="K776" s="411" t="s">
        <v>4150</v>
      </c>
      <c r="L776" s="482">
        <v>348</v>
      </c>
      <c r="M776" s="461" t="s">
        <v>2412</v>
      </c>
      <c r="N776" s="483">
        <v>67.071199999999919</v>
      </c>
      <c r="O776" s="483">
        <v>134.15400000000011</v>
      </c>
      <c r="P776" s="913" t="s">
        <v>2413</v>
      </c>
      <c r="Q776" s="484">
        <v>336.67839999999967</v>
      </c>
      <c r="R776" s="497"/>
      <c r="S776" s="415"/>
    </row>
    <row r="777" spans="1:19" ht="15" customHeight="1">
      <c r="A777" s="411">
        <v>763</v>
      </c>
      <c r="B777" s="413" t="s">
        <v>2835</v>
      </c>
      <c r="C777" s="411">
        <f t="shared" si="13"/>
        <v>763</v>
      </c>
      <c r="D777" s="443" t="s">
        <v>2215</v>
      </c>
      <c r="E777" s="412" t="s">
        <v>380</v>
      </c>
      <c r="F777" s="912">
        <v>5.1864600000000004E-2</v>
      </c>
      <c r="G777" s="480">
        <v>3463.0023344000001</v>
      </c>
      <c r="H777" s="414">
        <v>487.2</v>
      </c>
      <c r="I777" s="413" t="s">
        <v>533</v>
      </c>
      <c r="J777" s="411">
        <v>2</v>
      </c>
      <c r="K777" s="411" t="s">
        <v>1530</v>
      </c>
      <c r="L777" s="482">
        <v>348</v>
      </c>
      <c r="M777" s="461" t="s">
        <v>2412</v>
      </c>
      <c r="N777" s="483">
        <v>121.62599999999989</v>
      </c>
      <c r="O777" s="483">
        <v>243.24040000000008</v>
      </c>
      <c r="P777" s="913" t="s">
        <v>2413</v>
      </c>
      <c r="Q777" s="484">
        <v>336.67839999999967</v>
      </c>
      <c r="R777" s="497"/>
    </row>
    <row r="778" spans="1:19" ht="15" customHeight="1">
      <c r="A778" s="411">
        <v>764</v>
      </c>
      <c r="B778" s="413" t="s">
        <v>2836</v>
      </c>
      <c r="C778" s="411">
        <f t="shared" si="13"/>
        <v>764</v>
      </c>
      <c r="D778" s="443" t="s">
        <v>2215</v>
      </c>
      <c r="E778" s="412" t="s">
        <v>381</v>
      </c>
      <c r="F778" s="912">
        <v>5.1864600000000004E-2</v>
      </c>
      <c r="G778" s="480">
        <v>3463.0023344000001</v>
      </c>
      <c r="H778" s="414">
        <v>487.2</v>
      </c>
      <c r="I778" s="413" t="s">
        <v>533</v>
      </c>
      <c r="J778" s="411">
        <v>2</v>
      </c>
      <c r="K778" s="411" t="s">
        <v>1531</v>
      </c>
      <c r="L778" s="482">
        <v>348</v>
      </c>
      <c r="M778" s="461" t="s">
        <v>2412</v>
      </c>
      <c r="N778" s="483">
        <v>121.62599999999989</v>
      </c>
      <c r="O778" s="483">
        <v>243.24040000000008</v>
      </c>
      <c r="P778" s="913" t="s">
        <v>2413</v>
      </c>
      <c r="Q778" s="484">
        <v>336.67839999999967</v>
      </c>
      <c r="R778" s="497"/>
    </row>
    <row r="779" spans="1:19" ht="15" customHeight="1">
      <c r="A779" s="233">
        <v>765</v>
      </c>
      <c r="B779" s="413" t="s">
        <v>2837</v>
      </c>
      <c r="C779" s="411">
        <f t="shared" si="13"/>
        <v>765</v>
      </c>
      <c r="D779" s="443" t="s">
        <v>2215</v>
      </c>
      <c r="E779" s="412" t="s">
        <v>382</v>
      </c>
      <c r="F779" s="912">
        <v>5.1864600000000004E-2</v>
      </c>
      <c r="G779" s="480">
        <v>3463.0023344000001</v>
      </c>
      <c r="H779" s="414">
        <v>487.2</v>
      </c>
      <c r="I779" s="413" t="s">
        <v>533</v>
      </c>
      <c r="J779" s="411">
        <v>2</v>
      </c>
      <c r="K779" s="411" t="s">
        <v>1532</v>
      </c>
      <c r="L779" s="482">
        <v>348</v>
      </c>
      <c r="M779" s="461" t="s">
        <v>2412</v>
      </c>
      <c r="N779" s="483">
        <v>121.62599999999989</v>
      </c>
      <c r="O779" s="483">
        <v>243.24040000000008</v>
      </c>
      <c r="P779" s="913" t="s">
        <v>2413</v>
      </c>
      <c r="Q779" s="484">
        <v>336.67839999999967</v>
      </c>
      <c r="R779" s="497"/>
    </row>
    <row r="780" spans="1:19" ht="15" customHeight="1">
      <c r="A780" s="411">
        <v>766</v>
      </c>
      <c r="B780" s="413" t="s">
        <v>2838</v>
      </c>
      <c r="C780" s="411">
        <f t="shared" si="13"/>
        <v>766</v>
      </c>
      <c r="D780" s="443" t="s">
        <v>2215</v>
      </c>
      <c r="E780" s="412" t="s">
        <v>383</v>
      </c>
      <c r="F780" s="912">
        <v>6.1929800000000007E-2</v>
      </c>
      <c r="G780" s="480">
        <v>2538.48</v>
      </c>
      <c r="H780" s="414">
        <v>487.2</v>
      </c>
      <c r="I780" s="413" t="s">
        <v>481</v>
      </c>
      <c r="J780" s="411">
        <v>1</v>
      </c>
      <c r="K780" s="411" t="s">
        <v>1533</v>
      </c>
      <c r="L780" s="482">
        <v>348</v>
      </c>
      <c r="M780" s="461" t="s">
        <v>2412</v>
      </c>
      <c r="N780" s="483">
        <v>67.071199999999919</v>
      </c>
      <c r="O780" s="483">
        <v>134.15400000000011</v>
      </c>
      <c r="P780" s="913" t="s">
        <v>2413</v>
      </c>
      <c r="Q780" s="484">
        <v>336.67839999999967</v>
      </c>
      <c r="R780" s="497"/>
    </row>
    <row r="781" spans="1:19" ht="15" customHeight="1">
      <c r="A781" s="411">
        <v>767</v>
      </c>
      <c r="B781" s="413" t="s">
        <v>2839</v>
      </c>
      <c r="C781" s="411">
        <f t="shared" si="13"/>
        <v>767</v>
      </c>
      <c r="D781" s="443" t="s">
        <v>2215</v>
      </c>
      <c r="E781" s="412" t="s">
        <v>2840</v>
      </c>
      <c r="F781" s="912">
        <v>4.10938E-2</v>
      </c>
      <c r="G781" s="480">
        <v>2538.48</v>
      </c>
      <c r="H781" s="414">
        <v>487.2</v>
      </c>
      <c r="I781" s="413" t="s">
        <v>481</v>
      </c>
      <c r="J781" s="411">
        <v>1</v>
      </c>
      <c r="K781" s="411" t="s">
        <v>2841</v>
      </c>
      <c r="L781" s="482">
        <v>348</v>
      </c>
      <c r="M781" s="461" t="s">
        <v>2412</v>
      </c>
      <c r="N781" s="483">
        <v>67.071199999999919</v>
      </c>
      <c r="O781" s="483">
        <v>134.15400000000011</v>
      </c>
      <c r="P781" s="913" t="s">
        <v>2413</v>
      </c>
      <c r="Q781" s="484">
        <v>336.67839999999967</v>
      </c>
      <c r="R781" s="497"/>
    </row>
    <row r="782" spans="1:19" ht="15" customHeight="1">
      <c r="A782" s="233">
        <v>768</v>
      </c>
      <c r="B782" s="413" t="s">
        <v>2842</v>
      </c>
      <c r="C782" s="411">
        <f t="shared" si="13"/>
        <v>768</v>
      </c>
      <c r="D782" s="443" t="s">
        <v>2215</v>
      </c>
      <c r="E782" s="412" t="s">
        <v>384</v>
      </c>
      <c r="F782" s="912">
        <v>5.4233200000000002E-2</v>
      </c>
      <c r="G782" s="480">
        <v>2538.48</v>
      </c>
      <c r="H782" s="414">
        <v>487.2</v>
      </c>
      <c r="I782" s="413" t="s">
        <v>481</v>
      </c>
      <c r="J782" s="411">
        <v>1</v>
      </c>
      <c r="K782" s="411" t="s">
        <v>1534</v>
      </c>
      <c r="L782" s="482">
        <v>348</v>
      </c>
      <c r="M782" s="461" t="s">
        <v>2412</v>
      </c>
      <c r="N782" s="483">
        <v>67.071199999999919</v>
      </c>
      <c r="O782" s="483">
        <v>134.15400000000011</v>
      </c>
      <c r="P782" s="913" t="s">
        <v>2413</v>
      </c>
      <c r="Q782" s="484">
        <v>336.67839999999967</v>
      </c>
      <c r="R782" s="497"/>
    </row>
    <row r="783" spans="1:19" ht="15" customHeight="1">
      <c r="A783" s="411">
        <v>769</v>
      </c>
      <c r="B783" s="413" t="s">
        <v>2843</v>
      </c>
      <c r="C783" s="411">
        <f t="shared" si="13"/>
        <v>769</v>
      </c>
      <c r="D783" s="443" t="s">
        <v>2215</v>
      </c>
      <c r="E783" s="412" t="s">
        <v>385</v>
      </c>
      <c r="F783" s="912">
        <v>5.4973899999999999E-2</v>
      </c>
      <c r="G783" s="480">
        <v>2538.48</v>
      </c>
      <c r="H783" s="414">
        <v>487.2</v>
      </c>
      <c r="I783" s="413" t="s">
        <v>481</v>
      </c>
      <c r="J783" s="411">
        <v>1</v>
      </c>
      <c r="K783" s="411" t="s">
        <v>1535</v>
      </c>
      <c r="L783" s="482">
        <v>348</v>
      </c>
      <c r="M783" s="461" t="s">
        <v>2412</v>
      </c>
      <c r="N783" s="483">
        <v>67.071199999999919</v>
      </c>
      <c r="O783" s="483">
        <v>134.15400000000011</v>
      </c>
      <c r="P783" s="913" t="s">
        <v>2413</v>
      </c>
      <c r="Q783" s="484">
        <v>336.67839999999967</v>
      </c>
      <c r="R783" s="497"/>
    </row>
    <row r="784" spans="1:19" ht="15" customHeight="1">
      <c r="A784" s="411">
        <v>770</v>
      </c>
      <c r="B784" s="413" t="s">
        <v>2844</v>
      </c>
      <c r="C784" s="411">
        <f t="shared" ref="C784:C792" si="14">A784</f>
        <v>770</v>
      </c>
      <c r="D784" s="443" t="s">
        <v>2215</v>
      </c>
      <c r="E784" s="412" t="s">
        <v>386</v>
      </c>
      <c r="F784" s="912">
        <v>4.5920300000000004E-2</v>
      </c>
      <c r="G784" s="480">
        <v>2538.48</v>
      </c>
      <c r="H784" s="414">
        <v>487.2</v>
      </c>
      <c r="I784" s="413" t="s">
        <v>481</v>
      </c>
      <c r="J784" s="411">
        <v>1</v>
      </c>
      <c r="K784" s="411" t="s">
        <v>1536</v>
      </c>
      <c r="L784" s="482">
        <v>348</v>
      </c>
      <c r="M784" s="461" t="s">
        <v>2412</v>
      </c>
      <c r="N784" s="483">
        <v>67.071199999999919</v>
      </c>
      <c r="O784" s="483">
        <v>134.15400000000011</v>
      </c>
      <c r="P784" s="913" t="s">
        <v>2413</v>
      </c>
      <c r="Q784" s="484">
        <v>336.67839999999967</v>
      </c>
      <c r="R784" s="497"/>
    </row>
    <row r="785" spans="1:19" ht="15" customHeight="1">
      <c r="A785" s="233">
        <v>771</v>
      </c>
      <c r="B785" s="413" t="s">
        <v>2845</v>
      </c>
      <c r="C785" s="411">
        <f t="shared" si="14"/>
        <v>771</v>
      </c>
      <c r="D785" s="443" t="s">
        <v>2215</v>
      </c>
      <c r="E785" s="412" t="s">
        <v>387</v>
      </c>
      <c r="F785" s="912">
        <v>3.9157999999999998E-2</v>
      </c>
      <c r="G785" s="480">
        <v>2538.4744000000001</v>
      </c>
      <c r="H785" s="414">
        <v>487.2</v>
      </c>
      <c r="I785" s="413" t="s">
        <v>481</v>
      </c>
      <c r="J785" s="411">
        <v>1</v>
      </c>
      <c r="K785" s="411" t="s">
        <v>1537</v>
      </c>
      <c r="L785" s="482">
        <v>348</v>
      </c>
      <c r="M785" s="461" t="s">
        <v>2412</v>
      </c>
      <c r="N785" s="483">
        <v>67.071199999999919</v>
      </c>
      <c r="O785" s="483">
        <v>134.15400000000011</v>
      </c>
      <c r="P785" s="913" t="s">
        <v>2413</v>
      </c>
      <c r="Q785" s="484">
        <v>336.67839999999967</v>
      </c>
      <c r="R785" s="497"/>
    </row>
    <row r="786" spans="1:19" ht="15" customHeight="1">
      <c r="A786" s="411">
        <v>772</v>
      </c>
      <c r="B786" s="413" t="s">
        <v>2846</v>
      </c>
      <c r="C786" s="411">
        <f t="shared" si="14"/>
        <v>772</v>
      </c>
      <c r="D786" s="443" t="s">
        <v>2215</v>
      </c>
      <c r="E786" s="412" t="s">
        <v>388</v>
      </c>
      <c r="F786" s="912">
        <v>4.8639700000000001E-2</v>
      </c>
      <c r="G786" s="480">
        <v>3463.0023344000001</v>
      </c>
      <c r="H786" s="414">
        <v>487.2</v>
      </c>
      <c r="I786" s="413" t="s">
        <v>533</v>
      </c>
      <c r="J786" s="411">
        <v>2</v>
      </c>
      <c r="K786" s="411" t="s">
        <v>1538</v>
      </c>
      <c r="L786" s="482">
        <v>348</v>
      </c>
      <c r="M786" s="461" t="s">
        <v>2412</v>
      </c>
      <c r="N786" s="483">
        <v>121.62599999999989</v>
      </c>
      <c r="O786" s="483">
        <v>243.24040000000008</v>
      </c>
      <c r="P786" s="913" t="s">
        <v>2413</v>
      </c>
      <c r="Q786" s="484">
        <v>336.67839999999967</v>
      </c>
      <c r="R786" s="497"/>
    </row>
    <row r="787" spans="1:19" ht="15" customHeight="1">
      <c r="A787" s="411">
        <v>773</v>
      </c>
      <c r="B787" s="413" t="s">
        <v>2847</v>
      </c>
      <c r="C787" s="411">
        <f t="shared" si="14"/>
        <v>773</v>
      </c>
      <c r="D787" s="443" t="s">
        <v>2215</v>
      </c>
      <c r="E787" s="412" t="s">
        <v>389</v>
      </c>
      <c r="F787" s="912">
        <v>4.8639700000000001E-2</v>
      </c>
      <c r="G787" s="480">
        <v>3463.0023344000001</v>
      </c>
      <c r="H787" s="414">
        <v>487.2</v>
      </c>
      <c r="I787" s="413" t="s">
        <v>533</v>
      </c>
      <c r="J787" s="411">
        <v>2</v>
      </c>
      <c r="K787" s="411" t="s">
        <v>1539</v>
      </c>
      <c r="L787" s="482">
        <v>348</v>
      </c>
      <c r="M787" s="461" t="s">
        <v>2412</v>
      </c>
      <c r="N787" s="483">
        <v>121.62599999999989</v>
      </c>
      <c r="O787" s="483">
        <v>243.24040000000008</v>
      </c>
      <c r="P787" s="913" t="s">
        <v>2413</v>
      </c>
      <c r="Q787" s="484">
        <v>336.67839999999967</v>
      </c>
      <c r="R787" s="497"/>
    </row>
    <row r="788" spans="1:19" s="460" customFormat="1" ht="15" customHeight="1">
      <c r="A788" s="233">
        <v>774</v>
      </c>
      <c r="B788" s="413" t="s">
        <v>2848</v>
      </c>
      <c r="C788" s="411">
        <f t="shared" si="14"/>
        <v>774</v>
      </c>
      <c r="D788" s="443" t="s">
        <v>2215</v>
      </c>
      <c r="E788" s="412" t="s">
        <v>390</v>
      </c>
      <c r="F788" s="912">
        <v>3.755E-2</v>
      </c>
      <c r="G788" s="480">
        <v>2538.4744000000001</v>
      </c>
      <c r="H788" s="414">
        <v>487.2</v>
      </c>
      <c r="I788" s="413" t="s">
        <v>481</v>
      </c>
      <c r="J788" s="411">
        <v>1</v>
      </c>
      <c r="K788" s="411" t="s">
        <v>1540</v>
      </c>
      <c r="L788" s="482">
        <v>348</v>
      </c>
      <c r="M788" s="461" t="s">
        <v>2412</v>
      </c>
      <c r="N788" s="483">
        <v>67.071199999999919</v>
      </c>
      <c r="O788" s="483">
        <v>134.15400000000011</v>
      </c>
      <c r="P788" s="913" t="s">
        <v>2413</v>
      </c>
      <c r="Q788" s="484">
        <v>336.67839999999967</v>
      </c>
      <c r="R788" s="497"/>
      <c r="S788" s="415"/>
    </row>
    <row r="789" spans="1:19" ht="15" customHeight="1">
      <c r="A789" s="411">
        <v>775</v>
      </c>
      <c r="B789" s="413" t="s">
        <v>2849</v>
      </c>
      <c r="C789" s="411">
        <f t="shared" si="14"/>
        <v>775</v>
      </c>
      <c r="D789" s="443" t="s">
        <v>2215</v>
      </c>
      <c r="E789" s="412" t="s">
        <v>391</v>
      </c>
      <c r="F789" s="912">
        <v>4.8639700000000001E-2</v>
      </c>
      <c r="G789" s="480">
        <v>3463.0023344000001</v>
      </c>
      <c r="H789" s="414">
        <v>487.2</v>
      </c>
      <c r="I789" s="413" t="s">
        <v>533</v>
      </c>
      <c r="J789" s="411">
        <v>2</v>
      </c>
      <c r="K789" s="411" t="s">
        <v>1541</v>
      </c>
      <c r="L789" s="482">
        <v>348</v>
      </c>
      <c r="M789" s="461" t="s">
        <v>2412</v>
      </c>
      <c r="N789" s="483">
        <v>121.62599999999989</v>
      </c>
      <c r="O789" s="483">
        <v>243.24040000000008</v>
      </c>
      <c r="P789" s="913" t="s">
        <v>2413</v>
      </c>
      <c r="Q789" s="484">
        <v>336.67839999999967</v>
      </c>
      <c r="R789" s="497"/>
    </row>
    <row r="790" spans="1:19" ht="15" customHeight="1">
      <c r="A790" s="411">
        <v>776</v>
      </c>
      <c r="B790" s="413" t="s">
        <v>3315</v>
      </c>
      <c r="C790" s="411">
        <f t="shared" si="14"/>
        <v>776</v>
      </c>
      <c r="D790" s="443" t="s">
        <v>2215</v>
      </c>
      <c r="E790" s="412" t="s">
        <v>3316</v>
      </c>
      <c r="F790" s="912">
        <v>4.5670000000000002E-2</v>
      </c>
      <c r="G790" s="480">
        <v>2538.48</v>
      </c>
      <c r="H790" s="414">
        <v>487.2</v>
      </c>
      <c r="I790" s="413" t="s">
        <v>481</v>
      </c>
      <c r="J790" s="411">
        <v>1</v>
      </c>
      <c r="K790" s="411" t="s">
        <v>5153</v>
      </c>
      <c r="L790" s="482">
        <v>348</v>
      </c>
      <c r="M790" s="461" t="s">
        <v>2412</v>
      </c>
      <c r="N790" s="483">
        <v>67.071199999999919</v>
      </c>
      <c r="O790" s="483">
        <v>134.15</v>
      </c>
      <c r="P790" s="913" t="s">
        <v>2413</v>
      </c>
      <c r="Q790" s="484">
        <v>336.67839999999967</v>
      </c>
      <c r="R790" s="497"/>
    </row>
    <row r="791" spans="1:19" ht="15" customHeight="1">
      <c r="A791" s="233">
        <v>777</v>
      </c>
      <c r="B791" s="413" t="s">
        <v>2850</v>
      </c>
      <c r="C791" s="411">
        <f t="shared" si="14"/>
        <v>777</v>
      </c>
      <c r="D791" s="443" t="s">
        <v>2216</v>
      </c>
      <c r="E791" s="412" t="s">
        <v>392</v>
      </c>
      <c r="F791" s="912">
        <v>4.8639700000000001E-2</v>
      </c>
      <c r="G791" s="480">
        <v>3463.0023344000001</v>
      </c>
      <c r="H791" s="414">
        <v>487.2</v>
      </c>
      <c r="I791" s="413" t="s">
        <v>533</v>
      </c>
      <c r="J791" s="411">
        <v>2</v>
      </c>
      <c r="K791" s="411" t="s">
        <v>1542</v>
      </c>
      <c r="L791" s="482">
        <v>348</v>
      </c>
      <c r="M791" s="461" t="s">
        <v>2412</v>
      </c>
      <c r="N791" s="483">
        <v>121.62599999999989</v>
      </c>
      <c r="O791" s="483">
        <v>243.24040000000008</v>
      </c>
      <c r="P791" s="913" t="s">
        <v>2413</v>
      </c>
      <c r="Q791" s="484">
        <v>336.67839999999967</v>
      </c>
      <c r="R791" s="497"/>
    </row>
    <row r="792" spans="1:19" ht="15" customHeight="1">
      <c r="A792" s="411">
        <v>778</v>
      </c>
      <c r="B792" s="413" t="s">
        <v>2851</v>
      </c>
      <c r="C792" s="411">
        <f t="shared" si="14"/>
        <v>778</v>
      </c>
      <c r="D792" s="443" t="s">
        <v>2216</v>
      </c>
      <c r="E792" s="412" t="s">
        <v>393</v>
      </c>
      <c r="F792" s="912">
        <v>4.8639700000000001E-2</v>
      </c>
      <c r="G792" s="480">
        <v>3463.0023344000001</v>
      </c>
      <c r="H792" s="414">
        <v>487.2</v>
      </c>
      <c r="I792" s="413" t="s">
        <v>533</v>
      </c>
      <c r="J792" s="411">
        <v>2</v>
      </c>
      <c r="K792" s="411" t="s">
        <v>1543</v>
      </c>
      <c r="L792" s="482">
        <v>348</v>
      </c>
      <c r="M792" s="461" t="s">
        <v>2412</v>
      </c>
      <c r="N792" s="483">
        <v>121.62599999999989</v>
      </c>
      <c r="O792" s="483">
        <v>243.24040000000008</v>
      </c>
      <c r="P792" s="913"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54"/>
  <sheetViews>
    <sheetView zoomScaleNormal="10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5"/>
      <c r="P1" s="375"/>
    </row>
    <row r="2" spans="1:24" ht="15.75" thickTop="1">
      <c r="M2"/>
      <c r="N2" s="377" t="s">
        <v>412</v>
      </c>
      <c r="P2"/>
    </row>
    <row r="3" spans="1:24">
      <c r="B3" s="378" t="s">
        <v>2174</v>
      </c>
      <c r="C3" s="154" t="s">
        <v>2146</v>
      </c>
      <c r="M3"/>
      <c r="N3"/>
      <c r="P3"/>
    </row>
    <row r="4" spans="1:24">
      <c r="M4"/>
      <c r="N4" s="2" t="s">
        <v>2147</v>
      </c>
      <c r="O4" t="s">
        <v>487</v>
      </c>
      <c r="P4" s="2" t="s">
        <v>2148</v>
      </c>
    </row>
    <row r="5" spans="1:24">
      <c r="B5" s="241" t="s">
        <v>413</v>
      </c>
      <c r="G5" s="1009" t="s">
        <v>2096</v>
      </c>
      <c r="H5" s="1009"/>
      <c r="I5" s="1009"/>
      <c r="J5" s="1009"/>
      <c r="K5" s="1009"/>
      <c r="M5"/>
      <c r="N5" s="379">
        <v>56</v>
      </c>
      <c r="P5" s="379">
        <v>9</v>
      </c>
      <c r="T5">
        <v>1</v>
      </c>
      <c r="U5">
        <v>2</v>
      </c>
      <c r="V5">
        <v>3</v>
      </c>
      <c r="W5">
        <v>4</v>
      </c>
      <c r="X5">
        <v>5</v>
      </c>
    </row>
    <row r="6" spans="1:24">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c r="A7" s="63">
        <v>0</v>
      </c>
      <c r="B7" s="380" t="s">
        <v>2178</v>
      </c>
      <c r="C7" s="63"/>
      <c r="D7" s="157"/>
      <c r="E7" s="157"/>
      <c r="F7" s="63"/>
      <c r="G7" s="472"/>
      <c r="H7" s="472"/>
      <c r="I7" s="472"/>
      <c r="J7" s="840"/>
      <c r="K7" s="472"/>
      <c r="L7" s="63"/>
      <c r="M7"/>
      <c r="N7" s="923" t="s">
        <v>2146</v>
      </c>
      <c r="P7" s="923" t="s">
        <v>2146</v>
      </c>
      <c r="U7" s="381"/>
      <c r="V7" s="381"/>
      <c r="W7" s="381"/>
      <c r="X7" s="381"/>
    </row>
    <row r="8" spans="1:24">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3" t="s">
        <v>2179</v>
      </c>
      <c r="P8" s="923" t="s">
        <v>2348</v>
      </c>
      <c r="T8" s="385"/>
      <c r="U8" s="382"/>
      <c r="V8" s="382"/>
      <c r="W8" s="382"/>
      <c r="X8" s="384"/>
    </row>
    <row r="9" spans="1:24">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3" t="s">
        <v>2180</v>
      </c>
      <c r="P9" s="923" t="s">
        <v>2237</v>
      </c>
      <c r="T9" s="385"/>
      <c r="U9" s="382"/>
      <c r="V9" s="382"/>
      <c r="W9" s="382"/>
      <c r="X9" s="384"/>
    </row>
    <row r="10" spans="1:24">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3" t="s">
        <v>5128</v>
      </c>
      <c r="P10" s="923" t="s">
        <v>2238</v>
      </c>
      <c r="T10" s="385"/>
      <c r="U10" s="382"/>
      <c r="V10" s="382"/>
      <c r="W10" s="382"/>
      <c r="X10" s="384"/>
    </row>
    <row r="11" spans="1:24">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3" t="s">
        <v>2182</v>
      </c>
      <c r="P11" s="923" t="s">
        <v>2239</v>
      </c>
      <c r="T11" s="385"/>
      <c r="U11" s="382"/>
      <c r="V11" s="382"/>
      <c r="W11" s="382"/>
      <c r="X11" s="384"/>
    </row>
    <row r="12" spans="1:24">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3" t="s">
        <v>2115</v>
      </c>
      <c r="P12" s="923" t="s">
        <v>2240</v>
      </c>
      <c r="T12" s="385"/>
      <c r="U12" s="382"/>
      <c r="V12" s="382"/>
      <c r="W12" s="382"/>
      <c r="X12" s="384"/>
    </row>
    <row r="13" spans="1:24">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3" t="s">
        <v>10962</v>
      </c>
      <c r="P13" s="923" t="s">
        <v>4227</v>
      </c>
      <c r="T13" s="385"/>
      <c r="U13" s="382"/>
      <c r="V13" s="382"/>
      <c r="W13" s="382"/>
      <c r="X13" s="384"/>
    </row>
    <row r="14" spans="1:24">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3" t="s">
        <v>2116</v>
      </c>
      <c r="P14" s="923" t="s">
        <v>2241</v>
      </c>
      <c r="T14" s="385"/>
      <c r="U14" s="382"/>
      <c r="V14" s="382"/>
      <c r="W14" s="382"/>
      <c r="X14" s="384"/>
    </row>
    <row r="15" spans="1:24">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3" t="s">
        <v>2183</v>
      </c>
      <c r="P15" s="923" t="s">
        <v>2242</v>
      </c>
      <c r="T15" s="385"/>
      <c r="U15" s="382"/>
      <c r="V15" s="382"/>
      <c r="W15" s="382"/>
      <c r="X15" s="384"/>
    </row>
    <row r="16" spans="1:24">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3" t="s">
        <v>5659</v>
      </c>
      <c r="P16" s="923"/>
      <c r="T16" s="385"/>
      <c r="U16" s="382"/>
      <c r="V16" s="382"/>
      <c r="W16" s="382"/>
      <c r="X16" s="384"/>
    </row>
    <row r="17" spans="1:24">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3" t="s">
        <v>4203</v>
      </c>
      <c r="P17" s="923"/>
      <c r="T17" s="385"/>
      <c r="U17" s="382"/>
      <c r="V17" s="382"/>
      <c r="W17" s="382"/>
      <c r="X17" s="384"/>
    </row>
    <row r="18" spans="1:24">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3" t="s">
        <v>2184</v>
      </c>
      <c r="P18" s="923"/>
      <c r="T18" s="385"/>
      <c r="U18" s="382"/>
      <c r="V18" s="382"/>
      <c r="W18" s="382"/>
      <c r="X18" s="384"/>
    </row>
    <row r="19" spans="1:24">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3" t="s">
        <v>2185</v>
      </c>
      <c r="P19" s="923"/>
      <c r="T19" s="385"/>
      <c r="U19" s="382"/>
      <c r="V19" s="382"/>
      <c r="W19" s="382"/>
      <c r="X19" s="384"/>
    </row>
    <row r="20" spans="1:24">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3" t="s">
        <v>2186</v>
      </c>
      <c r="P20" s="923"/>
      <c r="T20" s="385"/>
      <c r="U20" s="382"/>
      <c r="V20" s="382"/>
      <c r="W20" s="382"/>
      <c r="X20" s="384"/>
    </row>
    <row r="21" spans="1:24">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3" t="s">
        <v>3546</v>
      </c>
      <c r="P21" s="923"/>
      <c r="T21" s="385"/>
      <c r="U21" s="382"/>
      <c r="V21" s="382"/>
      <c r="W21" s="382"/>
      <c r="X21" s="384"/>
    </row>
    <row r="22" spans="1:24">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3" t="s">
        <v>2187</v>
      </c>
      <c r="P22" s="923"/>
      <c r="T22" s="385"/>
      <c r="U22" s="382"/>
      <c r="V22" s="382"/>
      <c r="W22" s="382"/>
      <c r="X22" s="384"/>
    </row>
    <row r="23" spans="1:24">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3" t="s">
        <v>3596</v>
      </c>
      <c r="P23" s="923"/>
      <c r="T23" s="385"/>
      <c r="U23" s="382"/>
      <c r="V23" s="382"/>
      <c r="W23" s="382"/>
      <c r="X23" s="384"/>
    </row>
    <row r="24" spans="1:24">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3" t="s">
        <v>2189</v>
      </c>
      <c r="P24" s="922"/>
      <c r="T24" s="385"/>
      <c r="U24" s="382"/>
      <c r="V24" s="382"/>
      <c r="W24" s="382"/>
      <c r="X24" s="384"/>
    </row>
    <row r="25" spans="1:24">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3" t="s">
        <v>2124</v>
      </c>
      <c r="P25" s="922"/>
      <c r="T25" s="385"/>
      <c r="U25" s="382"/>
      <c r="V25" s="382"/>
      <c r="W25" s="382"/>
      <c r="X25" s="384"/>
    </row>
    <row r="26" spans="1:24">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3" t="s">
        <v>2188</v>
      </c>
      <c r="P26" s="922"/>
      <c r="T26" s="385"/>
      <c r="U26" s="382"/>
      <c r="V26" s="382"/>
      <c r="W26" s="382"/>
      <c r="X26" s="384"/>
    </row>
    <row r="27" spans="1:24">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3" t="s">
        <v>2190</v>
      </c>
      <c r="P27" s="922"/>
      <c r="T27" s="385"/>
      <c r="U27" s="382"/>
      <c r="V27" s="382"/>
      <c r="W27" s="382"/>
      <c r="X27" s="384"/>
    </row>
    <row r="28" spans="1:24">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3" t="s">
        <v>2191</v>
      </c>
      <c r="P28" s="921"/>
      <c r="T28" s="385"/>
      <c r="U28" s="382"/>
      <c r="V28" s="382"/>
      <c r="W28" s="382"/>
      <c r="X28" s="384"/>
    </row>
    <row r="29" spans="1:24">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3" t="s">
        <v>4081</v>
      </c>
      <c r="P29" s="921"/>
      <c r="T29" s="385"/>
      <c r="U29" s="382"/>
      <c r="V29" s="382"/>
      <c r="W29" s="382"/>
      <c r="X29" s="384"/>
    </row>
    <row r="30" spans="1:24">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3" t="s">
        <v>251</v>
      </c>
      <c r="P30" s="921"/>
      <c r="T30" s="385"/>
      <c r="U30" s="382"/>
      <c r="V30" s="382"/>
      <c r="W30" s="382"/>
      <c r="X30" s="384"/>
    </row>
    <row r="31" spans="1:24">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3" t="s">
        <v>3604</v>
      </c>
      <c r="P31" s="921"/>
      <c r="T31" s="385"/>
      <c r="U31" s="382"/>
      <c r="V31" s="382"/>
      <c r="W31" s="382"/>
      <c r="X31" s="384"/>
    </row>
    <row r="32" spans="1:24">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3" t="s">
        <v>2192</v>
      </c>
      <c r="P32" s="921"/>
      <c r="T32" s="385"/>
      <c r="U32" s="382"/>
      <c r="V32" s="382"/>
      <c r="W32" s="382"/>
      <c r="X32" s="384"/>
    </row>
    <row r="33" spans="1:24">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3" t="s">
        <v>2193</v>
      </c>
      <c r="P33" s="921"/>
      <c r="T33" s="385"/>
      <c r="U33" s="382"/>
      <c r="V33" s="382"/>
      <c r="W33" s="382"/>
      <c r="X33" s="384"/>
    </row>
    <row r="34" spans="1:24">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3" t="s">
        <v>2194</v>
      </c>
      <c r="P34" s="921"/>
      <c r="T34" s="385"/>
      <c r="U34" s="382"/>
      <c r="V34" s="382"/>
      <c r="W34" s="382"/>
      <c r="X34" s="384"/>
    </row>
    <row r="35" spans="1:24">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3" t="s">
        <v>4109</v>
      </c>
      <c r="P35" s="921"/>
      <c r="T35" s="385"/>
      <c r="U35" s="382"/>
      <c r="V35" s="382"/>
      <c r="W35" s="382"/>
      <c r="X35" s="384"/>
    </row>
    <row r="36" spans="1:24">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3" t="s">
        <v>4829</v>
      </c>
      <c r="P36" s="921"/>
      <c r="T36" s="385"/>
      <c r="U36" s="382"/>
      <c r="V36" s="382"/>
      <c r="W36" s="382"/>
      <c r="X36" s="384"/>
    </row>
    <row r="37" spans="1:24">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3" t="s">
        <v>2195</v>
      </c>
      <c r="P37" s="921"/>
      <c r="T37" s="385"/>
      <c r="U37" s="382"/>
      <c r="V37" s="382"/>
      <c r="W37" s="382"/>
      <c r="X37" s="384"/>
    </row>
    <row r="38" spans="1:24">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3" t="s">
        <v>3261</v>
      </c>
      <c r="P38" s="921"/>
      <c r="T38" s="385"/>
      <c r="U38" s="382"/>
      <c r="V38" s="382"/>
      <c r="W38" s="382"/>
      <c r="X38" s="384"/>
    </row>
    <row r="39" spans="1:24">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3" t="s">
        <v>2196</v>
      </c>
      <c r="P39" s="921"/>
      <c r="T39" s="385"/>
      <c r="U39" s="382" t="s">
        <v>3578</v>
      </c>
      <c r="V39" s="382"/>
      <c r="W39" s="382"/>
      <c r="X39" s="384"/>
    </row>
    <row r="40" spans="1:24">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3" t="s">
        <v>4161</v>
      </c>
      <c r="P40" s="921"/>
      <c r="T40" s="385"/>
      <c r="U40" s="382"/>
      <c r="V40" s="382"/>
      <c r="W40" s="382"/>
      <c r="X40" s="384"/>
    </row>
    <row r="41" spans="1:24">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3" t="s">
        <v>2197</v>
      </c>
      <c r="P41" s="921"/>
      <c r="T41" s="385"/>
      <c r="U41" s="382"/>
      <c r="V41" s="382"/>
      <c r="W41" s="382"/>
      <c r="X41" s="384"/>
    </row>
    <row r="42" spans="1:24">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3" t="s">
        <v>2198</v>
      </c>
      <c r="P42" s="919"/>
      <c r="T42" s="385"/>
      <c r="U42" s="382"/>
      <c r="V42" s="382"/>
      <c r="W42" s="382"/>
      <c r="X42" s="384"/>
    </row>
    <row r="43" spans="1:24">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3" t="s">
        <v>2199</v>
      </c>
      <c r="P43" s="919"/>
      <c r="T43" s="385"/>
      <c r="U43" s="382"/>
      <c r="V43" s="382"/>
      <c r="W43" s="382"/>
      <c r="X43" s="384"/>
    </row>
    <row r="44" spans="1:24">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3" t="s">
        <v>2200</v>
      </c>
      <c r="P44" s="919"/>
      <c r="T44" s="385"/>
      <c r="U44" s="382"/>
      <c r="V44" s="382"/>
      <c r="W44" s="382"/>
      <c r="X44" s="384"/>
    </row>
    <row r="45" spans="1:24">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3" t="s">
        <v>2201</v>
      </c>
      <c r="P45" s="911"/>
      <c r="T45" s="385"/>
      <c r="U45" s="382"/>
      <c r="V45" s="382"/>
      <c r="W45" s="382"/>
      <c r="X45" s="384"/>
    </row>
    <row r="46" spans="1:24">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3" t="s">
        <v>2202</v>
      </c>
      <c r="P46" s="911"/>
      <c r="T46" s="385"/>
      <c r="U46" s="382"/>
      <c r="V46" s="382"/>
      <c r="W46" s="382"/>
      <c r="X46" s="384"/>
    </row>
    <row r="47" spans="1:24">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3" t="s">
        <v>2203</v>
      </c>
      <c r="P47" s="911"/>
      <c r="T47" s="385"/>
      <c r="U47" s="382"/>
      <c r="V47" s="382"/>
      <c r="W47" s="382"/>
      <c r="X47" s="384"/>
    </row>
    <row r="48" spans="1:24">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3" t="s">
        <v>2204</v>
      </c>
      <c r="P48" s="911"/>
      <c r="T48" s="385"/>
      <c r="U48" s="382"/>
      <c r="V48" s="382"/>
      <c r="W48" s="382"/>
      <c r="X48" s="384"/>
    </row>
    <row r="49" spans="1:24">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3" t="s">
        <v>2205</v>
      </c>
      <c r="P49" s="911"/>
      <c r="T49" s="385"/>
      <c r="U49" s="382"/>
      <c r="V49" s="382"/>
      <c r="W49" s="382"/>
      <c r="X49" s="384"/>
    </row>
    <row r="50" spans="1:24">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3" t="s">
        <v>482</v>
      </c>
      <c r="P50" s="911"/>
      <c r="T50" s="385"/>
      <c r="U50" s="382"/>
      <c r="V50" s="382"/>
      <c r="W50" s="382"/>
      <c r="X50" s="384"/>
    </row>
    <row r="51" spans="1:24">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3" t="s">
        <v>2206</v>
      </c>
      <c r="P51" s="911"/>
      <c r="T51" s="385"/>
      <c r="U51" s="382"/>
      <c r="V51" s="382"/>
      <c r="W51" s="382"/>
      <c r="X51" s="384"/>
    </row>
    <row r="52" spans="1:24">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3" t="s">
        <v>2207</v>
      </c>
      <c r="P52" s="911"/>
      <c r="T52" s="385"/>
      <c r="U52" s="382"/>
      <c r="V52" s="382"/>
      <c r="W52" s="382"/>
      <c r="X52" s="384"/>
    </row>
    <row r="53" spans="1:24">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3" t="s">
        <v>2208</v>
      </c>
      <c r="P53" s="911"/>
      <c r="T53" s="385"/>
      <c r="U53" s="382"/>
      <c r="V53" s="382"/>
      <c r="W53" s="382"/>
      <c r="X53" s="384"/>
    </row>
    <row r="54" spans="1:24">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3" t="s">
        <v>2209</v>
      </c>
      <c r="P54" s="911"/>
      <c r="T54" s="385"/>
      <c r="U54" s="382"/>
      <c r="V54" s="382"/>
      <c r="W54" s="382"/>
      <c r="X54" s="384"/>
    </row>
    <row r="55" spans="1:24">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3" t="s">
        <v>2210</v>
      </c>
      <c r="P55" s="911"/>
      <c r="T55" s="385"/>
      <c r="U55" s="382"/>
      <c r="V55" s="382"/>
      <c r="W55" s="382"/>
      <c r="X55" s="384"/>
    </row>
    <row r="56" spans="1:24">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3" t="s">
        <v>3611</v>
      </c>
      <c r="P56" s="911"/>
      <c r="T56" s="385"/>
      <c r="U56" s="382"/>
      <c r="V56" s="382"/>
      <c r="W56" s="382"/>
      <c r="X56" s="384"/>
    </row>
    <row r="57" spans="1:24">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3" t="s">
        <v>2211</v>
      </c>
      <c r="P57" s="911"/>
      <c r="T57" s="385"/>
      <c r="U57" s="382"/>
      <c r="V57" s="382"/>
      <c r="W57" s="382"/>
      <c r="X57" s="384"/>
    </row>
    <row r="58" spans="1:24">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3" t="s">
        <v>2212</v>
      </c>
      <c r="P58" s="911"/>
      <c r="T58" s="385"/>
      <c r="U58" s="382"/>
      <c r="V58" s="382"/>
      <c r="W58" s="382"/>
      <c r="X58" s="384"/>
    </row>
    <row r="59" spans="1:24">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3" t="s">
        <v>11043</v>
      </c>
      <c r="P59" s="911"/>
      <c r="T59" s="385"/>
      <c r="U59" s="382"/>
      <c r="V59" s="382"/>
      <c r="W59" s="382"/>
      <c r="X59" s="384"/>
    </row>
    <row r="60" spans="1:24">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3" t="s">
        <v>2213</v>
      </c>
      <c r="P60" s="911"/>
      <c r="T60" s="385"/>
      <c r="U60" s="382"/>
      <c r="V60" s="382"/>
      <c r="W60" s="382"/>
      <c r="X60" s="384"/>
    </row>
    <row r="61" spans="1:24">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3" t="s">
        <v>2215</v>
      </c>
      <c r="P61" s="911"/>
      <c r="T61" s="385"/>
      <c r="U61" s="382"/>
      <c r="V61" s="382"/>
      <c r="W61" s="382"/>
      <c r="X61" s="384"/>
    </row>
    <row r="62" spans="1:24">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3" t="s">
        <v>2214</v>
      </c>
      <c r="P62" s="911"/>
      <c r="T62" s="385"/>
      <c r="U62" s="382"/>
      <c r="V62" s="382"/>
      <c r="W62" s="382"/>
      <c r="X62" s="384"/>
    </row>
    <row r="63" spans="1:24">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3"/>
      <c r="P63" s="911"/>
      <c r="T63" s="385"/>
      <c r="U63" s="382"/>
      <c r="V63" s="382"/>
      <c r="W63" s="382"/>
      <c r="X63" s="384"/>
    </row>
    <row r="64" spans="1:24">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23"/>
      <c r="P64" s="911"/>
      <c r="T64" s="385"/>
      <c r="U64" s="382"/>
      <c r="V64" s="382"/>
      <c r="W64" s="382"/>
      <c r="X64" s="384"/>
    </row>
    <row r="65" spans="1:24">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23"/>
      <c r="P65" s="911"/>
      <c r="T65" s="385"/>
      <c r="U65" s="382"/>
      <c r="V65" s="382"/>
      <c r="W65" s="382"/>
      <c r="X65" s="384"/>
    </row>
    <row r="66" spans="1:24">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23"/>
      <c r="P66" s="911"/>
      <c r="T66" s="465"/>
      <c r="U66" s="382"/>
      <c r="V66" s="382"/>
      <c r="W66" s="382"/>
      <c r="X66" s="384"/>
    </row>
    <row r="67" spans="1:24">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23"/>
      <c r="P67" s="911"/>
      <c r="T67" s="465"/>
      <c r="U67" s="382"/>
      <c r="V67" s="382"/>
      <c r="W67" s="382"/>
      <c r="X67" s="384"/>
    </row>
    <row r="68" spans="1:24">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21"/>
      <c r="P68" s="911"/>
      <c r="T68" s="465"/>
      <c r="U68" s="382"/>
      <c r="V68" s="382"/>
      <c r="W68" s="382"/>
      <c r="X68" s="384"/>
    </row>
    <row r="69" spans="1:24">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21"/>
      <c r="P69" s="911"/>
      <c r="T69" s="465"/>
      <c r="U69" s="382"/>
      <c r="V69" s="382"/>
      <c r="W69" s="382"/>
      <c r="X69" s="384"/>
    </row>
    <row r="70" spans="1:24">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21"/>
      <c r="P70" s="911"/>
      <c r="T70" s="465"/>
      <c r="U70" s="382"/>
      <c r="V70" s="382"/>
      <c r="W70" s="382"/>
      <c r="X70" s="384"/>
    </row>
    <row r="71" spans="1:24">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21"/>
      <c r="P71" s="911"/>
      <c r="T71" s="465"/>
      <c r="U71" s="382"/>
      <c r="V71" s="382"/>
      <c r="W71" s="382"/>
      <c r="X71" s="384"/>
    </row>
    <row r="72" spans="1:24">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21"/>
      <c r="P72" s="911"/>
      <c r="T72" s="465"/>
      <c r="U72" s="382"/>
      <c r="V72" s="382"/>
      <c r="W72" s="382"/>
      <c r="X72" s="384"/>
    </row>
    <row r="73" spans="1:24">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21"/>
      <c r="P73" s="911"/>
      <c r="T73" s="465"/>
      <c r="U73" s="382"/>
      <c r="V73" s="382"/>
      <c r="W73" s="382"/>
      <c r="X73" s="384"/>
    </row>
    <row r="74" spans="1:24">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21"/>
      <c r="P74" s="911"/>
      <c r="T74" s="465"/>
      <c r="U74" s="382"/>
      <c r="V74" s="382"/>
      <c r="W74" s="382"/>
      <c r="X74" s="384"/>
    </row>
    <row r="75" spans="1:24">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21"/>
      <c r="P75" s="911"/>
      <c r="T75" s="465"/>
      <c r="U75" s="382"/>
      <c r="V75" s="382"/>
      <c r="W75" s="382"/>
      <c r="X75" s="384"/>
    </row>
    <row r="76" spans="1:24">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21"/>
      <c r="P76" s="911"/>
      <c r="T76" s="465"/>
      <c r="U76" s="382"/>
      <c r="V76" s="382"/>
      <c r="W76" s="382"/>
      <c r="X76" s="384"/>
    </row>
    <row r="77" spans="1:24">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21"/>
      <c r="P77" s="911"/>
      <c r="T77" s="465"/>
      <c r="U77" s="382"/>
      <c r="V77" s="382"/>
      <c r="W77" s="382"/>
      <c r="X77" s="384"/>
    </row>
    <row r="78" spans="1:24">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21"/>
      <c r="P78" s="911"/>
      <c r="T78" s="465"/>
      <c r="U78" s="382"/>
      <c r="V78" s="382"/>
      <c r="W78" s="382"/>
      <c r="X78" s="384"/>
    </row>
    <row r="79" spans="1:24">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21"/>
      <c r="P79" s="911"/>
      <c r="T79" s="465"/>
      <c r="U79" s="382"/>
      <c r="V79" s="382"/>
      <c r="W79" s="382"/>
      <c r="X79" s="384"/>
    </row>
    <row r="80" spans="1:24">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21"/>
      <c r="P80" s="911"/>
      <c r="T80" s="465"/>
      <c r="U80" s="382"/>
      <c r="V80" s="382"/>
      <c r="W80" s="382"/>
      <c r="X80" s="384"/>
    </row>
    <row r="81" spans="1:24">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9"/>
      <c r="P81" s="911"/>
      <c r="T81" s="465"/>
      <c r="U81" s="382"/>
      <c r="V81" s="382"/>
      <c r="W81" s="382"/>
      <c r="X81" s="384"/>
    </row>
    <row r="82" spans="1:24">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9"/>
      <c r="P82" s="911"/>
      <c r="T82" s="465"/>
      <c r="U82" s="382"/>
      <c r="V82" s="382"/>
      <c r="W82" s="382"/>
      <c r="X82" s="384"/>
    </row>
    <row r="83" spans="1:24">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0"/>
      <c r="P83" s="911"/>
      <c r="T83" s="465"/>
      <c r="U83" s="382"/>
      <c r="V83" s="382"/>
      <c r="W83" s="382"/>
      <c r="X83" s="384"/>
    </row>
    <row r="84" spans="1:24">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0"/>
      <c r="P84" s="911"/>
      <c r="T84" s="465"/>
      <c r="U84" s="382"/>
      <c r="V84" s="382"/>
      <c r="W84" s="382"/>
      <c r="X84" s="384"/>
    </row>
    <row r="85" spans="1:24">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0"/>
      <c r="P85" s="910"/>
      <c r="T85" s="465"/>
      <c r="U85" s="382"/>
      <c r="V85" s="382"/>
      <c r="W85" s="382"/>
      <c r="X85" s="384"/>
    </row>
    <row r="86" spans="1:24">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0"/>
      <c r="P86" s="910"/>
      <c r="T86" s="465"/>
      <c r="U86" s="382"/>
      <c r="V86" s="382"/>
      <c r="W86" s="382"/>
      <c r="X86" s="384"/>
    </row>
    <row r="87" spans="1:24">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0"/>
      <c r="P87" s="910"/>
      <c r="T87" s="465"/>
      <c r="U87" s="382"/>
      <c r="V87" s="382"/>
      <c r="W87" s="382"/>
      <c r="X87" s="384"/>
    </row>
    <row r="88" spans="1:24">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0"/>
      <c r="P88" s="910"/>
      <c r="T88" s="465"/>
      <c r="U88" s="382"/>
      <c r="V88" s="382"/>
      <c r="W88" s="382"/>
      <c r="X88" s="384"/>
    </row>
    <row r="89" spans="1:24">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0"/>
      <c r="P89" s="910"/>
      <c r="T89" s="465"/>
      <c r="U89" s="382"/>
      <c r="V89" s="382"/>
      <c r="W89" s="382"/>
      <c r="X89" s="384"/>
    </row>
    <row r="90" spans="1:24">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0"/>
      <c r="P90" s="910"/>
      <c r="T90" s="465"/>
      <c r="U90" s="382"/>
      <c r="V90" s="382"/>
      <c r="W90" s="382"/>
      <c r="X90" s="384"/>
    </row>
    <row r="91" spans="1:24">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0"/>
      <c r="P91" s="910"/>
      <c r="T91" s="465"/>
      <c r="U91" s="382"/>
      <c r="V91" s="382"/>
      <c r="W91" s="382"/>
      <c r="X91" s="384"/>
    </row>
    <row r="92" spans="1:24">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0"/>
      <c r="P92" s="910"/>
      <c r="T92" s="465"/>
      <c r="U92" s="382"/>
      <c r="V92" s="382"/>
      <c r="W92" s="382"/>
      <c r="X92" s="384"/>
    </row>
    <row r="93" spans="1:24">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0"/>
      <c r="P93" s="910"/>
      <c r="T93" s="465"/>
      <c r="U93" s="382"/>
      <c r="V93" s="382"/>
      <c r="W93" s="382"/>
      <c r="X93" s="384"/>
    </row>
    <row r="94" spans="1:24">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0"/>
      <c r="P94" s="910"/>
      <c r="T94" s="465"/>
      <c r="U94" s="382"/>
      <c r="V94" s="382"/>
      <c r="W94" s="382"/>
      <c r="X94" s="384"/>
    </row>
    <row r="95" spans="1:24">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0"/>
      <c r="P95" s="893"/>
      <c r="T95" s="465"/>
      <c r="U95" s="382"/>
      <c r="V95" s="382"/>
      <c r="W95" s="382"/>
      <c r="X95" s="384"/>
    </row>
    <row r="96" spans="1:24">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0"/>
      <c r="P96" s="893"/>
      <c r="T96" s="465"/>
      <c r="U96" s="382"/>
      <c r="V96" s="382"/>
      <c r="W96" s="382"/>
      <c r="X96" s="384"/>
    </row>
    <row r="97" spans="1:24">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0"/>
      <c r="P97" s="893"/>
      <c r="T97" s="465"/>
      <c r="U97" s="382"/>
      <c r="V97" s="382"/>
      <c r="W97" s="382"/>
      <c r="X97" s="384"/>
    </row>
    <row r="98" spans="1:24">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0"/>
      <c r="P98" s="893"/>
      <c r="T98" s="465"/>
      <c r="U98" s="382"/>
      <c r="V98" s="382"/>
      <c r="W98" s="382"/>
      <c r="X98" s="384"/>
    </row>
    <row r="99" spans="1:24">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0"/>
      <c r="P99" s="893"/>
      <c r="T99" s="465"/>
      <c r="U99" s="382"/>
      <c r="V99" s="382"/>
      <c r="W99" s="382"/>
      <c r="X99" s="384"/>
    </row>
    <row r="100" spans="1:24">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0"/>
      <c r="P100" s="893"/>
      <c r="T100" s="465"/>
      <c r="U100" s="382"/>
      <c r="V100" s="382"/>
      <c r="W100" s="382"/>
      <c r="X100" s="384"/>
    </row>
    <row r="101" spans="1:24">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910"/>
      <c r="P101" s="893"/>
      <c r="T101" s="465"/>
      <c r="U101" s="382"/>
      <c r="V101" s="382"/>
      <c r="W101" s="382"/>
      <c r="X101" s="384"/>
    </row>
    <row r="102" spans="1:24">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910"/>
      <c r="P102" s="886"/>
      <c r="T102" s="465"/>
      <c r="U102" s="382"/>
      <c r="V102" s="382"/>
      <c r="W102" s="382"/>
      <c r="X102" s="384"/>
    </row>
    <row r="103" spans="1:24">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910"/>
      <c r="P103" s="886"/>
      <c r="T103" s="465"/>
      <c r="U103" s="382"/>
      <c r="V103" s="382"/>
      <c r="W103" s="382"/>
      <c r="X103" s="384"/>
    </row>
    <row r="104" spans="1:24">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910"/>
      <c r="P104" s="886"/>
      <c r="T104" s="465"/>
      <c r="U104" s="382"/>
      <c r="V104" s="382"/>
      <c r="W104" s="382"/>
      <c r="X104" s="384"/>
    </row>
    <row r="105" spans="1:24">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910"/>
      <c r="P105" s="886"/>
      <c r="T105" s="465"/>
      <c r="U105" s="382"/>
      <c r="V105" s="382"/>
      <c r="W105" s="382"/>
      <c r="X105" s="384"/>
    </row>
    <row r="106" spans="1:24">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910"/>
      <c r="P106" s="886"/>
      <c r="T106" s="465"/>
      <c r="U106" s="382"/>
      <c r="V106" s="382"/>
      <c r="W106" s="382"/>
      <c r="X106" s="384"/>
    </row>
    <row r="107" spans="1:24">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910"/>
      <c r="P107" s="886"/>
      <c r="T107" s="465"/>
      <c r="U107" s="382"/>
      <c r="V107" s="382"/>
      <c r="W107" s="382"/>
      <c r="X107" s="384"/>
    </row>
    <row r="108" spans="1:24">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910"/>
      <c r="P108" s="886"/>
      <c r="T108" s="465"/>
      <c r="U108" s="382"/>
      <c r="V108" s="382"/>
      <c r="W108" s="382"/>
      <c r="X108" s="384"/>
    </row>
    <row r="109" spans="1:24">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910"/>
      <c r="P109" s="886"/>
      <c r="T109" s="465"/>
      <c r="U109" s="382"/>
      <c r="V109" s="382"/>
      <c r="W109" s="382"/>
      <c r="X109" s="384"/>
    </row>
    <row r="110" spans="1:24">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910"/>
      <c r="P110" s="886"/>
      <c r="T110" s="465"/>
      <c r="U110" s="382"/>
      <c r="V110" s="382"/>
      <c r="W110" s="382"/>
      <c r="X110" s="384"/>
    </row>
    <row r="111" spans="1:24">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910"/>
      <c r="P111" s="886"/>
      <c r="T111" s="465"/>
      <c r="U111" s="382"/>
      <c r="V111" s="382"/>
      <c r="W111" s="382"/>
      <c r="X111" s="384"/>
    </row>
    <row r="112" spans="1:24">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910"/>
      <c r="P112" s="886"/>
      <c r="T112" s="465"/>
      <c r="U112" s="382"/>
      <c r="V112" s="382"/>
      <c r="W112" s="382"/>
      <c r="X112" s="384"/>
    </row>
    <row r="113" spans="1:24">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910"/>
      <c r="P113" s="886"/>
      <c r="T113" s="465"/>
      <c r="U113" s="382"/>
      <c r="V113" s="382"/>
      <c r="W113" s="382"/>
      <c r="X113" s="384"/>
    </row>
    <row r="114" spans="1:24">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910"/>
      <c r="P114" s="886"/>
      <c r="T114" s="465"/>
      <c r="U114" s="382"/>
      <c r="V114" s="382"/>
      <c r="W114" s="382"/>
      <c r="X114" s="384"/>
    </row>
    <row r="115" spans="1:24">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910"/>
      <c r="P115" s="886"/>
      <c r="T115" s="465"/>
      <c r="U115" s="382"/>
      <c r="V115" s="382"/>
      <c r="W115" s="382"/>
      <c r="X115" s="384"/>
    </row>
    <row r="116" spans="1:24">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910"/>
      <c r="P116" s="886"/>
      <c r="T116" s="465"/>
      <c r="U116" s="382"/>
      <c r="V116" s="382"/>
      <c r="W116" s="382"/>
      <c r="X116" s="384"/>
    </row>
    <row r="117" spans="1:24">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910"/>
      <c r="P117" s="886"/>
      <c r="T117" s="465"/>
      <c r="U117" s="382"/>
      <c r="V117" s="382"/>
      <c r="W117" s="382"/>
      <c r="X117" s="384"/>
    </row>
    <row r="118" spans="1:24">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910"/>
      <c r="P118" s="886"/>
      <c r="T118" s="465"/>
      <c r="U118" s="382"/>
      <c r="V118" s="382"/>
      <c r="W118" s="382"/>
      <c r="X118" s="384"/>
    </row>
    <row r="119" spans="1:24">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910"/>
      <c r="P119" s="886"/>
      <c r="T119" s="465"/>
      <c r="U119" s="382"/>
      <c r="V119" s="382"/>
      <c r="W119" s="382"/>
      <c r="X119" s="384"/>
    </row>
    <row r="120" spans="1:24">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86"/>
      <c r="T120" s="465"/>
      <c r="U120" s="382"/>
      <c r="V120" s="382"/>
      <c r="W120" s="382"/>
      <c r="X120" s="384"/>
    </row>
    <row r="121" spans="1:24">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86"/>
      <c r="T121" s="465"/>
      <c r="U121" s="382"/>
      <c r="V121" s="382"/>
      <c r="W121" s="382"/>
      <c r="X121" s="384"/>
    </row>
    <row r="122" spans="1:24">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86"/>
      <c r="T122" s="465"/>
      <c r="U122" s="382"/>
      <c r="V122" s="382"/>
      <c r="W122" s="382"/>
      <c r="X122" s="384"/>
    </row>
    <row r="123" spans="1:24">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86"/>
      <c r="T123" s="465"/>
      <c r="U123" s="382"/>
      <c r="V123" s="382"/>
      <c r="W123" s="382"/>
      <c r="X123" s="384"/>
    </row>
    <row r="124" spans="1:24">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86"/>
      <c r="T124" s="465"/>
      <c r="U124" s="382"/>
      <c r="V124" s="382"/>
      <c r="W124" s="382"/>
      <c r="X124" s="384"/>
    </row>
    <row r="125" spans="1:24">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86"/>
      <c r="T125" s="465"/>
      <c r="U125" s="382"/>
      <c r="V125" s="382"/>
      <c r="W125" s="382"/>
      <c r="X125" s="384"/>
    </row>
    <row r="126" spans="1:24">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86"/>
      <c r="T126" s="465"/>
      <c r="U126" s="382"/>
      <c r="V126" s="382"/>
      <c r="W126" s="382"/>
      <c r="X126" s="384"/>
    </row>
    <row r="127" spans="1:24">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86"/>
      <c r="T127" s="465"/>
      <c r="U127" s="382"/>
      <c r="V127" s="382"/>
      <c r="W127" s="382"/>
      <c r="X127" s="384"/>
    </row>
    <row r="128" spans="1:24">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86"/>
      <c r="T128" s="465"/>
      <c r="U128" s="382"/>
      <c r="V128" s="382"/>
      <c r="W128" s="382"/>
      <c r="X128" s="384"/>
    </row>
    <row r="129" spans="1:24">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86"/>
      <c r="T129" s="465"/>
      <c r="U129" s="382"/>
      <c r="V129" s="382"/>
      <c r="W129" s="382"/>
      <c r="X129" s="384"/>
    </row>
    <row r="130" spans="1:24">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80"/>
      <c r="T130" s="465"/>
      <c r="U130" s="382"/>
      <c r="V130" s="382"/>
      <c r="W130" s="382"/>
      <c r="X130" s="384"/>
    </row>
    <row r="131" spans="1:24">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80"/>
      <c r="T131" s="465"/>
      <c r="U131" s="382"/>
      <c r="V131" s="382"/>
      <c r="W131" s="382"/>
      <c r="X131" s="384"/>
    </row>
    <row r="132" spans="1:24">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80"/>
      <c r="T132" s="465"/>
      <c r="U132" s="382"/>
      <c r="V132" s="382"/>
      <c r="W132" s="382"/>
      <c r="X132" s="384"/>
    </row>
    <row r="133" spans="1:24">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80"/>
      <c r="T133" s="465"/>
      <c r="U133" s="382"/>
      <c r="V133" s="382"/>
      <c r="W133" s="382"/>
      <c r="X133" s="384"/>
    </row>
    <row r="134" spans="1:24">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80"/>
      <c r="T134" s="465"/>
      <c r="U134" s="382"/>
      <c r="V134" s="382"/>
      <c r="W134" s="382"/>
      <c r="X134" s="384"/>
    </row>
    <row r="135" spans="1:24">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6"/>
      <c r="P135" s="880"/>
      <c r="T135" s="465"/>
      <c r="U135" s="382"/>
      <c r="V135" s="382"/>
      <c r="W135" s="382"/>
      <c r="X135" s="384"/>
    </row>
    <row r="136" spans="1:24">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6"/>
      <c r="P136" s="880"/>
      <c r="T136" s="465"/>
      <c r="U136" s="382"/>
      <c r="V136" s="382"/>
      <c r="W136" s="382"/>
      <c r="X136" s="384"/>
    </row>
    <row r="137" spans="1:24">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6"/>
      <c r="P137" s="880"/>
      <c r="T137" s="465"/>
      <c r="U137" s="382"/>
      <c r="V137" s="382"/>
      <c r="W137" s="382"/>
      <c r="X137" s="384"/>
    </row>
    <row r="138" spans="1:24">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6"/>
      <c r="P138" s="880"/>
      <c r="T138" s="465"/>
      <c r="U138" s="382"/>
      <c r="V138" s="382"/>
      <c r="W138" s="382"/>
      <c r="X138" s="384"/>
    </row>
    <row r="139" spans="1:24">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6"/>
      <c r="P139" s="880"/>
      <c r="T139" s="465"/>
      <c r="U139" s="382"/>
      <c r="V139" s="382"/>
      <c r="W139" s="382"/>
      <c r="X139" s="384"/>
    </row>
    <row r="140" spans="1:24">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6"/>
      <c r="P140" s="877"/>
      <c r="T140" s="465"/>
      <c r="U140" s="382"/>
      <c r="V140" s="382"/>
      <c r="W140" s="382"/>
      <c r="X140" s="384"/>
    </row>
    <row r="141" spans="1:24">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6"/>
      <c r="P141" s="877"/>
      <c r="T141" s="465"/>
      <c r="U141" s="382"/>
      <c r="V141" s="382"/>
      <c r="W141" s="382"/>
      <c r="X141" s="384"/>
    </row>
    <row r="142" spans="1:24">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6"/>
      <c r="P142" s="877"/>
      <c r="T142" s="465"/>
      <c r="U142" s="382"/>
      <c r="V142" s="382"/>
      <c r="W142" s="382"/>
      <c r="X142" s="384"/>
    </row>
    <row r="143" spans="1:24">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6"/>
      <c r="P143" s="877"/>
      <c r="T143" s="465"/>
      <c r="U143" s="382"/>
      <c r="V143" s="382"/>
      <c r="W143" s="382"/>
      <c r="X143" s="384"/>
    </row>
    <row r="144" spans="1:24">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6"/>
      <c r="P144" s="877"/>
      <c r="T144" s="465"/>
      <c r="U144" s="382"/>
      <c r="V144" s="382"/>
      <c r="W144" s="382"/>
      <c r="X144" s="384"/>
    </row>
    <row r="145" spans="1:24">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86"/>
      <c r="P145" s="877"/>
      <c r="T145" s="465"/>
      <c r="U145" s="382"/>
      <c r="V145" s="382"/>
      <c r="W145" s="382"/>
      <c r="X145" s="384"/>
    </row>
    <row r="146" spans="1:24">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86"/>
      <c r="P146" s="877"/>
      <c r="T146" s="465"/>
      <c r="U146" s="382"/>
      <c r="V146" s="382"/>
      <c r="W146" s="382"/>
      <c r="X146" s="384"/>
    </row>
    <row r="147" spans="1:24">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86"/>
      <c r="P147" s="877"/>
      <c r="T147" s="465"/>
      <c r="U147" s="382"/>
      <c r="V147" s="382"/>
      <c r="W147" s="382"/>
      <c r="X147" s="384"/>
    </row>
    <row r="148" spans="1:24">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86"/>
      <c r="P148" s="877"/>
      <c r="T148" s="465"/>
      <c r="U148" s="382"/>
      <c r="V148" s="382"/>
      <c r="W148" s="382"/>
      <c r="X148" s="384"/>
    </row>
    <row r="149" spans="1:24">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86"/>
      <c r="P149" s="877"/>
      <c r="T149" s="465"/>
      <c r="U149" s="382"/>
      <c r="V149" s="382"/>
      <c r="W149" s="382"/>
      <c r="X149" s="384"/>
    </row>
    <row r="150" spans="1:24">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86"/>
      <c r="P150" s="877"/>
      <c r="T150" s="465"/>
      <c r="U150" s="382"/>
      <c r="V150" s="382"/>
      <c r="W150" s="382"/>
      <c r="X150" s="384"/>
    </row>
    <row r="151" spans="1:24">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86"/>
      <c r="P151" s="877"/>
      <c r="T151" s="465"/>
      <c r="U151" s="382"/>
      <c r="V151" s="382"/>
      <c r="W151" s="382"/>
      <c r="X151" s="384"/>
    </row>
    <row r="152" spans="1:24">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86"/>
      <c r="P152" s="877"/>
      <c r="T152" s="465"/>
      <c r="U152" s="382"/>
      <c r="V152" s="382"/>
      <c r="W152" s="382"/>
      <c r="X152" s="384"/>
    </row>
    <row r="153" spans="1:24">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86"/>
      <c r="P153" s="877"/>
      <c r="T153" s="465"/>
      <c r="U153" s="382"/>
      <c r="V153" s="382"/>
      <c r="W153" s="382"/>
      <c r="X153" s="384"/>
    </row>
    <row r="154" spans="1:24">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80"/>
      <c r="P154" s="877"/>
      <c r="T154" s="465"/>
      <c r="U154" s="382"/>
      <c r="V154" s="382"/>
      <c r="W154" s="382"/>
      <c r="X154" s="384"/>
    </row>
    <row r="155" spans="1:24">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80"/>
      <c r="P155" s="877"/>
      <c r="T155" s="465"/>
      <c r="U155" s="382"/>
      <c r="V155" s="382"/>
      <c r="W155" s="382"/>
      <c r="X155" s="384"/>
    </row>
    <row r="156" spans="1:24">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80"/>
      <c r="P156" s="877"/>
      <c r="T156" s="465"/>
      <c r="U156" s="382"/>
      <c r="V156" s="382"/>
      <c r="W156" s="382"/>
      <c r="X156" s="384"/>
    </row>
    <row r="157" spans="1:24">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80"/>
      <c r="P157" s="877"/>
      <c r="T157" s="465"/>
      <c r="U157" s="382"/>
      <c r="V157" s="382"/>
      <c r="W157" s="382"/>
      <c r="X157" s="384"/>
    </row>
    <row r="158" spans="1:24">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80"/>
      <c r="P158" s="877"/>
      <c r="T158" s="465"/>
      <c r="U158" s="382"/>
      <c r="V158" s="382"/>
      <c r="W158" s="382"/>
      <c r="X158" s="384"/>
    </row>
    <row r="159" spans="1:24">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80"/>
      <c r="P159" s="877"/>
      <c r="T159" s="465"/>
      <c r="U159" s="382"/>
      <c r="V159" s="382"/>
      <c r="W159" s="382"/>
      <c r="X159" s="384"/>
    </row>
    <row r="160" spans="1:24">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80"/>
      <c r="P160" s="877"/>
      <c r="T160" s="465"/>
      <c r="U160" s="382"/>
      <c r="V160" s="382"/>
      <c r="W160" s="382"/>
      <c r="X160" s="384"/>
    </row>
    <row r="161" spans="1:24">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80"/>
      <c r="P161" s="877"/>
      <c r="T161" s="465"/>
      <c r="U161" s="382"/>
      <c r="V161" s="382"/>
      <c r="W161" s="382"/>
      <c r="X161" s="384"/>
    </row>
    <row r="162" spans="1:24">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80"/>
      <c r="P162" s="877"/>
      <c r="T162" s="465"/>
      <c r="U162" s="382"/>
      <c r="V162" s="382"/>
      <c r="W162" s="382"/>
      <c r="X162" s="384"/>
    </row>
    <row r="163" spans="1:24">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80"/>
      <c r="P163" s="877"/>
      <c r="T163" s="465"/>
      <c r="U163" s="382"/>
      <c r="V163" s="382"/>
      <c r="W163" s="382"/>
      <c r="X163" s="384"/>
    </row>
    <row r="164" spans="1:24">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69"/>
      <c r="T164" s="465"/>
      <c r="U164" s="382"/>
      <c r="V164" s="382"/>
      <c r="W164" s="382"/>
      <c r="X164" s="384"/>
    </row>
    <row r="165" spans="1:24">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69"/>
      <c r="T165" s="465"/>
      <c r="U165" s="382"/>
      <c r="V165" s="382"/>
      <c r="W165" s="382"/>
      <c r="X165" s="384"/>
    </row>
    <row r="166" spans="1:24">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64"/>
      <c r="T166" s="465"/>
      <c r="U166" s="382"/>
      <c r="V166" s="382"/>
      <c r="W166" s="382"/>
      <c r="X166" s="384"/>
    </row>
    <row r="167" spans="1:24">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64"/>
      <c r="T167" s="465"/>
      <c r="U167" s="382"/>
      <c r="V167" s="382"/>
      <c r="W167" s="382"/>
      <c r="X167" s="384"/>
    </row>
    <row r="168" spans="1:24">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64"/>
      <c r="T168" s="465"/>
      <c r="U168" s="382"/>
      <c r="V168" s="382"/>
      <c r="W168" s="382"/>
      <c r="X168" s="384"/>
    </row>
    <row r="169" spans="1:24">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77"/>
      <c r="P169" s="864"/>
      <c r="T169" s="465"/>
      <c r="U169" s="382"/>
      <c r="V169" s="382"/>
      <c r="W169" s="382"/>
      <c r="X169" s="384"/>
    </row>
    <row r="170" spans="1:24">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77"/>
      <c r="P170" s="864"/>
      <c r="T170" s="465"/>
      <c r="U170" s="382"/>
      <c r="V170" s="382"/>
      <c r="W170" s="382"/>
      <c r="X170" s="384"/>
    </row>
    <row r="171" spans="1:24">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77"/>
      <c r="P171" s="864"/>
      <c r="T171" s="465"/>
      <c r="U171" s="382"/>
      <c r="V171" s="382"/>
      <c r="W171" s="382"/>
      <c r="X171" s="384"/>
    </row>
    <row r="172" spans="1:24">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77"/>
      <c r="P172" s="864"/>
      <c r="T172" s="465"/>
      <c r="U172" s="382"/>
      <c r="V172" s="382"/>
      <c r="W172" s="382"/>
      <c r="X172" s="384"/>
    </row>
    <row r="173" spans="1:24">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77"/>
      <c r="P173" s="863"/>
      <c r="T173" s="465"/>
      <c r="U173" s="382"/>
      <c r="V173" s="382"/>
      <c r="W173" s="382"/>
      <c r="X173" s="384"/>
    </row>
    <row r="174" spans="1:24">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77"/>
      <c r="P174" s="863"/>
      <c r="T174" s="465"/>
      <c r="U174" s="382"/>
      <c r="V174" s="382"/>
      <c r="W174" s="382"/>
      <c r="X174" s="384"/>
    </row>
    <row r="175" spans="1:24">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77"/>
      <c r="P175" s="863"/>
      <c r="T175" s="465"/>
      <c r="U175" s="382"/>
      <c r="V175" s="382"/>
      <c r="W175" s="382"/>
      <c r="X175" s="384"/>
    </row>
    <row r="176" spans="1:24">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77"/>
      <c r="P176" s="863"/>
      <c r="T176" s="465"/>
      <c r="U176" s="382"/>
      <c r="V176" s="382"/>
      <c r="W176" s="382"/>
      <c r="X176" s="384"/>
    </row>
    <row r="177" spans="1:24">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77"/>
      <c r="P177" s="852"/>
      <c r="T177" s="465"/>
      <c r="U177" s="382"/>
      <c r="V177" s="382"/>
      <c r="W177" s="382"/>
      <c r="X177" s="384"/>
    </row>
    <row r="178" spans="1:24">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77"/>
      <c r="P178" s="852"/>
      <c r="T178" s="465"/>
      <c r="U178" s="382"/>
      <c r="V178" s="382"/>
      <c r="W178" s="382"/>
      <c r="X178" s="384"/>
    </row>
    <row r="179" spans="1:24">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77"/>
      <c r="P179" s="852"/>
      <c r="T179" s="465"/>
      <c r="U179" s="382"/>
      <c r="V179" s="382"/>
      <c r="W179" s="382"/>
      <c r="X179" s="384"/>
    </row>
    <row r="180" spans="1:24">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77"/>
      <c r="P180" s="852"/>
      <c r="T180" s="465"/>
      <c r="U180" s="382"/>
      <c r="V180" s="382"/>
      <c r="W180" s="382"/>
      <c r="X180" s="384"/>
    </row>
    <row r="181" spans="1:24">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77"/>
      <c r="P181" s="852"/>
      <c r="T181" s="465"/>
      <c r="U181" s="382"/>
      <c r="V181" s="382"/>
      <c r="W181" s="382"/>
      <c r="X181" s="384"/>
    </row>
    <row r="182" spans="1:24">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77"/>
      <c r="P182" s="852"/>
      <c r="T182" s="465"/>
      <c r="U182" s="382"/>
      <c r="V182" s="382"/>
      <c r="W182" s="382"/>
      <c r="X182" s="384"/>
    </row>
    <row r="183" spans="1:24">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77"/>
      <c r="P183" s="851"/>
      <c r="T183" s="465"/>
      <c r="U183" s="382"/>
      <c r="V183" s="382"/>
      <c r="W183" s="382"/>
      <c r="X183" s="384"/>
    </row>
    <row r="184" spans="1:24">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77"/>
      <c r="P184" s="851"/>
      <c r="T184" s="465"/>
      <c r="U184" s="382"/>
      <c r="V184" s="382"/>
      <c r="W184" s="382"/>
      <c r="X184" s="384"/>
    </row>
    <row r="185" spans="1:24">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77"/>
      <c r="P185" s="845"/>
      <c r="T185" s="465"/>
      <c r="U185" s="382"/>
      <c r="V185" s="382"/>
      <c r="W185" s="382"/>
      <c r="X185" s="384"/>
    </row>
    <row r="186" spans="1:24">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77"/>
      <c r="P186" s="845"/>
      <c r="T186" s="465"/>
      <c r="U186" s="382"/>
      <c r="V186" s="382"/>
      <c r="W186" s="382"/>
      <c r="X186" s="384"/>
    </row>
    <row r="187" spans="1:24">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77"/>
      <c r="P187" s="845"/>
      <c r="T187" s="465"/>
      <c r="U187" s="382"/>
      <c r="V187" s="382"/>
      <c r="W187" s="382"/>
      <c r="X187" s="384"/>
    </row>
    <row r="188" spans="1:24">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5"/>
      <c r="T188" s="465"/>
      <c r="U188" s="382"/>
      <c r="V188" s="382"/>
      <c r="W188" s="382"/>
      <c r="X188" s="384"/>
    </row>
    <row r="189" spans="1:24">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5"/>
      <c r="T189" s="465"/>
      <c r="U189" s="382"/>
      <c r="V189" s="382"/>
      <c r="W189" s="382"/>
      <c r="X189" s="384"/>
    </row>
    <row r="190" spans="1:24">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5"/>
      <c r="T190" s="465"/>
      <c r="U190" s="382"/>
      <c r="V190" s="382"/>
      <c r="W190" s="382"/>
      <c r="X190" s="384"/>
    </row>
    <row r="191" spans="1:24">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5"/>
      <c r="T191" s="465"/>
      <c r="U191" s="382"/>
      <c r="V191" s="382"/>
      <c r="W191" s="382"/>
      <c r="X191" s="384"/>
    </row>
    <row r="192" spans="1:24">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5"/>
      <c r="T192" s="465"/>
      <c r="U192" s="382"/>
      <c r="V192" s="382"/>
      <c r="W192" s="382"/>
      <c r="X192" s="384"/>
    </row>
    <row r="193" spans="1:24">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5"/>
      <c r="T193" s="465"/>
      <c r="U193" s="382"/>
      <c r="V193" s="382"/>
      <c r="W193" s="382"/>
      <c r="X193" s="384"/>
    </row>
    <row r="194" spans="1:24">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4"/>
      <c r="T194" s="465"/>
      <c r="U194" s="382"/>
      <c r="V194" s="382"/>
      <c r="W194" s="382"/>
      <c r="X194" s="384"/>
    </row>
    <row r="195" spans="1:24">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4"/>
      <c r="T195" s="465"/>
      <c r="U195" s="382"/>
      <c r="V195" s="382"/>
      <c r="W195" s="382"/>
      <c r="X195" s="384"/>
    </row>
    <row r="196" spans="1:24">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4"/>
      <c r="T196" s="465"/>
      <c r="U196" s="382"/>
      <c r="V196" s="382"/>
      <c r="W196" s="382"/>
      <c r="X196" s="384"/>
    </row>
    <row r="197" spans="1:24">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4"/>
      <c r="T197" s="465"/>
      <c r="U197" s="382"/>
      <c r="V197" s="382"/>
      <c r="W197" s="382"/>
      <c r="X197" s="384"/>
    </row>
    <row r="198" spans="1:24">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5"/>
      <c r="P198" s="844"/>
      <c r="T198" s="465"/>
      <c r="U198" s="382"/>
      <c r="V198" s="382"/>
      <c r="W198" s="382"/>
      <c r="X198" s="384"/>
    </row>
    <row r="199" spans="1:24">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5"/>
      <c r="P199" s="844"/>
      <c r="T199" s="465"/>
      <c r="U199" s="382"/>
      <c r="V199" s="382"/>
      <c r="W199" s="382"/>
      <c r="X199" s="384"/>
    </row>
    <row r="200" spans="1:24">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5"/>
      <c r="P200" s="844"/>
      <c r="T200" s="465"/>
      <c r="U200" s="382"/>
      <c r="V200" s="382"/>
      <c r="W200" s="382"/>
      <c r="X200" s="384"/>
    </row>
    <row r="201" spans="1:24">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5"/>
      <c r="P201" s="843"/>
      <c r="T201" s="465"/>
      <c r="U201" s="382"/>
      <c r="V201" s="382"/>
      <c r="W201" s="382"/>
      <c r="X201" s="384"/>
    </row>
    <row r="202" spans="1:24">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5"/>
      <c r="P202" s="843"/>
      <c r="T202" s="465"/>
      <c r="U202" s="382"/>
      <c r="V202" s="382"/>
      <c r="W202" s="382"/>
      <c r="X202" s="384"/>
    </row>
    <row r="203" spans="1:24">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5"/>
      <c r="P203" s="843"/>
      <c r="T203" s="465"/>
      <c r="U203" s="382"/>
      <c r="V203" s="382"/>
      <c r="W203" s="382"/>
      <c r="X203" s="384"/>
    </row>
    <row r="204" spans="1:24">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5"/>
      <c r="P204" s="843"/>
      <c r="T204" s="465"/>
      <c r="U204" s="382"/>
      <c r="V204" s="382"/>
      <c r="W204" s="382"/>
      <c r="X204" s="384"/>
    </row>
    <row r="205" spans="1:24">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5"/>
      <c r="P205" s="843"/>
      <c r="T205" s="465"/>
      <c r="U205" s="382"/>
      <c r="V205" s="382"/>
      <c r="W205" s="382"/>
      <c r="X205" s="384"/>
    </row>
    <row r="206" spans="1:24">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5"/>
      <c r="P206" s="843"/>
      <c r="T206" s="465"/>
      <c r="U206" s="382"/>
      <c r="V206" s="382"/>
      <c r="W206" s="382"/>
      <c r="X206" s="384"/>
    </row>
    <row r="207" spans="1:24">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5"/>
      <c r="P207" s="843"/>
      <c r="T207" s="465"/>
      <c r="U207" s="382"/>
      <c r="V207" s="382"/>
      <c r="W207" s="382"/>
      <c r="X207" s="384"/>
    </row>
    <row r="208" spans="1:24">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5"/>
      <c r="P208" s="843"/>
      <c r="T208" s="465"/>
      <c r="U208" s="382"/>
      <c r="V208" s="382"/>
      <c r="W208" s="382"/>
      <c r="X208" s="384"/>
    </row>
    <row r="209" spans="1:24">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5"/>
      <c r="P209" s="843"/>
      <c r="T209" s="465"/>
      <c r="U209" s="382"/>
      <c r="V209" s="382"/>
      <c r="W209" s="382"/>
      <c r="X209" s="384"/>
    </row>
    <row r="210" spans="1:24">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5"/>
      <c r="P210" s="843"/>
      <c r="T210" s="465"/>
      <c r="U210" s="382"/>
      <c r="V210" s="382"/>
      <c r="W210" s="382"/>
      <c r="X210" s="384"/>
    </row>
    <row r="211" spans="1:24">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5"/>
      <c r="P211" s="843"/>
      <c r="T211" s="465"/>
      <c r="U211" s="382"/>
      <c r="V211" s="382"/>
      <c r="W211" s="382"/>
      <c r="X211" s="384"/>
    </row>
    <row r="212" spans="1:24">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5"/>
      <c r="P212" s="843"/>
      <c r="T212" s="465"/>
      <c r="U212" s="382"/>
      <c r="V212" s="382"/>
      <c r="W212" s="382"/>
      <c r="X212" s="384"/>
    </row>
    <row r="213" spans="1:24">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5"/>
      <c r="P213" s="843"/>
      <c r="T213" s="465"/>
      <c r="U213" s="382"/>
      <c r="V213" s="382"/>
      <c r="W213" s="382"/>
      <c r="X213" s="384"/>
    </row>
    <row r="214" spans="1:24">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5"/>
      <c r="P214" s="843"/>
      <c r="T214" s="465"/>
      <c r="U214" s="382"/>
      <c r="V214" s="382"/>
      <c r="W214" s="382"/>
      <c r="X214" s="384"/>
    </row>
    <row r="215" spans="1:24">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5"/>
      <c r="P215" s="843"/>
      <c r="T215" s="465"/>
      <c r="U215" s="382"/>
      <c r="V215" s="382"/>
      <c r="W215" s="382"/>
      <c r="X215" s="384"/>
    </row>
    <row r="216" spans="1:24">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5"/>
      <c r="P216" s="843"/>
      <c r="T216" s="465"/>
      <c r="U216" s="382"/>
      <c r="V216" s="382"/>
      <c r="W216" s="382"/>
      <c r="X216" s="384"/>
    </row>
    <row r="217" spans="1:24">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4"/>
      <c r="P217" s="843"/>
      <c r="T217" s="465"/>
      <c r="U217" s="382"/>
      <c r="V217" s="382"/>
      <c r="W217" s="382"/>
      <c r="X217" s="384"/>
    </row>
    <row r="218" spans="1:24">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4"/>
      <c r="P218" s="843"/>
      <c r="T218" s="465"/>
      <c r="U218" s="382"/>
      <c r="V218" s="382"/>
      <c r="W218" s="382"/>
      <c r="X218" s="384"/>
    </row>
    <row r="219" spans="1:24">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3"/>
      <c r="P219" s="843"/>
      <c r="T219" s="465"/>
      <c r="U219" s="382"/>
      <c r="V219" s="382"/>
      <c r="W219" s="382"/>
      <c r="X219" s="384"/>
    </row>
    <row r="220" spans="1:24">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3"/>
      <c r="P220" s="843"/>
      <c r="T220" s="465"/>
      <c r="U220" s="382"/>
      <c r="V220" s="382"/>
      <c r="W220" s="382"/>
      <c r="X220" s="384"/>
    </row>
    <row r="221" spans="1:24">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843"/>
      <c r="P221" s="843"/>
      <c r="T221" s="465"/>
      <c r="U221" s="382"/>
      <c r="V221" s="382"/>
      <c r="W221" s="382"/>
      <c r="X221" s="384"/>
    </row>
    <row r="222" spans="1:24">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843"/>
      <c r="P222" s="843"/>
      <c r="T222" s="465"/>
      <c r="U222" s="382"/>
      <c r="V222" s="382"/>
      <c r="W222" s="382"/>
      <c r="X222" s="384"/>
    </row>
    <row r="223" spans="1:24">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843"/>
      <c r="P223" s="843"/>
      <c r="T223" s="465"/>
      <c r="U223" s="382"/>
      <c r="V223" s="382"/>
      <c r="W223" s="382"/>
      <c r="X223" s="384"/>
    </row>
    <row r="224" spans="1:24">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843"/>
      <c r="P224" s="843"/>
      <c r="T224" s="465"/>
      <c r="U224" s="382"/>
      <c r="V224" s="382"/>
      <c r="W224" s="382"/>
      <c r="X224" s="384"/>
    </row>
    <row r="225" spans="1:24">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843"/>
      <c r="P225" s="843"/>
      <c r="T225" s="465"/>
      <c r="U225" s="382"/>
      <c r="V225" s="382"/>
      <c r="W225" s="382"/>
      <c r="X225" s="384"/>
    </row>
    <row r="226" spans="1:24">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843"/>
      <c r="P226" s="843"/>
      <c r="T226" s="465"/>
      <c r="U226" s="382"/>
      <c r="V226" s="382"/>
      <c r="W226" s="382"/>
      <c r="X226" s="384"/>
    </row>
    <row r="227" spans="1:24">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843"/>
      <c r="P227" s="843"/>
      <c r="T227" s="465"/>
      <c r="U227" s="382"/>
      <c r="V227" s="382"/>
      <c r="W227" s="382"/>
      <c r="X227" s="384"/>
    </row>
    <row r="228" spans="1:24">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843"/>
      <c r="P228" s="843"/>
      <c r="T228" s="465"/>
      <c r="U228" s="382"/>
      <c r="V228" s="382"/>
      <c r="W228" s="382"/>
      <c r="X228" s="384"/>
    </row>
    <row r="229" spans="1:24">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843"/>
      <c r="P229" s="843"/>
      <c r="T229" s="465"/>
      <c r="U229" s="382"/>
      <c r="V229" s="382"/>
      <c r="W229" s="382"/>
      <c r="X229" s="384"/>
    </row>
    <row r="230" spans="1:24">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842"/>
      <c r="P230" s="843"/>
      <c r="T230" s="465"/>
      <c r="U230" s="382"/>
      <c r="V230" s="382"/>
      <c r="W230" s="382"/>
      <c r="X230" s="384"/>
    </row>
    <row r="231" spans="1:24">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842"/>
      <c r="P231" s="843"/>
      <c r="T231" s="465"/>
      <c r="U231" s="382"/>
      <c r="V231" s="382"/>
      <c r="W231" s="382"/>
      <c r="X231" s="384"/>
    </row>
    <row r="232" spans="1:24">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842"/>
      <c r="P232" s="843"/>
      <c r="T232" s="465"/>
      <c r="U232" s="382"/>
      <c r="V232" s="382"/>
      <c r="W232" s="382"/>
      <c r="X232" s="384"/>
    </row>
    <row r="233" spans="1:24">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842"/>
      <c r="P233" s="843"/>
      <c r="T233" s="465"/>
      <c r="U233" s="382"/>
      <c r="V233" s="382"/>
      <c r="W233" s="382"/>
      <c r="X233" s="384"/>
    </row>
    <row r="234" spans="1:24">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842"/>
      <c r="P234" s="843"/>
      <c r="T234" s="465"/>
      <c r="U234" s="382"/>
      <c r="V234" s="382"/>
      <c r="W234" s="382"/>
      <c r="X234" s="384"/>
    </row>
    <row r="235" spans="1:24">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842"/>
      <c r="P235" s="843"/>
      <c r="T235" s="465"/>
      <c r="U235" s="382"/>
      <c r="V235" s="382"/>
      <c r="W235" s="382"/>
      <c r="X235" s="384"/>
    </row>
    <row r="236" spans="1:24">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842"/>
      <c r="P236" s="843"/>
      <c r="T236" s="465"/>
      <c r="U236" s="382"/>
      <c r="V236" s="382"/>
      <c r="W236" s="382"/>
      <c r="X236" s="384"/>
    </row>
    <row r="237" spans="1:24">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842"/>
      <c r="P237" s="843"/>
      <c r="T237" s="465"/>
      <c r="U237" s="382"/>
      <c r="V237" s="382"/>
      <c r="W237" s="382"/>
      <c r="X237" s="384"/>
    </row>
    <row r="238" spans="1:24">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842"/>
      <c r="P238" s="843"/>
      <c r="T238" s="465"/>
      <c r="U238" s="382"/>
      <c r="V238" s="382"/>
      <c r="W238" s="382"/>
      <c r="X238" s="384"/>
    </row>
    <row r="239" spans="1:24">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842"/>
      <c r="P239" s="843"/>
      <c r="T239" s="465"/>
      <c r="U239" s="382"/>
      <c r="V239" s="382"/>
      <c r="W239" s="382"/>
      <c r="X239" s="384"/>
    </row>
    <row r="240" spans="1:24">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78"/>
      <c r="P240" s="843"/>
      <c r="T240" s="465"/>
      <c r="U240" s="382"/>
      <c r="V240" s="382"/>
      <c r="W240" s="382"/>
      <c r="X240" s="384"/>
    </row>
    <row r="241" spans="1:24">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78"/>
      <c r="P241" s="843"/>
      <c r="T241" s="465"/>
      <c r="U241" s="382"/>
      <c r="V241" s="382"/>
      <c r="W241" s="382"/>
      <c r="X241" s="384"/>
    </row>
    <row r="242" spans="1:24">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78"/>
      <c r="P242" s="843"/>
      <c r="T242" s="465"/>
      <c r="U242" s="382"/>
      <c r="V242" s="382"/>
      <c r="W242" s="382"/>
      <c r="X242" s="384"/>
    </row>
    <row r="243" spans="1:24">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78"/>
      <c r="P243" s="843"/>
      <c r="T243" s="465"/>
      <c r="U243" s="382"/>
      <c r="V243" s="382"/>
      <c r="W243" s="382"/>
      <c r="X243" s="384"/>
    </row>
    <row r="244" spans="1:24">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78"/>
      <c r="P244" s="843"/>
      <c r="T244" s="465"/>
      <c r="U244" s="382"/>
      <c r="V244" s="382"/>
      <c r="W244" s="382"/>
      <c r="X244" s="384"/>
    </row>
    <row r="245" spans="1:24">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78"/>
      <c r="P245" s="843"/>
      <c r="T245" s="465"/>
      <c r="U245" s="382"/>
      <c r="V245" s="382"/>
      <c r="W245" s="382"/>
      <c r="X245" s="384"/>
    </row>
    <row r="246" spans="1:24">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78"/>
      <c r="P246" s="843"/>
      <c r="T246" s="465"/>
      <c r="U246" s="382"/>
      <c r="V246" s="382"/>
      <c r="W246" s="382"/>
      <c r="X246" s="384"/>
    </row>
    <row r="247" spans="1:24">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78"/>
      <c r="P247" s="843"/>
      <c r="T247" s="465"/>
      <c r="U247" s="382"/>
      <c r="V247" s="382"/>
      <c r="W247" s="382"/>
      <c r="X247" s="384"/>
    </row>
    <row r="248" spans="1:24">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78"/>
      <c r="P248" s="843"/>
      <c r="T248" s="465"/>
      <c r="U248" s="382"/>
      <c r="V248" s="382"/>
      <c r="W248" s="382"/>
      <c r="X248" s="384"/>
    </row>
    <row r="249" spans="1:24">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78"/>
      <c r="P249" s="843"/>
      <c r="T249" s="465"/>
      <c r="U249" s="382"/>
      <c r="V249" s="382"/>
      <c r="W249" s="382"/>
      <c r="X249" s="384"/>
    </row>
    <row r="250" spans="1:24">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8"/>
      <c r="P250" s="843"/>
      <c r="T250" s="465"/>
      <c r="U250" s="382"/>
      <c r="V250" s="382"/>
      <c r="W250" s="382"/>
      <c r="X250" s="384"/>
    </row>
    <row r="251" spans="1:24">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8"/>
      <c r="P251" s="843"/>
      <c r="T251" s="465"/>
      <c r="U251" s="382"/>
      <c r="V251" s="382"/>
      <c r="W251" s="382"/>
      <c r="X251" s="384"/>
    </row>
    <row r="252" spans="1:24">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8"/>
      <c r="P252" s="843"/>
      <c r="T252" s="465"/>
      <c r="U252" s="382"/>
      <c r="V252" s="382"/>
      <c r="W252" s="382"/>
      <c r="X252" s="384"/>
    </row>
    <row r="253" spans="1:24">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8"/>
      <c r="P253" s="843"/>
      <c r="T253" s="465"/>
      <c r="U253" s="382"/>
      <c r="V253" s="382"/>
      <c r="W253" s="382"/>
      <c r="X253" s="384"/>
    </row>
    <row r="254" spans="1:24">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8"/>
      <c r="P254" s="843"/>
      <c r="T254" s="465"/>
      <c r="U254" s="382"/>
      <c r="V254" s="382"/>
      <c r="W254" s="382"/>
      <c r="X254" s="384"/>
    </row>
    <row r="255" spans="1:24">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22"/>
      <c r="P258" s="843"/>
      <c r="T258" s="465"/>
      <c r="U258" s="382"/>
      <c r="V258" s="382"/>
      <c r="W258" s="382"/>
      <c r="X258" s="384"/>
    </row>
    <row r="259" spans="1:24">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22"/>
      <c r="P259" s="843"/>
      <c r="T259" s="465"/>
      <c r="U259" s="382"/>
      <c r="V259" s="382"/>
      <c r="W259" s="382"/>
      <c r="X259" s="384"/>
    </row>
    <row r="260" spans="1:24">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22"/>
      <c r="P260" s="843"/>
      <c r="T260" s="465"/>
      <c r="U260" s="382"/>
      <c r="V260" s="382"/>
      <c r="W260" s="382"/>
      <c r="X260" s="384"/>
    </row>
    <row r="261" spans="1:24">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22"/>
      <c r="P261" s="843"/>
      <c r="T261" s="465"/>
      <c r="U261" s="382"/>
      <c r="V261" s="382"/>
      <c r="W261" s="382"/>
      <c r="X261" s="384"/>
    </row>
    <row r="262" spans="1:24">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22"/>
      <c r="P262" s="843"/>
      <c r="T262" s="465"/>
      <c r="U262" s="382"/>
      <c r="V262" s="382"/>
      <c r="W262" s="382"/>
      <c r="X262" s="384"/>
    </row>
    <row r="263" spans="1:24">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22"/>
      <c r="P263" s="843"/>
      <c r="T263" s="465"/>
      <c r="U263" s="382"/>
      <c r="V263" s="382"/>
      <c r="W263" s="382"/>
      <c r="X263" s="384"/>
    </row>
    <row r="264" spans="1:24">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22"/>
      <c r="P264" s="843"/>
      <c r="T264" s="465"/>
      <c r="U264" s="382"/>
      <c r="V264" s="382"/>
      <c r="W264" s="382"/>
      <c r="X264" s="384"/>
    </row>
    <row r="265" spans="1:24">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22"/>
      <c r="P265" s="843"/>
      <c r="T265" s="465"/>
      <c r="U265" s="382"/>
      <c r="V265" s="382"/>
      <c r="W265" s="382"/>
      <c r="X265" s="384"/>
    </row>
    <row r="266" spans="1:24">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22"/>
      <c r="P266" s="843"/>
      <c r="T266" s="465"/>
      <c r="U266" s="382"/>
      <c r="V266" s="382"/>
      <c r="W266" s="382"/>
      <c r="X266" s="384"/>
    </row>
    <row r="267" spans="1:24">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22"/>
      <c r="P267" s="843"/>
      <c r="T267" s="465"/>
      <c r="U267" s="382"/>
      <c r="V267" s="382"/>
      <c r="W267" s="382"/>
      <c r="X267" s="384"/>
    </row>
    <row r="268" spans="1:24">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22"/>
      <c r="P268" s="843"/>
      <c r="T268" s="465"/>
      <c r="U268" s="382"/>
      <c r="V268" s="382"/>
      <c r="W268" s="382"/>
      <c r="X268" s="384"/>
    </row>
    <row r="269" spans="1:24">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22"/>
      <c r="P269" s="843"/>
      <c r="T269" s="465"/>
      <c r="U269" s="382"/>
      <c r="V269" s="382"/>
      <c r="W269" s="382"/>
      <c r="X269" s="384"/>
    </row>
    <row r="270" spans="1:24">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22"/>
      <c r="P270" s="843"/>
      <c r="T270" s="465"/>
      <c r="U270" s="382"/>
      <c r="V270" s="382"/>
      <c r="W270" s="382"/>
      <c r="X270" s="384"/>
    </row>
    <row r="271" spans="1:24">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22"/>
      <c r="P271" s="843"/>
      <c r="T271" s="465"/>
      <c r="U271" s="382"/>
      <c r="V271" s="382"/>
      <c r="W271" s="382"/>
      <c r="X271" s="384"/>
    </row>
    <row r="272" spans="1:24">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22"/>
      <c r="P272" s="843"/>
      <c r="T272" s="465"/>
      <c r="U272" s="382"/>
      <c r="V272" s="382"/>
      <c r="W272" s="382"/>
      <c r="X272" s="384"/>
    </row>
    <row r="273" spans="1:24">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22"/>
      <c r="P273" s="843"/>
      <c r="T273" s="465"/>
      <c r="U273" s="382"/>
      <c r="V273" s="382"/>
      <c r="W273" s="382"/>
      <c r="X273" s="384"/>
    </row>
    <row r="274" spans="1:24">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22"/>
      <c r="P274" s="843"/>
      <c r="T274" s="465"/>
      <c r="U274" s="382"/>
      <c r="V274" s="382"/>
      <c r="W274" s="382"/>
      <c r="X274" s="384"/>
    </row>
    <row r="275" spans="1:24">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22"/>
      <c r="P275" s="843"/>
      <c r="T275" s="465"/>
      <c r="U275" s="382"/>
      <c r="V275" s="382"/>
      <c r="W275" s="382"/>
      <c r="X275" s="384"/>
    </row>
    <row r="276" spans="1:24">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22"/>
      <c r="P276" s="843"/>
      <c r="T276" s="465"/>
      <c r="U276" s="382"/>
      <c r="V276" s="382"/>
      <c r="W276" s="382"/>
      <c r="X276" s="384"/>
    </row>
    <row r="277" spans="1:24">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5"/>
      <c r="P286" s="843"/>
      <c r="T286" s="465"/>
      <c r="U286" s="382"/>
      <c r="V286" s="382"/>
      <c r="W286" s="382"/>
      <c r="X286" s="384"/>
    </row>
    <row r="287" spans="1:24">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5"/>
      <c r="P287" s="843"/>
      <c r="T287" s="465"/>
      <c r="U287" s="382"/>
      <c r="V287" s="382"/>
      <c r="W287" s="382"/>
      <c r="X287" s="384"/>
    </row>
    <row r="288" spans="1:24">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5"/>
      <c r="P288" s="843"/>
      <c r="T288" s="465"/>
      <c r="U288" s="382"/>
      <c r="V288" s="382"/>
      <c r="W288" s="382"/>
      <c r="X288" s="384"/>
    </row>
    <row r="289" spans="1:24">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5"/>
      <c r="P289" s="843"/>
      <c r="T289" s="465"/>
      <c r="U289" s="382"/>
      <c r="V289" s="382"/>
      <c r="W289" s="382"/>
      <c r="X289" s="384"/>
    </row>
    <row r="290" spans="1:24">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5"/>
      <c r="P290" s="843"/>
      <c r="T290" s="465"/>
      <c r="U290" s="382"/>
      <c r="V290" s="382"/>
      <c r="W290" s="382"/>
      <c r="X290" s="384"/>
    </row>
    <row r="291" spans="1:24">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705"/>
      <c r="P291" s="843"/>
      <c r="T291" s="465"/>
      <c r="U291" s="382"/>
      <c r="V291" s="382"/>
      <c r="W291" s="382"/>
      <c r="X291" s="384"/>
    </row>
    <row r="292" spans="1:24">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705"/>
      <c r="P292" s="843"/>
      <c r="T292" s="465"/>
      <c r="U292" s="382"/>
      <c r="V292" s="382"/>
      <c r="W292" s="382"/>
      <c r="X292" s="384"/>
    </row>
    <row r="293" spans="1:24">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705"/>
      <c r="P293" s="843"/>
      <c r="T293" s="465"/>
      <c r="U293" s="382"/>
      <c r="V293" s="382"/>
      <c r="W293" s="382"/>
      <c r="X293" s="384"/>
    </row>
    <row r="294" spans="1:24">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705"/>
      <c r="P294" s="843"/>
      <c r="T294" s="465"/>
      <c r="U294" s="382"/>
      <c r="V294" s="382"/>
      <c r="W294" s="382"/>
      <c r="X294" s="384"/>
    </row>
    <row r="295" spans="1:24">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705"/>
      <c r="P295" s="843"/>
      <c r="T295" s="465"/>
      <c r="U295" s="382"/>
      <c r="V295" s="382"/>
      <c r="W295" s="382"/>
      <c r="X295" s="384"/>
    </row>
    <row r="296" spans="1:24">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705"/>
      <c r="P296" s="843"/>
      <c r="T296" s="465"/>
      <c r="U296" s="382"/>
      <c r="V296" s="382"/>
      <c r="W296" s="382"/>
      <c r="X296" s="384"/>
    </row>
    <row r="297" spans="1:24">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705"/>
      <c r="P297" s="843"/>
      <c r="T297" s="465"/>
      <c r="U297" s="382"/>
      <c r="V297" s="382"/>
      <c r="W297" s="382"/>
      <c r="X297" s="384"/>
    </row>
    <row r="298" spans="1:24">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705"/>
      <c r="P298" s="843"/>
      <c r="T298" s="465"/>
      <c r="U298" s="382"/>
      <c r="V298" s="382"/>
      <c r="W298" s="382"/>
      <c r="X298" s="384"/>
    </row>
    <row r="299" spans="1:24">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705"/>
      <c r="P299" s="843"/>
      <c r="T299" s="465"/>
      <c r="U299" s="382"/>
      <c r="V299" s="382"/>
      <c r="W299" s="382"/>
      <c r="X299" s="384"/>
    </row>
    <row r="300" spans="1:24">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705"/>
      <c r="P300" s="843"/>
      <c r="T300" s="465"/>
      <c r="U300" s="382"/>
      <c r="V300" s="382"/>
      <c r="W300" s="382"/>
      <c r="X300" s="384"/>
    </row>
    <row r="301" spans="1:24">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705"/>
      <c r="P301" s="843"/>
      <c r="T301" s="465"/>
      <c r="U301" s="382"/>
      <c r="V301" s="382"/>
      <c r="W301" s="382"/>
      <c r="X301" s="384"/>
    </row>
    <row r="302" spans="1:24">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705"/>
      <c r="P302" s="843"/>
    </row>
    <row r="303" spans="1:24">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705"/>
      <c r="P303" s="843"/>
    </row>
    <row r="304" spans="1:24">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705"/>
      <c r="P304" s="843"/>
    </row>
    <row r="305" spans="1:16">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703"/>
      <c r="P305" s="843"/>
    </row>
    <row r="306" spans="1:16">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703"/>
      <c r="P306" s="843"/>
    </row>
    <row r="307" spans="1:16">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703"/>
      <c r="P307" s="843"/>
    </row>
    <row r="308" spans="1:16">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703"/>
      <c r="P308" s="843"/>
    </row>
    <row r="309" spans="1:16">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703"/>
      <c r="P309" s="843"/>
    </row>
    <row r="310" spans="1:16">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680"/>
      <c r="P310" s="843"/>
    </row>
    <row r="311" spans="1:16">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680"/>
      <c r="P311" s="843"/>
    </row>
    <row r="312" spans="1:16">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680"/>
      <c r="P312" s="843"/>
    </row>
    <row r="313" spans="1:16">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680"/>
      <c r="P313" s="843"/>
    </row>
    <row r="314" spans="1:16">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680"/>
      <c r="P314" s="843"/>
    </row>
    <row r="315" spans="1:16">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680"/>
      <c r="P315" s="843"/>
    </row>
    <row r="316" spans="1:16">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680"/>
      <c r="P316" s="843"/>
    </row>
    <row r="317" spans="1:16">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680"/>
      <c r="P317" s="843"/>
    </row>
    <row r="318" spans="1:16">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680"/>
      <c r="P318" s="843"/>
    </row>
    <row r="319" spans="1:16">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680"/>
      <c r="P319" s="843"/>
    </row>
    <row r="320" spans="1:16">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680"/>
      <c r="P320" s="843"/>
    </row>
    <row r="321" spans="1:16">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680"/>
      <c r="P321" s="843"/>
    </row>
    <row r="322" spans="1:16">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680"/>
      <c r="P322" s="843"/>
    </row>
    <row r="323" spans="1:16">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680"/>
      <c r="P323" s="843"/>
    </row>
    <row r="324" spans="1:16">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680"/>
      <c r="P324" s="843"/>
    </row>
    <row r="325" spans="1:16">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6"/>
      <c r="P325" s="843"/>
    </row>
    <row r="326" spans="1:16">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6"/>
      <c r="P326" s="843"/>
    </row>
    <row r="327" spans="1:16">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6"/>
      <c r="P327" s="843"/>
    </row>
    <row r="328" spans="1:16">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6"/>
      <c r="P328" s="843"/>
    </row>
    <row r="329" spans="1:16">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5"/>
      <c r="P329" s="843"/>
    </row>
    <row r="330" spans="1:16">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5"/>
      <c r="P330" s="843"/>
    </row>
    <row r="331" spans="1:16">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5"/>
      <c r="P331" s="843"/>
    </row>
    <row r="332" spans="1:16">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4"/>
      <c r="P332" s="843"/>
    </row>
    <row r="333" spans="1:16">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4"/>
      <c r="P333" s="843"/>
    </row>
    <row r="334" spans="1:16">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4"/>
      <c r="P334" s="843"/>
    </row>
    <row r="335" spans="1:16">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4"/>
      <c r="P335" s="843"/>
    </row>
    <row r="336" spans="1:16">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3"/>
      <c r="P344" s="843"/>
    </row>
    <row r="345" spans="1:16">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3"/>
      <c r="P345" s="843"/>
    </row>
    <row r="346" spans="1:16">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3"/>
      <c r="P346" s="843"/>
    </row>
    <row r="347" spans="1:16">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3"/>
      <c r="P347" s="843"/>
    </row>
    <row r="348" spans="1:16">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3"/>
      <c r="P348" s="843"/>
    </row>
    <row r="349" spans="1:16">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3"/>
      <c r="P349" s="843"/>
    </row>
    <row r="350" spans="1:16">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3"/>
      <c r="P350" s="843"/>
    </row>
    <row r="351" spans="1:16">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3"/>
      <c r="P351" s="843"/>
    </row>
    <row r="352" spans="1:16">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3"/>
      <c r="P352" s="843"/>
    </row>
    <row r="353" spans="1:24">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3"/>
      <c r="P353" s="843"/>
    </row>
    <row r="354" spans="1:24">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3"/>
      <c r="P354" s="843"/>
    </row>
    <row r="355" spans="1:24">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3"/>
      <c r="P355" s="843"/>
    </row>
    <row r="356" spans="1:24">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3"/>
      <c r="P356" s="843"/>
      <c r="T356" s="385"/>
      <c r="U356" s="382"/>
      <c r="V356" s="382"/>
      <c r="W356" s="382"/>
      <c r="X356" s="384"/>
    </row>
    <row r="357" spans="1:24">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3"/>
      <c r="P357" s="843"/>
      <c r="T357" s="385"/>
      <c r="U357" s="382"/>
      <c r="V357" s="382"/>
      <c r="W357" s="382"/>
      <c r="X357" s="384"/>
    </row>
    <row r="358" spans="1:24">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3"/>
      <c r="P358" s="843"/>
      <c r="T358" s="385"/>
      <c r="U358" s="382"/>
      <c r="V358" s="382"/>
      <c r="W358" s="382"/>
      <c r="X358" s="384"/>
    </row>
    <row r="359" spans="1:24">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3"/>
      <c r="P359" s="843"/>
      <c r="T359" s="385"/>
      <c r="U359" s="382"/>
      <c r="V359" s="382"/>
      <c r="W359" s="382"/>
      <c r="X359" s="384"/>
    </row>
    <row r="360" spans="1:24">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3"/>
      <c r="P360" s="843"/>
      <c r="T360" s="385"/>
      <c r="U360" s="382"/>
      <c r="V360" s="382"/>
      <c r="W360" s="382"/>
      <c r="X360" s="384"/>
    </row>
    <row r="361" spans="1:24">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3"/>
      <c r="P361" s="843"/>
      <c r="T361" s="385"/>
      <c r="U361" s="382"/>
      <c r="V361" s="382"/>
      <c r="W361" s="382"/>
      <c r="X361" s="384"/>
    </row>
    <row r="362" spans="1:24">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3"/>
      <c r="P362" s="843"/>
      <c r="T362" s="385"/>
      <c r="U362" s="382"/>
      <c r="V362" s="382"/>
      <c r="W362" s="382"/>
      <c r="X362" s="384"/>
    </row>
    <row r="363" spans="1:24">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843"/>
      <c r="T405" s="385"/>
      <c r="U405" s="382"/>
      <c r="V405" s="382"/>
      <c r="W405" s="382"/>
      <c r="X405" s="384"/>
    </row>
    <row r="406" spans="1:24">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843"/>
      <c r="T406" s="385"/>
      <c r="U406" s="382"/>
      <c r="V406" s="382"/>
      <c r="W406" s="382"/>
      <c r="X406" s="384"/>
    </row>
    <row r="407" spans="1:24">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843"/>
      <c r="T407" s="385"/>
      <c r="U407" s="382"/>
      <c r="V407" s="382"/>
      <c r="W407" s="382"/>
      <c r="X407" s="384"/>
    </row>
    <row r="408" spans="1:24">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843"/>
      <c r="T408" s="385"/>
      <c r="U408" s="382"/>
      <c r="V408" s="382"/>
      <c r="W408" s="382"/>
      <c r="X408" s="384"/>
    </row>
    <row r="409" spans="1:24">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843"/>
      <c r="T409" s="385"/>
      <c r="U409" s="382"/>
      <c r="V409" s="382"/>
      <c r="W409" s="382"/>
      <c r="X409" s="384"/>
    </row>
    <row r="410" spans="1:24">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843"/>
      <c r="T410" s="385"/>
      <c r="U410" s="382"/>
      <c r="V410" s="382"/>
      <c r="W410" s="382"/>
      <c r="X410" s="384"/>
    </row>
    <row r="411" spans="1:24">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843"/>
      <c r="T411" s="385"/>
      <c r="U411" s="382"/>
      <c r="V411" s="382"/>
      <c r="W411" s="382"/>
      <c r="X411" s="384"/>
    </row>
    <row r="412" spans="1:24">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843"/>
      <c r="T412" s="385"/>
      <c r="U412" s="382"/>
      <c r="V412" s="382"/>
      <c r="W412" s="382"/>
      <c r="X412" s="384"/>
    </row>
    <row r="413" spans="1:24">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843"/>
      <c r="T413" s="385"/>
      <c r="U413" s="382"/>
      <c r="V413" s="382"/>
      <c r="W413" s="382"/>
      <c r="X413" s="384"/>
    </row>
    <row r="414" spans="1:24">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843"/>
      <c r="T414" s="385"/>
      <c r="U414" s="382"/>
      <c r="V414" s="382"/>
      <c r="W414" s="382"/>
      <c r="X414" s="384"/>
    </row>
    <row r="415" spans="1:24">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843"/>
      <c r="T415" s="385"/>
      <c r="U415" s="382"/>
      <c r="V415" s="382"/>
      <c r="W415" s="382"/>
      <c r="X415" s="384"/>
    </row>
    <row r="416" spans="1:24">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2"/>
      <c r="P416" s="843"/>
      <c r="T416" s="385"/>
      <c r="U416" s="382"/>
      <c r="V416" s="382"/>
      <c r="W416" s="382"/>
      <c r="X416" s="384"/>
    </row>
    <row r="417" spans="1:24">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2"/>
      <c r="P417" s="843"/>
      <c r="T417" s="385"/>
      <c r="U417" s="382"/>
      <c r="V417" s="382"/>
      <c r="W417" s="382"/>
      <c r="X417" s="384"/>
    </row>
    <row r="418" spans="1:24">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2"/>
      <c r="P418" s="843"/>
      <c r="T418" s="385"/>
      <c r="U418" s="382"/>
      <c r="V418" s="382"/>
      <c r="W418" s="382"/>
      <c r="X418" s="384"/>
    </row>
    <row r="419" spans="1:24">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2"/>
      <c r="P419" s="843"/>
      <c r="T419" s="385"/>
      <c r="U419" s="382"/>
      <c r="V419" s="382"/>
      <c r="W419" s="382"/>
      <c r="X419" s="384"/>
    </row>
    <row r="420" spans="1:24">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2"/>
      <c r="P420" s="843"/>
      <c r="T420" s="385"/>
      <c r="U420" s="382"/>
      <c r="V420" s="382"/>
      <c r="W420" s="382"/>
      <c r="X420" s="384"/>
    </row>
    <row r="421" spans="1:24">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2"/>
      <c r="P421" s="843"/>
      <c r="T421" s="385"/>
      <c r="U421" s="382"/>
      <c r="V421" s="382"/>
      <c r="W421" s="382"/>
      <c r="X421" s="384"/>
    </row>
    <row r="422" spans="1:24">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2"/>
      <c r="P422" s="843"/>
      <c r="T422" s="385"/>
      <c r="U422" s="382"/>
      <c r="V422" s="382"/>
      <c r="W422" s="382"/>
      <c r="X422" s="384"/>
    </row>
    <row r="423" spans="1:24">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2"/>
      <c r="P423" s="843"/>
      <c r="T423" s="385"/>
      <c r="U423" s="382"/>
      <c r="V423" s="382"/>
      <c r="W423" s="382"/>
      <c r="X423" s="384"/>
    </row>
    <row r="424" spans="1:24">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2"/>
      <c r="P424" s="843"/>
      <c r="T424" s="385"/>
      <c r="U424" s="382"/>
      <c r="V424" s="382"/>
      <c r="W424" s="382"/>
      <c r="X424" s="384"/>
    </row>
    <row r="425" spans="1:24">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2"/>
      <c r="P425" s="843"/>
      <c r="T425" s="385"/>
      <c r="U425" s="382"/>
      <c r="V425" s="382"/>
      <c r="W425" s="382"/>
      <c r="X425" s="384"/>
    </row>
    <row r="426" spans="1:24">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2"/>
      <c r="P426" s="843"/>
      <c r="T426" s="385"/>
      <c r="U426" s="382"/>
      <c r="V426" s="382"/>
      <c r="W426" s="382"/>
      <c r="X426" s="384"/>
    </row>
    <row r="427" spans="1:24">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2"/>
      <c r="P427" s="843"/>
      <c r="T427" s="385"/>
      <c r="U427" s="382"/>
      <c r="V427" s="382"/>
      <c r="W427" s="382"/>
      <c r="X427" s="384"/>
    </row>
    <row r="428" spans="1:24">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12"/>
      <c r="P428" s="843"/>
      <c r="T428" s="385"/>
      <c r="U428" s="382"/>
      <c r="V428" s="382"/>
      <c r="W428" s="382"/>
      <c r="X428" s="384"/>
    </row>
    <row r="429" spans="1:24">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12"/>
      <c r="P429" s="843"/>
      <c r="T429" s="385"/>
      <c r="U429" s="382"/>
      <c r="V429" s="382"/>
      <c r="W429" s="382"/>
      <c r="X429" s="384"/>
    </row>
    <row r="430" spans="1:24">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12"/>
      <c r="P430" s="843"/>
      <c r="T430" s="385"/>
      <c r="U430" s="382"/>
      <c r="V430" s="382"/>
      <c r="W430" s="382"/>
      <c r="X430" s="384"/>
    </row>
    <row r="431" spans="1:24">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12"/>
      <c r="P431" s="843"/>
      <c r="T431" s="385"/>
      <c r="U431" s="382"/>
      <c r="V431" s="382"/>
      <c r="W431" s="382"/>
      <c r="X431" s="384"/>
    </row>
    <row r="432" spans="1:24">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12"/>
      <c r="P432" s="680"/>
      <c r="T432" s="385"/>
      <c r="U432" s="382"/>
      <c r="V432" s="382"/>
      <c r="W432" s="382"/>
      <c r="X432" s="384"/>
    </row>
    <row r="433" spans="1:24">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12"/>
      <c r="P433" s="680"/>
      <c r="T433" s="385"/>
      <c r="U433" s="382"/>
      <c r="V433" s="382"/>
      <c r="W433" s="382"/>
      <c r="X433" s="384"/>
    </row>
    <row r="434" spans="1:24">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12"/>
      <c r="P434" s="680"/>
      <c r="T434" s="385"/>
      <c r="U434" s="382"/>
      <c r="V434" s="382"/>
      <c r="W434" s="382"/>
      <c r="X434" s="384"/>
    </row>
    <row r="435" spans="1:24">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11"/>
      <c r="P435" s="680"/>
      <c r="T435" s="385"/>
      <c r="U435" s="382"/>
      <c r="V435" s="382"/>
      <c r="W435" s="382"/>
      <c r="X435" s="384"/>
    </row>
    <row r="436" spans="1:24">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11"/>
      <c r="P436" s="680"/>
      <c r="T436" s="385"/>
      <c r="U436" s="382"/>
      <c r="V436" s="382"/>
      <c r="W436" s="382"/>
      <c r="X436" s="384"/>
    </row>
    <row r="437" spans="1:24">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11"/>
      <c r="P437" s="680"/>
      <c r="T437" s="385"/>
      <c r="U437" s="382"/>
      <c r="V437" s="382"/>
      <c r="W437" s="382"/>
      <c r="X437" s="384"/>
    </row>
    <row r="438" spans="1:24">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10"/>
      <c r="P438" s="680"/>
      <c r="T438" s="385"/>
      <c r="U438" s="382"/>
      <c r="V438" s="382"/>
      <c r="W438" s="382"/>
      <c r="X438" s="384"/>
    </row>
    <row r="439" spans="1:24">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10"/>
      <c r="P439" s="680"/>
      <c r="T439" s="385"/>
      <c r="U439" s="382"/>
      <c r="V439" s="382"/>
      <c r="W439" s="382"/>
      <c r="X439" s="384"/>
    </row>
    <row r="440" spans="1:24">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10"/>
      <c r="P440" s="680"/>
      <c r="T440" s="385"/>
      <c r="U440" s="382"/>
      <c r="V440" s="382"/>
      <c r="W440" s="382"/>
      <c r="X440" s="384"/>
    </row>
    <row r="441" spans="1:24">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10"/>
      <c r="P441" s="680"/>
      <c r="T441" s="385"/>
      <c r="U441" s="382"/>
      <c r="V441" s="382"/>
      <c r="W441" s="382"/>
      <c r="X441" s="384"/>
    </row>
    <row r="442" spans="1:24">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10"/>
      <c r="P442" s="680"/>
      <c r="T442" s="385"/>
      <c r="U442" s="382"/>
      <c r="V442" s="382"/>
      <c r="W442" s="382"/>
      <c r="X442" s="384"/>
    </row>
    <row r="443" spans="1:24">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10"/>
      <c r="P443" s="680"/>
      <c r="T443" s="385"/>
      <c r="U443" s="382"/>
      <c r="V443" s="382"/>
      <c r="W443" s="382"/>
      <c r="X443" s="384"/>
    </row>
    <row r="444" spans="1:24">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10"/>
      <c r="P444" s="680"/>
      <c r="T444" s="385"/>
      <c r="U444" s="382"/>
      <c r="V444" s="382"/>
      <c r="W444" s="382"/>
      <c r="X444" s="384"/>
    </row>
    <row r="445" spans="1:24">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10"/>
      <c r="P445" s="680"/>
      <c r="T445" s="385"/>
      <c r="U445" s="382"/>
      <c r="V445" s="382"/>
      <c r="W445" s="382"/>
      <c r="X445" s="384"/>
    </row>
    <row r="446" spans="1:24">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10"/>
      <c r="P446" s="680"/>
      <c r="T446" s="385"/>
      <c r="U446" s="382"/>
      <c r="V446" s="382"/>
      <c r="W446" s="382"/>
      <c r="X446" s="384"/>
    </row>
    <row r="447" spans="1:24">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3"/>
      <c r="P447" s="680"/>
      <c r="T447" s="385"/>
      <c r="U447" s="382"/>
      <c r="V447" s="382"/>
      <c r="W447" s="382"/>
      <c r="X447" s="384"/>
    </row>
    <row r="448" spans="1:24">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3"/>
      <c r="P448" s="680"/>
      <c r="T448" s="385"/>
      <c r="U448" s="382"/>
      <c r="V448" s="382"/>
      <c r="W448" s="382"/>
      <c r="X448" s="384"/>
    </row>
    <row r="449" spans="1:24">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503"/>
      <c r="P449" s="680"/>
      <c r="T449" s="385"/>
      <c r="U449" s="382"/>
      <c r="V449" s="382"/>
      <c r="W449" s="382"/>
      <c r="X449" s="384"/>
    </row>
    <row r="450" spans="1:24">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503"/>
      <c r="P450" s="680"/>
      <c r="T450" s="385"/>
      <c r="U450" s="382"/>
      <c r="V450" s="382"/>
      <c r="W450" s="382"/>
      <c r="X450" s="384"/>
    </row>
    <row r="451" spans="1:24">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503"/>
      <c r="P451" s="680"/>
      <c r="T451" s="385"/>
      <c r="U451" s="382"/>
      <c r="V451" s="382"/>
      <c r="W451" s="382"/>
      <c r="X451" s="384"/>
    </row>
    <row r="452" spans="1:24">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503"/>
      <c r="P452" s="680"/>
      <c r="T452" s="385"/>
      <c r="U452" s="382"/>
      <c r="V452" s="382"/>
      <c r="W452" s="382"/>
      <c r="X452" s="384"/>
    </row>
    <row r="453" spans="1:24">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503"/>
      <c r="P453" s="680"/>
      <c r="T453" s="385"/>
      <c r="U453" s="382"/>
      <c r="V453" s="382"/>
      <c r="W453" s="382"/>
      <c r="X453" s="384"/>
    </row>
    <row r="454" spans="1:24">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503"/>
      <c r="P454" s="680"/>
      <c r="T454" s="385"/>
      <c r="U454" s="382"/>
      <c r="V454" s="382"/>
      <c r="W454" s="382"/>
      <c r="X454" s="384"/>
    </row>
    <row r="455" spans="1:24">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503"/>
      <c r="P455" s="680"/>
      <c r="T455" s="385"/>
      <c r="U455" s="382"/>
      <c r="V455" s="382"/>
      <c r="W455" s="382"/>
      <c r="X455" s="384"/>
    </row>
    <row r="456" spans="1:24">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503"/>
      <c r="P456" s="680"/>
      <c r="T456" s="385"/>
      <c r="U456" s="382"/>
      <c r="V456" s="382"/>
      <c r="W456" s="382"/>
      <c r="X456" s="384"/>
    </row>
    <row r="457" spans="1:24">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503"/>
      <c r="P457" s="666"/>
      <c r="T457" s="385"/>
      <c r="U457" s="382"/>
      <c r="V457" s="382"/>
      <c r="W457" s="382"/>
      <c r="X457" s="384"/>
    </row>
    <row r="458" spans="1:24">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503"/>
      <c r="P458" s="666"/>
      <c r="T458" s="385"/>
      <c r="U458" s="382"/>
      <c r="V458" s="382"/>
      <c r="W458" s="382"/>
      <c r="X458" s="384"/>
    </row>
    <row r="459" spans="1:24">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503"/>
      <c r="P459" s="666"/>
      <c r="T459" s="385"/>
      <c r="U459" s="382"/>
      <c r="V459" s="382"/>
      <c r="W459" s="382"/>
      <c r="X459" s="384"/>
    </row>
    <row r="460" spans="1:24">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503"/>
      <c r="P460" s="666"/>
      <c r="T460" s="385"/>
      <c r="U460" s="382"/>
      <c r="V460" s="382"/>
      <c r="W460" s="382"/>
      <c r="X460" s="384"/>
    </row>
    <row r="461" spans="1:24">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503"/>
      <c r="P461" s="666"/>
      <c r="T461" s="385"/>
      <c r="U461" s="382"/>
      <c r="V461" s="382"/>
      <c r="W461" s="382"/>
      <c r="X461" s="384"/>
    </row>
    <row r="462" spans="1:24">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503"/>
      <c r="P462" s="513"/>
      <c r="T462" s="385"/>
      <c r="U462" s="382"/>
      <c r="V462" s="382"/>
      <c r="W462" s="382"/>
      <c r="X462" s="384"/>
    </row>
    <row r="463" spans="1:24">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503"/>
      <c r="P463" s="513"/>
      <c r="T463" s="385"/>
      <c r="U463" s="382"/>
      <c r="V463" s="382"/>
      <c r="W463" s="382"/>
      <c r="X463" s="384"/>
    </row>
    <row r="464" spans="1:24">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503"/>
      <c r="P464" s="513"/>
      <c r="T464" s="385"/>
      <c r="U464" s="382"/>
      <c r="V464" s="382"/>
      <c r="W464" s="382"/>
      <c r="X464" s="384"/>
    </row>
    <row r="465" spans="1:24">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503"/>
      <c r="P465" s="513"/>
      <c r="T465" s="385"/>
      <c r="U465" s="382"/>
      <c r="V465" s="382"/>
      <c r="W465" s="382"/>
      <c r="X465" s="384"/>
    </row>
    <row r="466" spans="1:24">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500"/>
      <c r="P466" s="513"/>
      <c r="T466" s="385"/>
      <c r="U466" s="382"/>
      <c r="V466" s="382"/>
      <c r="W466" s="382"/>
      <c r="X466" s="384"/>
    </row>
    <row r="467" spans="1:24">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500"/>
      <c r="P467" s="513"/>
      <c r="T467" s="385"/>
      <c r="U467" s="382"/>
      <c r="V467" s="382"/>
      <c r="W467" s="382"/>
      <c r="X467" s="384"/>
    </row>
    <row r="468" spans="1:24">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9"/>
      <c r="P468" s="513"/>
      <c r="T468" s="385"/>
      <c r="U468" s="382"/>
      <c r="V468" s="382"/>
      <c r="W468" s="382"/>
      <c r="X468" s="384"/>
    </row>
    <row r="469" spans="1:24">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9"/>
      <c r="P469" s="513"/>
      <c r="T469" s="385"/>
      <c r="U469" s="382"/>
      <c r="V469" s="382"/>
      <c r="W469" s="382"/>
      <c r="X469" s="384"/>
    </row>
    <row r="470" spans="1:24">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9"/>
      <c r="P470" s="513"/>
      <c r="T470" s="385"/>
      <c r="U470" s="382"/>
      <c r="V470" s="382"/>
      <c r="W470" s="382"/>
      <c r="X470" s="384"/>
    </row>
    <row r="471" spans="1:24">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9"/>
      <c r="P471" s="513"/>
      <c r="T471" s="385"/>
      <c r="U471" s="382"/>
      <c r="V471" s="382"/>
      <c r="W471" s="382"/>
      <c r="X471" s="384"/>
    </row>
    <row r="472" spans="1:24">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93"/>
      <c r="P483" s="513"/>
      <c r="T483" s="385"/>
      <c r="U483" s="382"/>
      <c r="V483" s="382"/>
      <c r="W483" s="382"/>
      <c r="X483" s="384"/>
    </row>
    <row r="484" spans="1:24">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93"/>
      <c r="P484" s="513"/>
      <c r="T484" s="385"/>
      <c r="U484" s="382"/>
      <c r="V484" s="382"/>
      <c r="W484" s="382"/>
      <c r="X484" s="384"/>
    </row>
    <row r="485" spans="1:24">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93"/>
      <c r="P485" s="513"/>
      <c r="T485" s="385"/>
      <c r="U485" s="382"/>
      <c r="V485" s="382"/>
      <c r="W485" s="382"/>
      <c r="X485" s="384"/>
    </row>
    <row r="486" spans="1:24">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93"/>
      <c r="P486" s="513"/>
      <c r="T486" s="385"/>
      <c r="U486" s="382"/>
      <c r="V486" s="382"/>
      <c r="W486" s="382"/>
      <c r="X486" s="384"/>
    </row>
    <row r="487" spans="1:24">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93"/>
      <c r="P487" s="513"/>
      <c r="T487" s="385"/>
      <c r="U487" s="382"/>
      <c r="V487" s="382"/>
      <c r="W487" s="382"/>
      <c r="X487" s="384"/>
    </row>
    <row r="488" spans="1:24">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93"/>
      <c r="P488" s="513"/>
      <c r="T488" s="385"/>
      <c r="U488" s="382"/>
      <c r="V488" s="382"/>
      <c r="W488" s="382"/>
      <c r="X488" s="384"/>
    </row>
    <row r="489" spans="1:24">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93"/>
      <c r="P489" s="513"/>
      <c r="T489" s="385"/>
      <c r="U489" s="382"/>
      <c r="V489" s="382"/>
      <c r="W489" s="382"/>
      <c r="X489" s="384"/>
    </row>
    <row r="490" spans="1:24">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93"/>
      <c r="P490" s="513"/>
      <c r="T490" s="385"/>
      <c r="U490" s="382"/>
      <c r="V490" s="382"/>
      <c r="W490" s="382"/>
      <c r="X490" s="384"/>
    </row>
    <row r="491" spans="1:24">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93"/>
      <c r="P491" s="513"/>
      <c r="T491" s="385"/>
      <c r="U491" s="382"/>
      <c r="V491" s="382"/>
      <c r="W491" s="382"/>
      <c r="X491" s="384"/>
    </row>
    <row r="492" spans="1:24">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93"/>
      <c r="P492" s="513"/>
      <c r="T492" s="385"/>
      <c r="U492" s="382"/>
      <c r="V492" s="382"/>
      <c r="W492" s="382"/>
      <c r="X492" s="384"/>
    </row>
    <row r="493" spans="1:24">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93"/>
      <c r="P493" s="513"/>
      <c r="T493" s="385"/>
      <c r="U493" s="382"/>
      <c r="V493" s="382"/>
      <c r="W493" s="382"/>
      <c r="X493" s="384"/>
    </row>
    <row r="494" spans="1:24">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93"/>
      <c r="P494" s="513"/>
      <c r="T494" s="385"/>
      <c r="U494" s="382"/>
      <c r="V494" s="382"/>
      <c r="W494" s="382"/>
      <c r="X494" s="384"/>
    </row>
    <row r="495" spans="1:24">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93"/>
      <c r="P495" s="513"/>
      <c r="T495" s="385"/>
      <c r="U495" s="382"/>
      <c r="V495" s="382"/>
      <c r="W495" s="382"/>
      <c r="X495" s="384"/>
    </row>
    <row r="496" spans="1:24">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93"/>
      <c r="P496" s="513"/>
      <c r="T496" s="385"/>
      <c r="U496" s="382"/>
      <c r="V496" s="382"/>
      <c r="W496" s="382"/>
      <c r="X496" s="384"/>
    </row>
    <row r="497" spans="1:24">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93"/>
      <c r="P497" s="513"/>
      <c r="T497" s="385"/>
      <c r="U497" s="382"/>
      <c r="V497" s="382"/>
      <c r="W497" s="382"/>
      <c r="X497" s="384"/>
    </row>
    <row r="498" spans="1:24">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93"/>
      <c r="P498" s="513"/>
      <c r="T498" s="385"/>
      <c r="U498" s="382"/>
      <c r="V498" s="382"/>
      <c r="W498" s="382"/>
      <c r="X498" s="384"/>
    </row>
    <row r="499" spans="1:24">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93"/>
      <c r="P499" s="513"/>
      <c r="T499" s="385"/>
      <c r="U499" s="382"/>
      <c r="V499" s="382"/>
      <c r="W499" s="382"/>
      <c r="X499" s="384"/>
    </row>
    <row r="500" spans="1:24">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93"/>
      <c r="P500" s="513"/>
      <c r="T500" s="385"/>
      <c r="U500" s="382"/>
      <c r="V500" s="382"/>
      <c r="W500" s="382"/>
      <c r="X500" s="384"/>
    </row>
    <row r="501" spans="1:24">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93"/>
      <c r="P501" s="513"/>
      <c r="T501" s="385"/>
      <c r="U501" s="382"/>
      <c r="V501" s="382"/>
      <c r="W501" s="382"/>
      <c r="X501" s="384"/>
    </row>
    <row r="502" spans="1:24">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9"/>
      <c r="P502" s="513"/>
      <c r="T502" s="385"/>
      <c r="U502" s="382"/>
      <c r="V502" s="382"/>
      <c r="W502" s="382"/>
      <c r="X502" s="384"/>
    </row>
    <row r="503" spans="1:24">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9"/>
      <c r="P503" s="513"/>
      <c r="T503" s="385"/>
      <c r="U503" s="382"/>
      <c r="V503" s="382"/>
      <c r="W503" s="382"/>
      <c r="X503" s="384"/>
    </row>
    <row r="504" spans="1:24">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7"/>
      <c r="P504" s="513"/>
      <c r="T504" s="385"/>
      <c r="U504" s="382"/>
      <c r="V504" s="382"/>
      <c r="W504" s="382"/>
      <c r="X504" s="384"/>
    </row>
    <row r="505" spans="1:24">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7"/>
      <c r="P505" s="513"/>
      <c r="T505" s="385"/>
      <c r="U505" s="382"/>
      <c r="V505" s="382"/>
      <c r="W505" s="382"/>
      <c r="X505" s="384"/>
    </row>
    <row r="506" spans="1:24">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7"/>
      <c r="P506" s="513"/>
      <c r="T506" s="385"/>
      <c r="U506" s="382"/>
      <c r="V506" s="382"/>
      <c r="W506" s="382"/>
      <c r="X506" s="384"/>
    </row>
    <row r="507" spans="1:24">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7"/>
      <c r="P507" s="513"/>
      <c r="T507" s="385"/>
      <c r="U507" s="382"/>
      <c r="V507" s="382"/>
      <c r="W507" s="382"/>
      <c r="X507" s="384"/>
    </row>
    <row r="508" spans="1:24">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6"/>
      <c r="P508" s="513"/>
      <c r="T508" s="385"/>
      <c r="U508" s="382"/>
      <c r="V508" s="382"/>
      <c r="W508" s="382"/>
      <c r="X508" s="384"/>
    </row>
    <row r="509" spans="1:24">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13"/>
      <c r="T540" s="385"/>
      <c r="U540" s="382"/>
      <c r="V540" s="382"/>
      <c r="W540" s="382"/>
      <c r="X540" s="384"/>
    </row>
    <row r="541" spans="1:24">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13"/>
      <c r="T541" s="385"/>
      <c r="U541" s="382"/>
      <c r="V541" s="382"/>
      <c r="W541" s="382"/>
      <c r="X541" s="384"/>
    </row>
    <row r="542" spans="1:24">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85"/>
      <c r="P542" s="513"/>
      <c r="T542" s="385"/>
      <c r="U542" s="382"/>
      <c r="V542" s="382"/>
      <c r="W542" s="382"/>
      <c r="X542" s="384"/>
    </row>
    <row r="543" spans="1:24">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85"/>
      <c r="P543" s="513"/>
      <c r="T543" s="385"/>
      <c r="U543" s="382"/>
      <c r="V543" s="382"/>
      <c r="W543" s="382"/>
      <c r="X543" s="384"/>
    </row>
    <row r="544" spans="1:24">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85"/>
      <c r="P544" s="513"/>
      <c r="T544" s="385"/>
      <c r="U544" s="382"/>
      <c r="V544" s="382"/>
      <c r="W544" s="382"/>
      <c r="X544" s="384"/>
    </row>
    <row r="545" spans="1:24">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85"/>
      <c r="P545" s="513"/>
      <c r="T545" s="385"/>
      <c r="U545" s="382"/>
      <c r="V545" s="382"/>
      <c r="W545" s="382"/>
      <c r="X545" s="384"/>
    </row>
    <row r="546" spans="1:24">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85"/>
      <c r="P546" s="513"/>
      <c r="T546" s="385"/>
      <c r="U546" s="382"/>
      <c r="V546" s="382"/>
      <c r="W546" s="382"/>
      <c r="X546" s="384"/>
    </row>
    <row r="547" spans="1:24">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85"/>
      <c r="P547" s="513"/>
      <c r="T547" s="385"/>
      <c r="U547" s="382"/>
      <c r="V547" s="382"/>
      <c r="W547" s="382"/>
      <c r="X547" s="384"/>
    </row>
    <row r="548" spans="1:24">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85"/>
      <c r="P548" s="513"/>
      <c r="T548" s="385"/>
      <c r="U548" s="382"/>
      <c r="V548" s="382"/>
      <c r="W548" s="382"/>
      <c r="X548" s="384"/>
    </row>
    <row r="549" spans="1:24">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85"/>
      <c r="P549" s="513"/>
      <c r="T549" s="385"/>
      <c r="U549" s="382"/>
      <c r="V549" s="382"/>
      <c r="W549" s="382"/>
      <c r="X549" s="384"/>
    </row>
    <row r="550" spans="1:24">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85"/>
      <c r="P550" s="513"/>
      <c r="T550" s="385"/>
      <c r="U550" s="382"/>
      <c r="V550" s="382"/>
      <c r="W550" s="382"/>
      <c r="X550" s="384"/>
    </row>
    <row r="551" spans="1:24">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85"/>
      <c r="P551" s="513"/>
      <c r="T551" s="385"/>
      <c r="U551" s="382"/>
      <c r="V551" s="382"/>
      <c r="W551" s="382"/>
      <c r="X551" s="384"/>
    </row>
    <row r="552" spans="1:24">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85"/>
      <c r="P552" s="513"/>
      <c r="T552" s="385"/>
      <c r="U552" s="382"/>
      <c r="V552" s="382"/>
      <c r="W552" s="382"/>
      <c r="X552" s="384"/>
    </row>
    <row r="553" spans="1:24">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85"/>
      <c r="P553" s="513"/>
      <c r="T553" s="385"/>
      <c r="U553" s="382"/>
      <c r="V553" s="382"/>
      <c r="W553" s="382"/>
      <c r="X553" s="384"/>
    </row>
    <row r="554" spans="1:24">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85"/>
      <c r="P554" s="513"/>
      <c r="T554" s="385"/>
      <c r="U554" s="382"/>
      <c r="V554" s="382"/>
      <c r="W554" s="382"/>
      <c r="X554" s="384"/>
    </row>
    <row r="555" spans="1:24">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85"/>
      <c r="P555" s="513"/>
      <c r="T555" s="385"/>
      <c r="U555" s="382"/>
      <c r="V555" s="382"/>
      <c r="W555" s="382"/>
      <c r="X555" s="384"/>
    </row>
    <row r="556" spans="1:24">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85"/>
      <c r="P556" s="513"/>
      <c r="T556" s="385"/>
      <c r="U556" s="382"/>
      <c r="V556" s="382"/>
      <c r="W556" s="382"/>
      <c r="X556" s="384"/>
    </row>
    <row r="557" spans="1:24">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85"/>
      <c r="P557" s="513"/>
      <c r="T557" s="385"/>
      <c r="U557" s="382"/>
      <c r="V557" s="382"/>
      <c r="W557" s="382"/>
      <c r="X557" s="384"/>
    </row>
    <row r="558" spans="1:24">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85"/>
      <c r="P558" s="513"/>
      <c r="T558" s="385"/>
      <c r="U558" s="382"/>
      <c r="V558" s="382"/>
      <c r="W558" s="382"/>
      <c r="X558" s="384"/>
    </row>
    <row r="559" spans="1:24">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85"/>
      <c r="P559" s="513"/>
      <c r="T559" s="385"/>
      <c r="U559" s="382"/>
      <c r="V559" s="382"/>
      <c r="W559" s="382"/>
      <c r="X559" s="384"/>
    </row>
    <row r="560" spans="1:24">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85"/>
      <c r="P560" s="513"/>
      <c r="T560" s="385"/>
      <c r="U560" s="382"/>
      <c r="V560" s="382"/>
      <c r="W560" s="382"/>
      <c r="X560" s="384"/>
    </row>
    <row r="561" spans="1:24">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13"/>
      <c r="T561" s="385"/>
      <c r="U561" s="382"/>
      <c r="V561" s="382"/>
      <c r="W561" s="382"/>
      <c r="X561" s="384"/>
    </row>
    <row r="562" spans="1:24">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13"/>
      <c r="T562" s="385"/>
      <c r="U562" s="382"/>
      <c r="V562" s="382"/>
      <c r="W562" s="382"/>
      <c r="X562" s="384"/>
    </row>
    <row r="563" spans="1:24">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13"/>
      <c r="T563" s="385"/>
      <c r="U563" s="382"/>
      <c r="V563" s="382"/>
      <c r="W563" s="382"/>
      <c r="X563" s="384"/>
    </row>
    <row r="564" spans="1:24">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13"/>
      <c r="T564" s="385"/>
      <c r="U564" s="382"/>
      <c r="V564" s="382"/>
      <c r="W564" s="382"/>
      <c r="X564" s="384"/>
    </row>
    <row r="565" spans="1:24">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13"/>
      <c r="T565" s="385"/>
      <c r="U565" s="382"/>
      <c r="V565" s="382"/>
      <c r="W565" s="382"/>
      <c r="X565" s="384"/>
    </row>
    <row r="566" spans="1:24">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13"/>
      <c r="T566" s="385"/>
      <c r="U566" s="382"/>
      <c r="V566" s="382"/>
      <c r="W566" s="382"/>
      <c r="X566" s="384"/>
    </row>
    <row r="567" spans="1:24">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9"/>
      <c r="T567" s="385"/>
      <c r="U567" s="382"/>
      <c r="V567" s="382"/>
      <c r="W567" s="382"/>
      <c r="X567" s="384"/>
    </row>
    <row r="568" spans="1:24">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9"/>
      <c r="T568" s="385"/>
      <c r="U568" s="382"/>
      <c r="V568" s="382"/>
      <c r="W568" s="382"/>
      <c r="X568" s="384"/>
    </row>
    <row r="569" spans="1:24">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9"/>
      <c r="T569" s="385"/>
      <c r="U569" s="382"/>
      <c r="V569" s="382"/>
      <c r="W569" s="382"/>
      <c r="X569" s="384"/>
    </row>
    <row r="570" spans="1:24">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9"/>
      <c r="T570" s="385"/>
      <c r="U570" s="382"/>
      <c r="V570" s="382"/>
      <c r="W570" s="382"/>
      <c r="X570" s="384"/>
    </row>
    <row r="571" spans="1:24">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9"/>
      <c r="T571" s="385"/>
      <c r="U571" s="382"/>
      <c r="V571" s="382"/>
      <c r="W571" s="382"/>
      <c r="X571" s="384"/>
    </row>
    <row r="572" spans="1:24">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9"/>
      <c r="T572" s="385"/>
      <c r="U572" s="382"/>
      <c r="V572" s="382"/>
      <c r="W572" s="382"/>
      <c r="X572" s="384"/>
    </row>
    <row r="573" spans="1:24">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9"/>
      <c r="T573" s="385"/>
      <c r="U573" s="382"/>
      <c r="V573" s="382"/>
      <c r="W573" s="382"/>
      <c r="X573" s="384"/>
    </row>
    <row r="574" spans="1:24">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9"/>
      <c r="T574" s="385"/>
      <c r="U574" s="382"/>
      <c r="V574" s="382"/>
      <c r="W574" s="382"/>
      <c r="X574" s="384"/>
    </row>
    <row r="575" spans="1:24">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9"/>
      <c r="T575" s="385"/>
      <c r="U575" s="382"/>
      <c r="V575" s="382"/>
      <c r="W575" s="382"/>
      <c r="X575" s="384"/>
    </row>
    <row r="576" spans="1:24">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9"/>
      <c r="T576" s="385"/>
      <c r="U576" s="382"/>
      <c r="V576" s="382"/>
      <c r="W576" s="382"/>
      <c r="X576" s="384"/>
    </row>
    <row r="577" spans="1:24">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9"/>
      <c r="T577" s="385"/>
      <c r="U577" s="382"/>
      <c r="V577" s="382"/>
      <c r="W577" s="382"/>
      <c r="X577" s="384"/>
    </row>
    <row r="578" spans="1:24">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9"/>
      <c r="T578" s="385"/>
      <c r="U578" s="382"/>
      <c r="V578" s="382"/>
      <c r="W578" s="382"/>
      <c r="X578" s="384"/>
    </row>
    <row r="579" spans="1:24">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9"/>
      <c r="T579" s="385"/>
      <c r="U579" s="382"/>
      <c r="V579" s="382"/>
      <c r="W579" s="382"/>
      <c r="X579" s="384"/>
    </row>
    <row r="580" spans="1:24">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9"/>
      <c r="T580" s="385"/>
      <c r="U580" s="382"/>
      <c r="V580" s="382"/>
      <c r="W580" s="382"/>
      <c r="X580" s="384"/>
    </row>
    <row r="581" spans="1:24">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9"/>
      <c r="P581" s="509"/>
      <c r="T581" s="385"/>
      <c r="U581" s="382"/>
      <c r="V581" s="382"/>
      <c r="W581" s="382"/>
      <c r="X581" s="384"/>
    </row>
    <row r="582" spans="1:24">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9"/>
      <c r="P582" s="505"/>
      <c r="T582" s="385"/>
      <c r="U582" s="382"/>
      <c r="V582" s="382"/>
      <c r="W582" s="382"/>
      <c r="X582" s="384"/>
    </row>
    <row r="583" spans="1:24">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9"/>
      <c r="P583" s="505"/>
      <c r="T583" s="385"/>
      <c r="U583" s="382"/>
      <c r="V583" s="382"/>
      <c r="W583" s="382"/>
      <c r="X583" s="384"/>
    </row>
    <row r="584" spans="1:24">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9"/>
      <c r="P584" s="505"/>
      <c r="T584" s="385"/>
      <c r="U584" s="382"/>
      <c r="V584" s="382"/>
      <c r="W584" s="382"/>
      <c r="X584" s="384"/>
    </row>
    <row r="585" spans="1:24">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9"/>
      <c r="P585" s="505"/>
      <c r="T585" s="385"/>
      <c r="U585" s="382"/>
      <c r="V585" s="382"/>
      <c r="W585" s="382"/>
      <c r="X585" s="384"/>
    </row>
    <row r="586" spans="1:24">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9"/>
      <c r="P586" s="505"/>
      <c r="T586" s="385"/>
      <c r="U586" s="382"/>
      <c r="V586" s="382"/>
      <c r="W586" s="382"/>
      <c r="X586" s="384"/>
    </row>
    <row r="587" spans="1:24">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9"/>
      <c r="P587" s="505"/>
      <c r="T587" s="385"/>
      <c r="U587" s="382"/>
      <c r="V587" s="382"/>
      <c r="W587" s="382"/>
      <c r="X587" s="384"/>
    </row>
    <row r="588" spans="1:24">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9"/>
      <c r="P588" s="505"/>
      <c r="T588" s="385"/>
      <c r="U588" s="382"/>
      <c r="V588" s="382"/>
      <c r="W588" s="382"/>
      <c r="X588" s="384"/>
    </row>
    <row r="589" spans="1:24">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9"/>
      <c r="P589" s="505"/>
      <c r="T589" s="385"/>
      <c r="U589" s="382"/>
      <c r="V589" s="382"/>
      <c r="W589" s="382"/>
      <c r="X589" s="384"/>
    </row>
    <row r="590" spans="1:24">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9"/>
      <c r="P590" s="505"/>
      <c r="T590" s="385"/>
      <c r="U590" s="382"/>
      <c r="V590" s="382"/>
      <c r="W590" s="382"/>
      <c r="X590" s="384"/>
    </row>
    <row r="591" spans="1:24">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9"/>
      <c r="P591" s="505"/>
      <c r="T591" s="385"/>
      <c r="U591" s="382"/>
      <c r="V591" s="382"/>
      <c r="W591" s="382"/>
      <c r="X591" s="384"/>
    </row>
    <row r="592" spans="1:24">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9"/>
      <c r="P592" s="505"/>
      <c r="T592" s="385"/>
      <c r="U592" s="382"/>
      <c r="V592" s="382"/>
      <c r="W592" s="382"/>
      <c r="X592" s="384"/>
    </row>
    <row r="593" spans="1:24">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9"/>
      <c r="P593" s="505"/>
      <c r="T593" s="385"/>
      <c r="U593" s="382"/>
      <c r="V593" s="382"/>
      <c r="W593" s="382"/>
      <c r="X593" s="384"/>
    </row>
    <row r="594" spans="1:24">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9"/>
      <c r="P594" s="505"/>
      <c r="T594" s="385"/>
      <c r="U594" s="382"/>
      <c r="V594" s="382"/>
      <c r="W594" s="382"/>
      <c r="X594" s="384"/>
    </row>
    <row r="595" spans="1:24">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9"/>
      <c r="P595" s="505"/>
      <c r="T595" s="385"/>
      <c r="U595" s="382"/>
      <c r="V595" s="382"/>
      <c r="W595" s="382"/>
      <c r="X595" s="384"/>
    </row>
    <row r="596" spans="1:24">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9"/>
      <c r="P596" s="505"/>
      <c r="T596" s="385"/>
      <c r="U596" s="382"/>
      <c r="V596" s="382"/>
      <c r="W596" s="382"/>
      <c r="X596" s="384"/>
    </row>
    <row r="597" spans="1:24">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9"/>
      <c r="P597" s="505"/>
      <c r="T597" s="385"/>
      <c r="U597" s="382"/>
      <c r="V597" s="382"/>
      <c r="W597" s="382"/>
      <c r="X597" s="384"/>
    </row>
    <row r="598" spans="1:24">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9"/>
      <c r="P598" s="505"/>
      <c r="T598" s="385"/>
      <c r="U598" s="382"/>
      <c r="V598" s="382"/>
      <c r="W598" s="382"/>
      <c r="X598" s="384"/>
    </row>
    <row r="599" spans="1:24">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9"/>
      <c r="P599" s="505"/>
      <c r="T599" s="385"/>
      <c r="U599" s="382"/>
      <c r="V599" s="382"/>
      <c r="W599" s="382"/>
      <c r="X599" s="384"/>
    </row>
    <row r="600" spans="1:24">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73"/>
      <c r="P618" s="505"/>
      <c r="T618" s="385"/>
      <c r="U618" s="382"/>
      <c r="V618" s="382"/>
      <c r="W618" s="382"/>
      <c r="X618" s="384"/>
    </row>
    <row r="619" spans="1:24">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73"/>
      <c r="P619" s="505"/>
      <c r="T619" s="385"/>
      <c r="U619" s="382"/>
      <c r="V619" s="382"/>
      <c r="W619" s="382"/>
      <c r="X619" s="384"/>
    </row>
    <row r="620" spans="1:24">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73"/>
      <c r="P620" s="505"/>
      <c r="T620" s="385"/>
      <c r="U620" s="382"/>
      <c r="V620" s="382"/>
      <c r="W620" s="382"/>
      <c r="X620" s="384"/>
    </row>
    <row r="621" spans="1:24">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73"/>
      <c r="P621" s="505"/>
      <c r="T621" s="385"/>
      <c r="U621" s="382"/>
      <c r="V621" s="382"/>
      <c r="W621" s="382"/>
      <c r="X621" s="384"/>
    </row>
    <row r="622" spans="1:24">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73"/>
      <c r="P622" s="505"/>
      <c r="T622" s="385"/>
      <c r="U622" s="382"/>
      <c r="V622" s="382"/>
      <c r="W622" s="382"/>
      <c r="X622" s="384"/>
    </row>
    <row r="623" spans="1:24">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73"/>
      <c r="P623" s="505"/>
      <c r="T623" s="385"/>
      <c r="U623" s="382"/>
      <c r="V623" s="382"/>
      <c r="W623" s="382"/>
      <c r="X623" s="384"/>
    </row>
    <row r="624" spans="1:24">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73"/>
      <c r="P624" s="505"/>
      <c r="T624" s="385"/>
      <c r="U624" s="382"/>
      <c r="V624" s="382"/>
      <c r="W624" s="382"/>
      <c r="X624" s="384"/>
    </row>
    <row r="625" spans="1:24">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73"/>
      <c r="P625" s="505"/>
      <c r="T625" s="385"/>
      <c r="U625" s="382"/>
      <c r="V625" s="382"/>
      <c r="W625" s="382"/>
      <c r="X625" s="384"/>
    </row>
    <row r="626" spans="1:24">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73"/>
      <c r="P626" s="505"/>
      <c r="T626" s="385"/>
      <c r="U626" s="382"/>
      <c r="V626" s="382"/>
      <c r="W626" s="382"/>
      <c r="X626" s="384"/>
    </row>
    <row r="627" spans="1:24">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73"/>
      <c r="P627" s="505"/>
      <c r="T627" s="385"/>
      <c r="U627" s="382"/>
      <c r="V627" s="382"/>
      <c r="W627" s="382"/>
      <c r="X627" s="384"/>
    </row>
    <row r="628" spans="1:24">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73"/>
      <c r="P628" s="505"/>
      <c r="T628" s="385"/>
      <c r="U628" s="382"/>
      <c r="V628" s="382"/>
      <c r="W628" s="382"/>
      <c r="X628" s="384"/>
    </row>
    <row r="629" spans="1:24">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73"/>
      <c r="P629" s="505"/>
      <c r="T629" s="385"/>
      <c r="U629" s="382"/>
      <c r="V629" s="382"/>
      <c r="W629" s="382"/>
      <c r="X629" s="384"/>
    </row>
    <row r="630" spans="1:24">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73"/>
      <c r="P630" s="505"/>
      <c r="T630" s="385"/>
      <c r="U630" s="382"/>
      <c r="V630" s="382"/>
      <c r="W630" s="382"/>
      <c r="X630" s="384"/>
    </row>
    <row r="631" spans="1:24">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73"/>
      <c r="P631" s="505"/>
      <c r="T631" s="385"/>
      <c r="U631" s="382"/>
      <c r="V631" s="382"/>
      <c r="W631" s="382"/>
      <c r="X631" s="384"/>
    </row>
    <row r="632" spans="1:24">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73"/>
      <c r="P632" s="505"/>
      <c r="T632" s="385"/>
      <c r="U632" s="382"/>
      <c r="V632" s="382"/>
      <c r="W632" s="382"/>
      <c r="X632" s="384"/>
    </row>
    <row r="633" spans="1:24">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73"/>
      <c r="P633" s="505"/>
      <c r="T633" s="385"/>
      <c r="U633" s="382"/>
      <c r="V633" s="382"/>
      <c r="W633" s="382"/>
      <c r="X633" s="384"/>
    </row>
    <row r="634" spans="1:24">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73"/>
      <c r="P634" s="505"/>
      <c r="T634" s="385"/>
      <c r="U634" s="382"/>
      <c r="V634" s="382"/>
      <c r="W634" s="382"/>
      <c r="X634" s="384"/>
    </row>
    <row r="635" spans="1:24">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73"/>
      <c r="P635" s="505"/>
      <c r="T635" s="385"/>
      <c r="U635" s="382"/>
      <c r="V635" s="382"/>
      <c r="W635" s="382"/>
      <c r="X635" s="384"/>
    </row>
    <row r="636" spans="1:24">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73"/>
      <c r="P636" s="505"/>
      <c r="T636" s="385"/>
      <c r="U636" s="382"/>
      <c r="V636" s="382"/>
      <c r="W636" s="382"/>
      <c r="X636" s="384"/>
    </row>
    <row r="637" spans="1:24">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67"/>
      <c r="P637" s="505"/>
      <c r="T637" s="385"/>
      <c r="U637" s="382"/>
      <c r="V637" s="382"/>
      <c r="W637" s="382"/>
      <c r="X637" s="384"/>
    </row>
    <row r="638" spans="1:24">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67"/>
      <c r="P638" s="505"/>
      <c r="T638" s="385"/>
      <c r="U638" s="382"/>
      <c r="V638" s="382"/>
      <c r="W638" s="382"/>
      <c r="X638" s="384"/>
    </row>
    <row r="639" spans="1:24">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67"/>
      <c r="P639" s="505"/>
      <c r="T639" s="385"/>
      <c r="U639" s="382"/>
      <c r="V639" s="382"/>
      <c r="W639" s="382"/>
      <c r="X639" s="384"/>
    </row>
    <row r="640" spans="1:24">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64"/>
      <c r="P640" s="505"/>
      <c r="T640" s="385"/>
      <c r="U640" s="382"/>
      <c r="V640" s="382"/>
      <c r="W640" s="382"/>
      <c r="X640" s="384"/>
    </row>
    <row r="641" spans="1:24">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64"/>
      <c r="P641" s="505"/>
      <c r="T641" s="385"/>
      <c r="U641" s="382"/>
      <c r="V641" s="382"/>
      <c r="W641" s="382"/>
      <c r="X641" s="384"/>
    </row>
    <row r="642" spans="1:24">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64"/>
      <c r="P642" s="505"/>
      <c r="T642" s="385"/>
      <c r="U642" s="382"/>
      <c r="V642" s="382"/>
      <c r="W642" s="382"/>
      <c r="X642" s="384"/>
    </row>
    <row r="643" spans="1:24">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64"/>
      <c r="P643" s="505"/>
      <c r="T643" s="385"/>
      <c r="U643" s="382"/>
      <c r="V643" s="382"/>
      <c r="W643" s="382"/>
      <c r="X643" s="384"/>
    </row>
    <row r="644" spans="1:24">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64"/>
      <c r="P644" s="505"/>
      <c r="T644" s="385"/>
      <c r="U644" s="382"/>
      <c r="V644" s="382"/>
      <c r="W644" s="382"/>
      <c r="X644" s="384"/>
    </row>
    <row r="645" spans="1:24">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64"/>
      <c r="P645" s="505"/>
      <c r="T645" s="385"/>
      <c r="U645" s="382"/>
      <c r="V645" s="382"/>
      <c r="W645" s="382"/>
      <c r="X645" s="384"/>
    </row>
    <row r="646" spans="1:24">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64"/>
      <c r="P646" s="505"/>
      <c r="T646" s="385"/>
      <c r="U646" s="382"/>
      <c r="V646" s="382"/>
      <c r="W646" s="382"/>
      <c r="X646" s="384"/>
    </row>
    <row r="647" spans="1:24">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64"/>
      <c r="P647" s="505"/>
      <c r="T647" s="385"/>
      <c r="U647" s="382"/>
      <c r="V647" s="382"/>
      <c r="W647" s="382"/>
      <c r="X647" s="384"/>
    </row>
    <row r="648" spans="1:24">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64"/>
      <c r="P648" s="505"/>
      <c r="T648" s="385"/>
      <c r="U648" s="382"/>
      <c r="V648" s="382"/>
      <c r="W648" s="382"/>
      <c r="X648" s="384"/>
    </row>
    <row r="649" spans="1:24">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64"/>
      <c r="P649" s="505"/>
      <c r="T649" s="385"/>
      <c r="U649" s="382"/>
      <c r="V649" s="382"/>
      <c r="W649" s="382"/>
      <c r="X649" s="384"/>
    </row>
    <row r="650" spans="1:24">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64"/>
      <c r="P650" s="505"/>
      <c r="T650" s="385"/>
      <c r="U650" s="382"/>
      <c r="V650" s="382"/>
      <c r="W650" s="382"/>
      <c r="X650" s="384"/>
    </row>
    <row r="651" spans="1:24">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64"/>
      <c r="P651" s="505"/>
      <c r="T651" s="385"/>
      <c r="U651" s="382"/>
      <c r="V651" s="382"/>
      <c r="W651" s="382"/>
      <c r="X651" s="384"/>
    </row>
    <row r="652" spans="1:24">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64"/>
      <c r="P652" s="505"/>
      <c r="T652" s="385"/>
      <c r="U652" s="382"/>
      <c r="V652" s="382"/>
      <c r="W652" s="382"/>
      <c r="X652" s="384"/>
    </row>
    <row r="653" spans="1:24">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64"/>
      <c r="P653" s="505"/>
      <c r="T653" s="385"/>
      <c r="U653" s="382"/>
      <c r="V653" s="382"/>
      <c r="W653" s="382"/>
      <c r="X653" s="384"/>
    </row>
    <row r="654" spans="1:24">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64"/>
      <c r="P654" s="505"/>
      <c r="T654" s="385"/>
      <c r="U654" s="382"/>
      <c r="V654" s="382"/>
      <c r="W654" s="382"/>
      <c r="X654" s="384"/>
    </row>
    <row r="655" spans="1:24">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64"/>
      <c r="P655" s="505"/>
      <c r="T655" s="385"/>
      <c r="U655" s="382"/>
      <c r="V655" s="382"/>
      <c r="W655" s="382"/>
      <c r="X655" s="384"/>
    </row>
    <row r="656" spans="1:24">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03"/>
      <c r="P656" s="505"/>
      <c r="T656" s="385"/>
      <c r="U656" s="382"/>
      <c r="V656" s="382"/>
      <c r="W656" s="382"/>
      <c r="X656" s="384"/>
    </row>
    <row r="657" spans="1:24">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03"/>
      <c r="P657" s="505"/>
      <c r="T657" s="385"/>
      <c r="U657" s="382"/>
      <c r="V657" s="382"/>
      <c r="W657" s="382"/>
      <c r="X657" s="384"/>
    </row>
    <row r="658" spans="1:24">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03"/>
      <c r="P658" s="505"/>
      <c r="T658" s="385"/>
      <c r="U658" s="382"/>
      <c r="V658" s="382"/>
      <c r="W658" s="382"/>
      <c r="X658" s="384"/>
    </row>
    <row r="659" spans="1:24">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03"/>
      <c r="P659" s="505"/>
      <c r="T659" s="385"/>
      <c r="U659" s="382"/>
      <c r="V659" s="382"/>
      <c r="W659" s="382"/>
      <c r="X659" s="384"/>
    </row>
    <row r="660" spans="1:24">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03"/>
      <c r="P660" s="505"/>
      <c r="T660" s="385"/>
      <c r="U660" s="382"/>
      <c r="V660" s="382"/>
      <c r="W660" s="382"/>
      <c r="X660" s="384"/>
    </row>
    <row r="661" spans="1:24">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03"/>
      <c r="P661" s="505"/>
      <c r="T661" s="385"/>
      <c r="U661" s="382"/>
      <c r="V661" s="382"/>
      <c r="W661" s="382"/>
      <c r="X661" s="384"/>
    </row>
    <row r="662" spans="1:24">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03"/>
      <c r="P662" s="505"/>
      <c r="T662" s="385"/>
      <c r="U662" s="382"/>
      <c r="V662" s="382"/>
      <c r="W662" s="382"/>
      <c r="X662" s="384"/>
    </row>
    <row r="663" spans="1:24">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03"/>
      <c r="P663" s="505"/>
      <c r="T663" s="385"/>
      <c r="U663" s="382"/>
      <c r="V663" s="382"/>
      <c r="W663" s="382"/>
      <c r="X663" s="384"/>
    </row>
    <row r="664" spans="1:24">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505"/>
      <c r="T693" s="385"/>
      <c r="U693" s="382"/>
      <c r="V693" s="382"/>
      <c r="W693" s="382"/>
      <c r="X693" s="384"/>
    </row>
    <row r="694" spans="1:24">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505"/>
      <c r="T694" s="385"/>
      <c r="U694" s="382"/>
      <c r="V694" s="382"/>
      <c r="W694" s="382"/>
      <c r="X694" s="384"/>
    </row>
    <row r="695" spans="1:24">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505"/>
      <c r="T695" s="385"/>
      <c r="U695" s="382"/>
      <c r="V695" s="382"/>
      <c r="W695" s="382"/>
      <c r="X695" s="384"/>
    </row>
    <row r="696" spans="1:24">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505"/>
      <c r="T696" s="385"/>
      <c r="U696" s="382"/>
      <c r="V696" s="382"/>
      <c r="W696" s="382"/>
      <c r="X696" s="384"/>
    </row>
    <row r="697" spans="1:24">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505"/>
      <c r="T697" s="385"/>
      <c r="U697" s="382"/>
      <c r="V697" s="382"/>
      <c r="W697" s="382"/>
      <c r="X697" s="384"/>
    </row>
    <row r="698" spans="1:24">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505"/>
      <c r="T698" s="385"/>
      <c r="U698" s="382"/>
      <c r="V698" s="382"/>
      <c r="W698" s="382"/>
      <c r="X698" s="384"/>
    </row>
    <row r="699" spans="1:24">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505"/>
      <c r="T699" s="385"/>
      <c r="U699" s="382"/>
      <c r="V699" s="382"/>
      <c r="W699" s="382"/>
      <c r="X699" s="384"/>
    </row>
    <row r="700" spans="1:24">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505"/>
      <c r="T700" s="385"/>
      <c r="U700" s="382"/>
      <c r="V700" s="382"/>
      <c r="W700" s="382"/>
      <c r="X700" s="384"/>
    </row>
    <row r="701" spans="1:24">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505"/>
      <c r="T701" s="385"/>
      <c r="U701" s="382"/>
      <c r="V701" s="382"/>
      <c r="W701" s="382"/>
      <c r="X701" s="384"/>
    </row>
    <row r="702" spans="1:24">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505"/>
      <c r="T702" s="385"/>
      <c r="U702" s="382"/>
      <c r="V702" s="382"/>
      <c r="W702" s="382"/>
      <c r="X702" s="384"/>
    </row>
    <row r="703" spans="1:24">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505"/>
      <c r="T703" s="385"/>
      <c r="U703" s="382"/>
      <c r="V703" s="382"/>
      <c r="W703" s="382"/>
      <c r="X703" s="384"/>
    </row>
    <row r="704" spans="1:24">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505"/>
      <c r="T704" s="385"/>
      <c r="U704" s="382"/>
      <c r="V704" s="382"/>
      <c r="W704" s="382"/>
      <c r="X704" s="384"/>
    </row>
    <row r="705" spans="1:24">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505"/>
      <c r="T705" s="385"/>
      <c r="U705" s="382"/>
      <c r="V705" s="382"/>
      <c r="W705" s="382"/>
      <c r="X705" s="384"/>
    </row>
    <row r="706" spans="1:24">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505"/>
      <c r="T706" s="385"/>
      <c r="U706" s="382"/>
      <c r="V706" s="382"/>
      <c r="W706" s="382"/>
      <c r="X706" s="384"/>
    </row>
    <row r="707" spans="1:24">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505"/>
      <c r="T707" s="385"/>
      <c r="U707" s="382"/>
      <c r="V707" s="382"/>
      <c r="W707" s="382"/>
      <c r="X707" s="384"/>
    </row>
    <row r="708" spans="1:24">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505"/>
      <c r="T708" s="385"/>
      <c r="U708" s="382"/>
      <c r="V708" s="382"/>
      <c r="W708" s="382"/>
      <c r="X708" s="384"/>
    </row>
    <row r="709" spans="1:24">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505"/>
      <c r="T709" s="385"/>
      <c r="U709" s="382"/>
      <c r="V709" s="382"/>
      <c r="W709" s="382"/>
      <c r="X709" s="384"/>
    </row>
    <row r="710" spans="1:24">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505"/>
      <c r="T710" s="385"/>
      <c r="U710" s="382"/>
      <c r="V710" s="382"/>
      <c r="W710" s="382"/>
      <c r="X710" s="384"/>
    </row>
    <row r="711" spans="1:24">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505"/>
      <c r="T711" s="385"/>
      <c r="U711" s="382"/>
      <c r="V711" s="382"/>
      <c r="W711" s="382"/>
      <c r="X711" s="384"/>
    </row>
    <row r="712" spans="1:24">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505"/>
      <c r="T712" s="385"/>
      <c r="U712" s="382"/>
      <c r="V712" s="382"/>
      <c r="W712" s="382"/>
      <c r="X712" s="384"/>
    </row>
    <row r="713" spans="1:24">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505"/>
      <c r="T713" s="385"/>
      <c r="U713" s="382"/>
      <c r="V713" s="382"/>
      <c r="W713" s="382"/>
      <c r="X713" s="384"/>
    </row>
    <row r="714" spans="1:24">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505"/>
      <c r="T714" s="385"/>
      <c r="U714" s="382"/>
      <c r="V714" s="382"/>
      <c r="W714" s="382"/>
      <c r="X714" s="384"/>
    </row>
    <row r="715" spans="1:24">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505"/>
      <c r="T715" s="385"/>
      <c r="U715" s="382"/>
      <c r="V715" s="382"/>
      <c r="W715" s="382"/>
      <c r="X715" s="384"/>
    </row>
    <row r="716" spans="1:24">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505"/>
      <c r="T716" s="385"/>
      <c r="U716" s="382"/>
      <c r="V716" s="382"/>
      <c r="W716" s="382"/>
      <c r="X716" s="384"/>
    </row>
    <row r="717" spans="1:24">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505"/>
      <c r="T717" s="385"/>
      <c r="U717" s="382"/>
      <c r="V717" s="382"/>
      <c r="W717" s="382"/>
      <c r="X717" s="384"/>
    </row>
    <row r="718" spans="1:24">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505"/>
      <c r="T718" s="385"/>
      <c r="U718" s="382"/>
      <c r="V718" s="382"/>
      <c r="W718" s="382"/>
      <c r="X718" s="384"/>
    </row>
    <row r="719" spans="1:24">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505"/>
      <c r="T719" s="385"/>
      <c r="U719" s="382"/>
      <c r="V719" s="382"/>
      <c r="W719" s="382"/>
      <c r="X719" s="384"/>
    </row>
    <row r="720" spans="1:24">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5"/>
      <c r="T734" s="385"/>
      <c r="U734" s="382"/>
      <c r="V734" s="382"/>
      <c r="W734" s="382"/>
      <c r="X734" s="384"/>
    </row>
    <row r="735" spans="1:24">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5"/>
      <c r="T735" s="385"/>
      <c r="U735" s="382"/>
      <c r="V735" s="382"/>
      <c r="W735" s="382"/>
      <c r="X735" s="384"/>
    </row>
    <row r="736" spans="1:24">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5"/>
      <c r="T736" s="385"/>
      <c r="U736" s="382"/>
      <c r="V736" s="382"/>
      <c r="W736" s="382"/>
      <c r="X736" s="384"/>
    </row>
    <row r="737" spans="1:24">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5"/>
      <c r="T737" s="385"/>
      <c r="U737" s="382"/>
      <c r="V737" s="382"/>
      <c r="W737" s="382"/>
      <c r="X737" s="384"/>
    </row>
    <row r="738" spans="1:24">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5"/>
      <c r="T738" s="385"/>
      <c r="U738" s="382"/>
      <c r="V738" s="382"/>
      <c r="W738" s="382"/>
      <c r="X738" s="384"/>
    </row>
    <row r="739" spans="1:24">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5"/>
      <c r="T739" s="385"/>
      <c r="U739" s="382"/>
      <c r="V739" s="382"/>
      <c r="W739" s="382"/>
      <c r="X739" s="384"/>
    </row>
    <row r="740" spans="1:24">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5"/>
      <c r="T740" s="385"/>
      <c r="U740" s="382"/>
      <c r="V740" s="382"/>
      <c r="W740" s="382"/>
      <c r="X740" s="384"/>
    </row>
    <row r="741" spans="1:24">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5"/>
      <c r="T741" s="385"/>
      <c r="U741" s="382"/>
      <c r="V741" s="382"/>
      <c r="W741" s="382"/>
      <c r="X741" s="384"/>
    </row>
    <row r="742" spans="1:24">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5"/>
      <c r="T742" s="385"/>
      <c r="U742" s="382"/>
      <c r="V742" s="382"/>
      <c r="W742" s="382"/>
      <c r="X742" s="384"/>
    </row>
    <row r="743" spans="1:24">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5"/>
      <c r="T743" s="385"/>
      <c r="U743" s="382"/>
      <c r="V743" s="382"/>
      <c r="W743" s="382"/>
      <c r="X743" s="384"/>
    </row>
    <row r="744" spans="1:24">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5"/>
      <c r="T744" s="385"/>
      <c r="U744" s="382"/>
      <c r="V744" s="382"/>
      <c r="W744" s="382"/>
      <c r="X744" s="384"/>
    </row>
    <row r="745" spans="1:24">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5"/>
      <c r="T745" s="385"/>
      <c r="U745" s="382"/>
      <c r="V745" s="382"/>
      <c r="W745" s="382"/>
      <c r="X745" s="384"/>
    </row>
    <row r="746" spans="1:24">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5"/>
      <c r="T746" s="385"/>
      <c r="U746" s="382"/>
      <c r="V746" s="382"/>
      <c r="W746" s="382"/>
      <c r="X746" s="384"/>
    </row>
    <row r="747" spans="1:24">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5"/>
      <c r="T747" s="385"/>
      <c r="U747" s="382"/>
      <c r="V747" s="382"/>
      <c r="W747" s="382"/>
      <c r="X747" s="384"/>
    </row>
    <row r="748" spans="1:24">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5"/>
      <c r="T748" s="385"/>
      <c r="U748" s="382"/>
      <c r="V748" s="382"/>
      <c r="W748" s="382"/>
      <c r="X748" s="384"/>
    </row>
    <row r="749" spans="1:24">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5"/>
      <c r="T749" s="385"/>
      <c r="U749" s="382"/>
      <c r="V749" s="382"/>
      <c r="W749" s="382"/>
      <c r="X749" s="384"/>
    </row>
    <row r="750" spans="1:24">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5"/>
      <c r="T750" s="385"/>
      <c r="U750" s="382"/>
      <c r="V750" s="382"/>
      <c r="W750" s="382"/>
      <c r="X750" s="384"/>
    </row>
    <row r="751" spans="1:24">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5"/>
      <c r="T751" s="385"/>
      <c r="U751" s="382"/>
      <c r="V751" s="382"/>
      <c r="W751" s="382"/>
      <c r="X751" s="384"/>
    </row>
    <row r="752" spans="1:24">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5"/>
      <c r="T752" s="385"/>
      <c r="U752" s="382"/>
      <c r="V752" s="382"/>
      <c r="W752" s="382"/>
      <c r="X752" s="384"/>
    </row>
    <row r="753" spans="1:24">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85"/>
      <c r="T753" s="385"/>
      <c r="U753" s="382"/>
      <c r="V753" s="382"/>
      <c r="W753" s="382"/>
      <c r="X753" s="384"/>
    </row>
    <row r="754" spans="1:24">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85"/>
      <c r="T754" s="385"/>
      <c r="U754" s="382"/>
      <c r="V754" s="382"/>
      <c r="W754" s="382"/>
      <c r="X754" s="384"/>
    </row>
    <row r="755" spans="1:24">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85"/>
      <c r="T755" s="385"/>
      <c r="U755" s="382"/>
      <c r="V755" s="382"/>
      <c r="W755" s="382"/>
      <c r="X755" s="384"/>
    </row>
    <row r="756" spans="1:24">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85"/>
      <c r="T756" s="385"/>
      <c r="U756" s="382"/>
      <c r="V756" s="382"/>
      <c r="W756" s="382"/>
      <c r="X756" s="384"/>
    </row>
    <row r="757" spans="1:24">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85"/>
      <c r="T757" s="385"/>
      <c r="U757" s="382"/>
      <c r="V757" s="382"/>
      <c r="W757" s="382"/>
      <c r="X757" s="384"/>
    </row>
    <row r="758" spans="1:24">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85"/>
      <c r="T758" s="385"/>
      <c r="U758" s="382"/>
      <c r="V758" s="382"/>
      <c r="W758" s="382"/>
      <c r="X758" s="384"/>
    </row>
    <row r="759" spans="1:24">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85"/>
      <c r="T759" s="385"/>
      <c r="U759" s="382"/>
      <c r="V759" s="382"/>
      <c r="W759" s="382"/>
      <c r="X759" s="384"/>
    </row>
    <row r="760" spans="1:24">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85"/>
      <c r="T760" s="385"/>
      <c r="U760" s="382"/>
      <c r="V760" s="382"/>
      <c r="W760" s="382"/>
      <c r="X760" s="384"/>
    </row>
    <row r="761" spans="1:24">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81"/>
      <c r="T761" s="385"/>
      <c r="U761" s="382"/>
      <c r="V761" s="382"/>
      <c r="W761" s="382"/>
      <c r="X761" s="384"/>
    </row>
    <row r="762" spans="1:24">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81"/>
      <c r="T762" s="385"/>
      <c r="U762" s="382"/>
      <c r="V762" s="382"/>
      <c r="W762" s="382"/>
      <c r="X762" s="384"/>
    </row>
    <row r="763" spans="1:24">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81"/>
      <c r="T763" s="385"/>
      <c r="U763" s="382"/>
      <c r="V763" s="382"/>
      <c r="W763" s="382"/>
      <c r="X763" s="384"/>
    </row>
    <row r="764" spans="1:24">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81"/>
      <c r="T764" s="385"/>
      <c r="U764" s="382"/>
      <c r="V764" s="382"/>
      <c r="W764" s="382"/>
      <c r="X764" s="384"/>
    </row>
    <row r="765" spans="1:24">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81"/>
      <c r="T765" s="385"/>
      <c r="U765" s="382"/>
      <c r="V765" s="382"/>
      <c r="W765" s="382"/>
      <c r="X765" s="384"/>
    </row>
    <row r="766" spans="1:24">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81"/>
      <c r="T766" s="385"/>
      <c r="U766" s="382"/>
      <c r="V766" s="382"/>
      <c r="W766" s="382"/>
      <c r="X766" s="384"/>
    </row>
    <row r="767" spans="1:24">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81"/>
      <c r="T767" s="385"/>
      <c r="U767" s="382"/>
      <c r="V767" s="382"/>
      <c r="W767" s="382"/>
      <c r="X767" s="384"/>
    </row>
    <row r="768" spans="1:24">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81"/>
      <c r="T768" s="385"/>
      <c r="U768" s="382"/>
      <c r="V768" s="382"/>
      <c r="W768" s="382"/>
      <c r="X768" s="384"/>
    </row>
    <row r="769" spans="1:24">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81"/>
      <c r="T769" s="385"/>
      <c r="U769" s="382"/>
      <c r="V769" s="382"/>
      <c r="W769" s="382"/>
      <c r="X769" s="384"/>
    </row>
    <row r="770" spans="1:24">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81"/>
      <c r="T770" s="385"/>
      <c r="U770" s="382"/>
      <c r="V770" s="382"/>
      <c r="W770" s="382"/>
      <c r="X770" s="384"/>
    </row>
    <row r="771" spans="1:24">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81"/>
      <c r="T771" s="385"/>
      <c r="U771" s="382"/>
      <c r="V771" s="382"/>
      <c r="W771" s="382"/>
      <c r="X771" s="384"/>
    </row>
    <row r="772" spans="1:24">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81"/>
      <c r="T772" s="385"/>
      <c r="U772" s="382"/>
      <c r="V772" s="382"/>
      <c r="W772" s="382"/>
      <c r="X772" s="384"/>
    </row>
    <row r="773" spans="1:24">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81"/>
      <c r="T773" s="385"/>
      <c r="U773" s="382"/>
      <c r="V773" s="382"/>
      <c r="W773" s="382"/>
      <c r="X773" s="384"/>
    </row>
    <row r="774" spans="1:24">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81"/>
      <c r="T774" s="385"/>
      <c r="U774" s="382"/>
      <c r="V774" s="382"/>
      <c r="W774" s="382"/>
      <c r="X774" s="384"/>
    </row>
    <row r="775" spans="1:24">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81"/>
      <c r="T775" s="385"/>
      <c r="U775" s="382"/>
      <c r="V775" s="382"/>
      <c r="W775" s="382"/>
      <c r="X775" s="384"/>
    </row>
    <row r="776" spans="1:24">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81"/>
      <c r="T776" s="385"/>
      <c r="U776" s="382"/>
      <c r="V776" s="382"/>
      <c r="W776" s="382"/>
      <c r="X776" s="384"/>
    </row>
    <row r="777" spans="1:24">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81"/>
      <c r="T777" s="385"/>
      <c r="U777" s="382"/>
      <c r="V777" s="382"/>
      <c r="W777" s="382"/>
      <c r="X777" s="384"/>
    </row>
    <row r="778" spans="1:24">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81"/>
      <c r="T778" s="385"/>
      <c r="U778" s="382"/>
      <c r="V778" s="382"/>
      <c r="W778" s="382"/>
      <c r="X778" s="384"/>
    </row>
    <row r="779" spans="1:24">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81"/>
      <c r="T779" s="385"/>
      <c r="U779" s="382"/>
      <c r="V779" s="382"/>
      <c r="W779" s="382"/>
      <c r="X779" s="384"/>
    </row>
    <row r="780" spans="1:24">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9"/>
      <c r="T806" s="385"/>
      <c r="U806" s="382"/>
      <c r="V806" s="382"/>
      <c r="W806" s="382"/>
      <c r="X806" s="384"/>
    </row>
    <row r="807" spans="1:24">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9"/>
      <c r="T807" s="385"/>
      <c r="U807" s="382"/>
      <c r="V807" s="382"/>
      <c r="W807" s="382"/>
      <c r="X807" s="384"/>
    </row>
    <row r="808" spans="1:24">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9"/>
      <c r="T808" s="385"/>
      <c r="U808" s="382"/>
      <c r="V808" s="382"/>
      <c r="W808" s="382"/>
      <c r="X808" s="384"/>
    </row>
    <row r="809" spans="1:24">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9"/>
      <c r="T809" s="385"/>
      <c r="U809" s="382"/>
      <c r="V809" s="382"/>
      <c r="W809" s="382"/>
      <c r="X809" s="384"/>
    </row>
    <row r="810" spans="1:24">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9"/>
      <c r="T810" s="385"/>
      <c r="U810" s="382"/>
      <c r="V810" s="382"/>
      <c r="W810" s="382"/>
      <c r="X810" s="384"/>
    </row>
    <row r="811" spans="1:24">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9"/>
      <c r="T811" s="385"/>
      <c r="U811" s="382"/>
      <c r="V811" s="382"/>
      <c r="W811" s="382"/>
      <c r="X811" s="384"/>
    </row>
    <row r="812" spans="1:24">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9"/>
      <c r="T812" s="385"/>
      <c r="U812" s="382"/>
      <c r="V812" s="382"/>
      <c r="W812" s="382"/>
      <c r="X812" s="384"/>
    </row>
    <row r="813" spans="1:24">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9"/>
      <c r="T813" s="385"/>
      <c r="U813" s="382"/>
      <c r="V813" s="382"/>
      <c r="W813" s="382"/>
      <c r="X813" s="384"/>
    </row>
    <row r="814" spans="1:24">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9"/>
      <c r="T814" s="385"/>
      <c r="U814" s="382"/>
      <c r="V814" s="382"/>
      <c r="W814" s="382"/>
      <c r="X814" s="384"/>
    </row>
    <row r="815" spans="1:24">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9"/>
      <c r="T815" s="385"/>
      <c r="U815" s="382"/>
      <c r="V815" s="382"/>
      <c r="W815" s="382"/>
      <c r="X815" s="384"/>
    </row>
    <row r="816" spans="1:24">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9"/>
      <c r="T816" s="385"/>
      <c r="U816" s="382"/>
      <c r="V816" s="382"/>
      <c r="W816" s="382"/>
      <c r="X816" s="384"/>
    </row>
    <row r="817" spans="1:24">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9"/>
      <c r="T817" s="385"/>
      <c r="U817" s="382"/>
      <c r="V817" s="382"/>
      <c r="W817" s="382"/>
      <c r="X817" s="384"/>
    </row>
    <row r="818" spans="1:24">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9"/>
      <c r="T818" s="385"/>
      <c r="U818" s="382"/>
      <c r="V818" s="382"/>
      <c r="W818" s="382"/>
      <c r="X818" s="384"/>
    </row>
    <row r="819" spans="1:24">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9"/>
      <c r="T819" s="385"/>
      <c r="U819" s="382"/>
      <c r="V819" s="382"/>
      <c r="W819" s="382"/>
      <c r="X819" s="384"/>
    </row>
    <row r="820" spans="1:24">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9"/>
      <c r="T820" s="385"/>
      <c r="U820" s="382"/>
      <c r="V820" s="382"/>
      <c r="W820" s="382"/>
      <c r="X820" s="384"/>
    </row>
    <row r="821" spans="1:24">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9"/>
      <c r="T821" s="385"/>
      <c r="U821" s="382"/>
      <c r="V821" s="382"/>
      <c r="W821" s="382"/>
      <c r="X821" s="384"/>
    </row>
    <row r="822" spans="1:24">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9"/>
      <c r="T822" s="385"/>
      <c r="U822" s="382"/>
      <c r="V822" s="382"/>
      <c r="W822" s="382"/>
      <c r="X822" s="384"/>
    </row>
    <row r="823" spans="1:24">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9"/>
      <c r="T823" s="385"/>
      <c r="U823" s="382"/>
      <c r="V823" s="382"/>
      <c r="W823" s="382"/>
      <c r="X823" s="384"/>
    </row>
    <row r="824" spans="1:24">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9"/>
      <c r="T824" s="385"/>
      <c r="U824" s="382"/>
      <c r="V824" s="382"/>
      <c r="W824" s="382"/>
      <c r="X824" s="384"/>
    </row>
    <row r="825" spans="1:24">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9"/>
      <c r="T825" s="385"/>
      <c r="U825" s="382"/>
      <c r="V825" s="382"/>
      <c r="W825" s="382"/>
      <c r="X825" s="384"/>
    </row>
    <row r="826" spans="1:24">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9"/>
      <c r="T826" s="385"/>
      <c r="U826" s="382"/>
      <c r="V826" s="382"/>
      <c r="W826" s="382"/>
      <c r="X826" s="384"/>
    </row>
    <row r="827" spans="1:24">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9"/>
      <c r="T827" s="385"/>
      <c r="U827" s="382"/>
      <c r="V827" s="382"/>
      <c r="W827" s="382"/>
      <c r="X827" s="384"/>
    </row>
    <row r="828" spans="1:24">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9"/>
      <c r="T828" s="385"/>
      <c r="U828" s="382"/>
      <c r="V828" s="382"/>
      <c r="W828" s="382"/>
      <c r="X828" s="384"/>
    </row>
    <row r="829" spans="1:24">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9"/>
      <c r="T829" s="385"/>
      <c r="U829" s="382"/>
      <c r="V829" s="382"/>
      <c r="W829" s="382"/>
      <c r="X829" s="384"/>
    </row>
    <row r="830" spans="1:24">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9"/>
      <c r="T830" s="385"/>
      <c r="U830" s="382"/>
      <c r="V830" s="382"/>
      <c r="W830" s="382"/>
      <c r="X830" s="384"/>
    </row>
    <row r="831" spans="1:24">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9"/>
      <c r="T831" s="385"/>
      <c r="U831" s="382"/>
      <c r="V831" s="382"/>
      <c r="W831" s="382"/>
      <c r="X831" s="384"/>
    </row>
    <row r="832" spans="1:24">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9"/>
      <c r="T832" s="385"/>
      <c r="U832" s="382"/>
      <c r="V832" s="382"/>
      <c r="W832" s="382"/>
      <c r="X832" s="384"/>
    </row>
    <row r="833" spans="1:24">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8"/>
      <c r="T833" s="385"/>
      <c r="U833" s="382"/>
      <c r="V833" s="382"/>
      <c r="W833" s="382"/>
      <c r="X833" s="384"/>
    </row>
    <row r="834" spans="1:24">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8"/>
      <c r="T834" s="385"/>
      <c r="U834" s="382"/>
      <c r="V834" s="382"/>
      <c r="W834" s="382"/>
      <c r="X834" s="384"/>
    </row>
    <row r="835" spans="1:24">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8"/>
      <c r="T835" s="385"/>
      <c r="U835" s="382"/>
      <c r="V835" s="382"/>
      <c r="W835" s="382"/>
      <c r="X835" s="384"/>
    </row>
    <row r="836" spans="1:24">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7"/>
      <c r="T836" s="385"/>
      <c r="U836" s="382"/>
      <c r="V836" s="382"/>
      <c r="W836" s="382"/>
      <c r="X836" s="384"/>
    </row>
    <row r="837" spans="1:24">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7"/>
      <c r="T837" s="385"/>
      <c r="U837" s="382"/>
      <c r="V837" s="382"/>
      <c r="W837" s="382"/>
      <c r="X837" s="384"/>
    </row>
    <row r="838" spans="1:24">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7"/>
      <c r="T838" s="385"/>
      <c r="U838" s="382"/>
      <c r="V838" s="382"/>
      <c r="W838" s="382"/>
      <c r="X838" s="384"/>
    </row>
    <row r="839" spans="1:24">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7"/>
      <c r="T839" s="385"/>
      <c r="U839" s="382"/>
      <c r="V839" s="382"/>
      <c r="W839" s="382"/>
      <c r="X839" s="384"/>
    </row>
    <row r="840" spans="1:24">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7"/>
      <c r="T840" s="385"/>
      <c r="U840" s="382"/>
      <c r="V840" s="382"/>
      <c r="W840" s="382"/>
      <c r="X840" s="384"/>
    </row>
    <row r="841" spans="1:24">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6"/>
      <c r="T841" s="385"/>
      <c r="U841" s="382"/>
      <c r="V841" s="382"/>
      <c r="W841" s="382"/>
      <c r="X841" s="384"/>
    </row>
    <row r="842" spans="1:24">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6"/>
      <c r="T842" s="385"/>
      <c r="U842" s="382"/>
      <c r="V842" s="382"/>
      <c r="W842" s="382"/>
      <c r="X842" s="384"/>
    </row>
    <row r="843" spans="1:24">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6"/>
      <c r="T843" s="385"/>
      <c r="U843" s="382"/>
      <c r="V843" s="382"/>
      <c r="W843" s="382"/>
      <c r="X843" s="384"/>
    </row>
    <row r="844" spans="1:24">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6"/>
      <c r="T844" s="385"/>
      <c r="U844" s="382"/>
      <c r="V844" s="382"/>
      <c r="W844" s="382"/>
      <c r="X844" s="384"/>
    </row>
    <row r="845" spans="1:24">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6"/>
      <c r="T845" s="385"/>
      <c r="U845" s="382"/>
      <c r="V845" s="382"/>
      <c r="W845" s="382"/>
      <c r="X845" s="384"/>
    </row>
    <row r="846" spans="1:24">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6"/>
      <c r="T846" s="385"/>
      <c r="U846" s="382"/>
      <c r="V846" s="382"/>
      <c r="W846" s="382"/>
      <c r="X846" s="384"/>
    </row>
    <row r="847" spans="1:24">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6"/>
      <c r="T847" s="385"/>
      <c r="U847" s="382"/>
      <c r="V847" s="382"/>
      <c r="W847" s="382"/>
      <c r="X847" s="384"/>
    </row>
    <row r="848" spans="1:24">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6"/>
      <c r="T848" s="385"/>
      <c r="U848" s="382"/>
      <c r="V848" s="382"/>
      <c r="W848" s="382"/>
      <c r="X848" s="384"/>
    </row>
    <row r="849" spans="1:24">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6"/>
      <c r="T849" s="385"/>
      <c r="U849" s="382"/>
      <c r="V849" s="382"/>
      <c r="W849" s="382"/>
      <c r="X849" s="384"/>
    </row>
    <row r="850" spans="1:24">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74"/>
      <c r="T872" s="385"/>
      <c r="U872" s="382"/>
      <c r="V872" s="382"/>
      <c r="W872" s="382"/>
      <c r="X872" s="384"/>
    </row>
    <row r="873" spans="1:24">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74"/>
      <c r="T873" s="385"/>
      <c r="U873" s="382"/>
      <c r="V873" s="382"/>
      <c r="W873" s="382"/>
      <c r="X873" s="384"/>
    </row>
    <row r="874" spans="1:24">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74"/>
      <c r="T874" s="385"/>
      <c r="U874" s="382"/>
      <c r="V874" s="382"/>
      <c r="W874" s="382"/>
      <c r="X874" s="384"/>
    </row>
    <row r="875" spans="1:24">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74"/>
      <c r="T875" s="385"/>
      <c r="U875" s="382"/>
      <c r="V875" s="382"/>
      <c r="W875" s="382"/>
      <c r="X875" s="384"/>
    </row>
    <row r="876" spans="1:24">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74"/>
      <c r="T876" s="385"/>
      <c r="U876" s="382"/>
      <c r="V876" s="382"/>
      <c r="W876" s="382"/>
      <c r="X876" s="384"/>
    </row>
    <row r="877" spans="1:24">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74"/>
      <c r="T877" s="385"/>
      <c r="U877" s="382"/>
      <c r="V877" s="382"/>
      <c r="W877" s="382"/>
      <c r="X877" s="384"/>
    </row>
    <row r="878" spans="1:24">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74"/>
      <c r="T878" s="385"/>
      <c r="U878" s="382"/>
      <c r="V878" s="382"/>
      <c r="W878" s="382"/>
      <c r="X878" s="384"/>
    </row>
    <row r="879" spans="1:24">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74"/>
      <c r="T879" s="385"/>
      <c r="U879" s="382"/>
      <c r="V879" s="382"/>
      <c r="W879" s="382"/>
      <c r="X879" s="384"/>
    </row>
    <row r="880" spans="1:24">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74"/>
      <c r="T880" s="385"/>
      <c r="U880" s="382"/>
      <c r="V880" s="382"/>
      <c r="W880" s="382"/>
      <c r="X880" s="384"/>
    </row>
    <row r="881" spans="1:24">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N881" s="465"/>
      <c r="P881" s="474"/>
      <c r="T881" s="385"/>
      <c r="U881" s="382"/>
      <c r="V881" s="382"/>
      <c r="W881" s="382"/>
      <c r="X881" s="384"/>
    </row>
    <row r="882" spans="1:24">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N882" s="465"/>
      <c r="P882" s="474"/>
      <c r="T882" s="385"/>
      <c r="U882" s="382"/>
      <c r="V882" s="382"/>
      <c r="W882" s="382"/>
      <c r="X882" s="384"/>
    </row>
    <row r="883" spans="1:24">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N883" s="465"/>
      <c r="P883" s="474"/>
      <c r="T883" s="385"/>
      <c r="U883" s="382"/>
      <c r="V883" s="382"/>
      <c r="W883" s="382"/>
      <c r="X883" s="384"/>
    </row>
    <row r="884" spans="1:24">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N884" s="465"/>
      <c r="P884" s="474"/>
      <c r="T884" s="385"/>
      <c r="U884" s="382"/>
      <c r="V884" s="382"/>
      <c r="W884" s="382"/>
      <c r="X884" s="384"/>
    </row>
    <row r="885" spans="1:24">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N885" s="465"/>
      <c r="P885" s="474"/>
      <c r="T885" s="385"/>
      <c r="U885" s="382"/>
      <c r="V885" s="382"/>
      <c r="W885" s="382"/>
      <c r="X885" s="384"/>
    </row>
    <row r="886" spans="1:24">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N886" s="465"/>
      <c r="P886" s="474"/>
      <c r="T886" s="385"/>
      <c r="U886" s="382"/>
      <c r="V886" s="382"/>
      <c r="W886" s="382"/>
      <c r="X886" s="384"/>
    </row>
    <row r="887" spans="1:24">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N887" s="465"/>
      <c r="P887" s="474"/>
      <c r="T887" s="385"/>
      <c r="U887" s="382"/>
      <c r="V887" s="382"/>
      <c r="W887" s="382"/>
      <c r="X887" s="384"/>
    </row>
    <row r="888" spans="1:24">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N888" s="465"/>
      <c r="P888" s="474"/>
      <c r="T888" s="385"/>
      <c r="U888" s="382"/>
      <c r="V888" s="382"/>
      <c r="W888" s="382"/>
      <c r="X888" s="384"/>
    </row>
    <row r="889" spans="1:24">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N889" s="465"/>
      <c r="P889" s="474"/>
      <c r="T889" s="385"/>
      <c r="U889" s="382"/>
      <c r="V889" s="382"/>
      <c r="W889" s="382"/>
      <c r="X889" s="384"/>
    </row>
    <row r="890" spans="1:24">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N890" s="465"/>
      <c r="P890" s="474"/>
      <c r="T890" s="385"/>
      <c r="U890" s="382"/>
      <c r="V890" s="382"/>
      <c r="W890" s="382"/>
      <c r="X890" s="384"/>
    </row>
    <row r="891" spans="1:24">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N891" s="465"/>
      <c r="P891" s="474"/>
      <c r="T891" s="385"/>
      <c r="U891" s="382"/>
      <c r="V891" s="382"/>
      <c r="W891" s="382"/>
      <c r="X891" s="384"/>
    </row>
    <row r="892" spans="1:24">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N892" s="465"/>
      <c r="P892" s="474"/>
      <c r="T892" s="385"/>
      <c r="U892" s="382"/>
      <c r="V892" s="382"/>
      <c r="W892" s="382"/>
      <c r="X892" s="384"/>
    </row>
    <row r="893" spans="1:24">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N893" s="465"/>
      <c r="P893" s="474"/>
      <c r="T893" s="385"/>
      <c r="U893" s="382"/>
      <c r="V893" s="382"/>
      <c r="W893" s="382"/>
      <c r="X893" s="384"/>
    </row>
    <row r="894" spans="1:24">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N894" s="465"/>
      <c r="P894" s="474"/>
      <c r="T894" s="385"/>
      <c r="U894" s="382"/>
      <c r="V894" s="382"/>
      <c r="W894" s="382"/>
      <c r="X894" s="384"/>
    </row>
    <row r="895" spans="1:24">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N895" s="465"/>
      <c r="P895" s="474"/>
      <c r="T895" s="385"/>
      <c r="U895" s="382"/>
      <c r="V895" s="382"/>
      <c r="W895" s="382"/>
      <c r="X895" s="384"/>
    </row>
    <row r="896" spans="1:24">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N896" s="465"/>
      <c r="P896" s="474"/>
      <c r="T896" s="385"/>
      <c r="U896" s="382"/>
      <c r="V896" s="382"/>
      <c r="W896" s="382"/>
      <c r="X896" s="384"/>
    </row>
    <row r="897" spans="1:24">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N897" s="465"/>
      <c r="P897" s="474"/>
      <c r="T897" s="385"/>
      <c r="U897" s="382"/>
      <c r="V897" s="382"/>
      <c r="W897" s="382"/>
      <c r="X897" s="384"/>
    </row>
    <row r="898" spans="1:24">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N898" s="465"/>
      <c r="P898" s="474"/>
      <c r="T898" s="385"/>
      <c r="U898" s="382"/>
      <c r="V898" s="382"/>
      <c r="W898" s="382"/>
      <c r="X898" s="384"/>
    </row>
    <row r="899" spans="1:24">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N899" s="465"/>
      <c r="P899" s="464"/>
      <c r="T899" s="385"/>
      <c r="U899" s="382"/>
      <c r="V899" s="382"/>
      <c r="W899" s="382"/>
      <c r="X899" s="384"/>
    </row>
    <row r="900" spans="1:24">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64"/>
      <c r="T905" s="385"/>
      <c r="U905" s="382"/>
      <c r="V905" s="382"/>
      <c r="W905" s="382"/>
      <c r="X905" s="384"/>
    </row>
    <row r="906" spans="1:24">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64"/>
      <c r="T906" s="385"/>
      <c r="U906" s="382"/>
      <c r="V906" s="382"/>
      <c r="W906" s="382"/>
      <c r="X906" s="384"/>
    </row>
    <row r="907" spans="1:24">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64"/>
      <c r="T907" s="385"/>
      <c r="U907" s="382"/>
      <c r="V907" s="382"/>
      <c r="W907" s="382"/>
      <c r="X907" s="384"/>
    </row>
    <row r="908" spans="1:24">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64"/>
      <c r="T908" s="385"/>
      <c r="U908" s="382"/>
      <c r="V908" s="382"/>
      <c r="W908" s="382"/>
      <c r="X908" s="384"/>
    </row>
    <row r="909" spans="1:24">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64"/>
      <c r="T909" s="385"/>
      <c r="U909" s="382"/>
      <c r="V909" s="382"/>
      <c r="W909" s="382"/>
      <c r="X909" s="384"/>
    </row>
    <row r="910" spans="1:24">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64"/>
      <c r="T910" s="385"/>
      <c r="U910" s="382"/>
      <c r="V910" s="382"/>
      <c r="W910" s="382"/>
      <c r="X910" s="384"/>
    </row>
    <row r="911" spans="1:24">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64"/>
      <c r="T911" s="385"/>
      <c r="U911" s="382"/>
      <c r="V911" s="382"/>
      <c r="W911" s="382"/>
      <c r="X911" s="384"/>
    </row>
    <row r="912" spans="1:24">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64"/>
      <c r="T912" s="385"/>
      <c r="U912" s="382"/>
      <c r="V912" s="382"/>
      <c r="W912" s="382"/>
      <c r="X912" s="384"/>
    </row>
    <row r="913" spans="1:24">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64"/>
      <c r="T913" s="385"/>
      <c r="U913" s="382"/>
      <c r="V913" s="382"/>
      <c r="W913" s="382"/>
      <c r="X913" s="384"/>
    </row>
    <row r="914" spans="1:24">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64"/>
      <c r="T914" s="385"/>
      <c r="U914" s="382"/>
      <c r="V914" s="382"/>
      <c r="W914" s="382"/>
      <c r="X914" s="384"/>
    </row>
    <row r="915" spans="1:24">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64"/>
      <c r="T915" s="385"/>
      <c r="U915" s="382"/>
      <c r="V915" s="382"/>
      <c r="W915" s="382"/>
      <c r="X915" s="384"/>
    </row>
    <row r="916" spans="1:24">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64"/>
      <c r="T916" s="385"/>
      <c r="U916" s="382"/>
      <c r="V916" s="382"/>
      <c r="W916" s="382"/>
      <c r="X916" s="384"/>
    </row>
    <row r="917" spans="1:24">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64"/>
      <c r="T917" s="385"/>
      <c r="U917" s="382"/>
      <c r="V917" s="382"/>
      <c r="W917" s="382"/>
      <c r="X917" s="384"/>
    </row>
    <row r="918" spans="1:24">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64"/>
      <c r="T918" s="385"/>
      <c r="U918" s="382"/>
      <c r="V918" s="382"/>
      <c r="W918" s="382"/>
      <c r="X918" s="384"/>
    </row>
    <row r="919" spans="1:24">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64"/>
      <c r="T919" s="385"/>
      <c r="U919" s="382"/>
      <c r="V919" s="382"/>
      <c r="W919" s="382"/>
      <c r="X919" s="384"/>
    </row>
    <row r="920" spans="1:24">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64"/>
      <c r="T920" s="385"/>
      <c r="U920" s="382"/>
      <c r="V920" s="382"/>
      <c r="W920" s="382"/>
      <c r="X920" s="384"/>
    </row>
    <row r="921" spans="1:24">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4"/>
      <c r="T921" s="385"/>
      <c r="U921" s="382"/>
      <c r="V921" s="382"/>
      <c r="W921" s="382"/>
      <c r="X921" s="384"/>
    </row>
    <row r="922" spans="1:24">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4"/>
      <c r="T922" s="385"/>
      <c r="U922" s="382"/>
      <c r="V922" s="382"/>
      <c r="W922" s="382"/>
      <c r="X922" s="384"/>
    </row>
    <row r="923" spans="1:24">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64"/>
      <c r="T923" s="385"/>
      <c r="U923" s="382"/>
      <c r="V923" s="382"/>
      <c r="W923" s="382"/>
      <c r="X923" s="384"/>
    </row>
    <row r="924" spans="1:24">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64"/>
      <c r="T924" s="385"/>
      <c r="U924" s="382"/>
      <c r="V924" s="382"/>
      <c r="W924" s="382"/>
      <c r="X924" s="384"/>
    </row>
    <row r="925" spans="1:24">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64"/>
      <c r="T925" s="385"/>
      <c r="U925" s="382"/>
      <c r="V925" s="382"/>
      <c r="W925" s="382"/>
      <c r="X925" s="384"/>
    </row>
    <row r="926" spans="1:24">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64"/>
      <c r="T926" s="385"/>
      <c r="U926" s="382"/>
      <c r="V926" s="382"/>
      <c r="W926" s="382"/>
      <c r="X926" s="384"/>
    </row>
    <row r="927" spans="1:24">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64"/>
      <c r="T927" s="385"/>
      <c r="U927" s="382"/>
      <c r="V927" s="382"/>
      <c r="W927" s="382"/>
      <c r="X927" s="384"/>
    </row>
    <row r="928" spans="1:24">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64"/>
      <c r="T928" s="385"/>
      <c r="U928" s="382"/>
      <c r="V928" s="382"/>
      <c r="W928" s="382"/>
      <c r="X928" s="384"/>
    </row>
    <row r="929" spans="1:24">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64"/>
      <c r="T929" s="385"/>
      <c r="U929" s="382"/>
      <c r="V929" s="382"/>
      <c r="W929" s="382"/>
      <c r="X929" s="384"/>
    </row>
    <row r="930" spans="1:24">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64"/>
      <c r="T930" s="385"/>
      <c r="U930" s="382"/>
      <c r="V930" s="382"/>
      <c r="W930" s="382"/>
      <c r="X930" s="384"/>
    </row>
    <row r="931" spans="1:24">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64"/>
      <c r="T931" s="385"/>
      <c r="U931" s="382"/>
      <c r="V931" s="382"/>
      <c r="W931" s="382"/>
      <c r="X931" s="384"/>
    </row>
    <row r="932" spans="1:24">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10"/>
      <c r="T932" s="385"/>
      <c r="U932" s="382"/>
      <c r="V932" s="382"/>
      <c r="W932" s="382"/>
      <c r="X932" s="384"/>
    </row>
    <row r="933" spans="1:24">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10"/>
      <c r="T933" s="385"/>
      <c r="U933" s="382"/>
      <c r="V933" s="382"/>
      <c r="W933" s="382"/>
      <c r="X933" s="384"/>
    </row>
    <row r="934" spans="1:24">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10"/>
      <c r="T934" s="385"/>
      <c r="U934" s="382"/>
      <c r="V934" s="382"/>
      <c r="W934" s="382"/>
      <c r="X934" s="384"/>
    </row>
    <row r="935" spans="1:24">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P935" s="410"/>
      <c r="T935" s="385"/>
      <c r="U935" s="382"/>
      <c r="V935" s="382"/>
      <c r="W935" s="382"/>
      <c r="X935" s="384"/>
    </row>
    <row r="936" spans="1:24">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P936" s="410"/>
      <c r="T936" s="385"/>
      <c r="U936" s="382"/>
      <c r="V936" s="382"/>
      <c r="W936" s="382"/>
      <c r="X936" s="384"/>
    </row>
    <row r="937" spans="1:24">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P937" s="410"/>
      <c r="T937" s="385"/>
      <c r="U937" s="382"/>
      <c r="V937" s="382"/>
      <c r="W937" s="382"/>
      <c r="X937" s="384"/>
    </row>
    <row r="938" spans="1:24">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P938" s="410"/>
      <c r="T938" s="385"/>
      <c r="U938" s="382"/>
      <c r="V938" s="382"/>
      <c r="W938" s="382"/>
      <c r="X938" s="384"/>
    </row>
    <row r="939" spans="1:24">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P939" s="410"/>
      <c r="T939" s="385"/>
      <c r="U939" s="382"/>
      <c r="V939" s="382"/>
      <c r="W939" s="382"/>
      <c r="X939" s="384"/>
    </row>
    <row r="940" spans="1:24">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P940" s="410"/>
      <c r="T940" s="385"/>
      <c r="U940" s="382"/>
      <c r="V940" s="382"/>
      <c r="W940" s="382"/>
      <c r="X940" s="384"/>
    </row>
    <row r="941" spans="1:24">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P941" s="410"/>
      <c r="T941" s="385"/>
      <c r="U941" s="382"/>
      <c r="V941" s="382"/>
      <c r="W941" s="382"/>
      <c r="X941" s="384"/>
    </row>
    <row r="942" spans="1:24">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P942" s="465"/>
      <c r="T942" s="385"/>
      <c r="U942" s="382"/>
      <c r="V942" s="382"/>
      <c r="W942" s="382"/>
      <c r="X942" s="384"/>
    </row>
    <row r="943" spans="1:24">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P943" s="465"/>
      <c r="T943" s="385"/>
      <c r="U943" s="382"/>
      <c r="V943" s="382"/>
      <c r="W943" s="382"/>
      <c r="X943" s="384"/>
    </row>
    <row r="944" spans="1:24">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P944" s="465"/>
      <c r="T944" s="385"/>
      <c r="U944" s="382"/>
      <c r="V944" s="382"/>
      <c r="W944" s="382"/>
      <c r="X944" s="384"/>
    </row>
    <row r="945" spans="1:24">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P945" s="465"/>
      <c r="T945" s="385"/>
      <c r="U945" s="382"/>
      <c r="V945" s="382"/>
      <c r="W945" s="382"/>
      <c r="X945" s="384"/>
    </row>
    <row r="946" spans="1:24">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P946" s="465"/>
      <c r="T946" s="385"/>
      <c r="U946" s="382"/>
      <c r="V946" s="382"/>
      <c r="W946" s="382"/>
      <c r="X946" s="384"/>
    </row>
    <row r="947" spans="1:24">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P947" s="465"/>
      <c r="T947" s="385"/>
      <c r="U947" s="382"/>
      <c r="V947" s="382"/>
      <c r="W947" s="382"/>
      <c r="X947" s="384"/>
    </row>
    <row r="948" spans="1:24">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P948" s="465"/>
      <c r="T948" s="385"/>
      <c r="U948" s="382"/>
      <c r="V948" s="382"/>
      <c r="W948" s="382"/>
      <c r="X948" s="384"/>
    </row>
    <row r="949" spans="1:24">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P949" s="465"/>
      <c r="T949" s="385"/>
      <c r="U949" s="382"/>
      <c r="V949" s="382"/>
      <c r="W949" s="382"/>
      <c r="X949" s="384"/>
    </row>
    <row r="950" spans="1:24">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P950" s="465"/>
      <c r="T950" s="385"/>
      <c r="U950" s="382"/>
      <c r="V950" s="382"/>
      <c r="W950" s="382"/>
      <c r="X950" s="384"/>
    </row>
    <row r="951" spans="1:24">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P951" s="465"/>
      <c r="T951" s="385"/>
      <c r="U951" s="382"/>
      <c r="V951" s="382"/>
      <c r="W951" s="382"/>
      <c r="X951" s="384"/>
    </row>
    <row r="952" spans="1:24">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P952" s="465"/>
      <c r="T952" s="385"/>
      <c r="U952" s="382"/>
      <c r="V952" s="382"/>
      <c r="W952" s="382"/>
      <c r="X952" s="384"/>
    </row>
    <row r="953" spans="1:24">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P953" s="465"/>
      <c r="T953" s="385"/>
      <c r="U953" s="382"/>
      <c r="V953" s="382"/>
      <c r="W953" s="382"/>
      <c r="X953" s="384"/>
    </row>
    <row r="954" spans="1:24">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401"/>
      <c r="P954" s="465"/>
      <c r="T954" s="385"/>
      <c r="U954" s="382"/>
      <c r="V954" s="382"/>
      <c r="W954" s="382"/>
      <c r="X954" s="384"/>
    </row>
    <row r="955" spans="1:24">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98"/>
      <c r="P955" s="465"/>
      <c r="T955" s="385"/>
      <c r="U955" s="382"/>
      <c r="V955" s="382"/>
      <c r="W955" s="382"/>
      <c r="X955" s="384"/>
    </row>
    <row r="956" spans="1:24">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98"/>
      <c r="P956" s="465"/>
      <c r="T956" s="385"/>
      <c r="U956" s="382"/>
      <c r="V956" s="382"/>
      <c r="W956" s="382"/>
      <c r="X956" s="384"/>
    </row>
    <row r="957" spans="1:24">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98"/>
      <c r="P957" s="465"/>
      <c r="T957" s="385"/>
      <c r="U957" s="382"/>
      <c r="V957" s="382"/>
      <c r="W957" s="382"/>
      <c r="X957" s="384"/>
    </row>
    <row r="958" spans="1:24">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97"/>
      <c r="P958" s="465"/>
      <c r="T958" s="385"/>
      <c r="U958" s="382"/>
      <c r="V958" s="382"/>
      <c r="W958" s="382"/>
      <c r="X958" s="384"/>
    </row>
    <row r="959" spans="1:24">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96"/>
      <c r="P959" s="465"/>
      <c r="T959" s="385"/>
      <c r="U959" s="382"/>
      <c r="V959" s="382"/>
      <c r="W959" s="382"/>
      <c r="X959" s="384"/>
    </row>
    <row r="960" spans="1:24">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96"/>
      <c r="P960" s="465"/>
      <c r="T960" s="385"/>
      <c r="U960" s="382"/>
      <c r="V960" s="382"/>
      <c r="W960" s="382"/>
      <c r="X960" s="384"/>
    </row>
    <row r="961" spans="1:24">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89"/>
      <c r="P961" s="465"/>
      <c r="T961" s="385"/>
      <c r="U961" s="382"/>
      <c r="V961" s="382"/>
      <c r="W961" s="382"/>
      <c r="X961" s="384"/>
    </row>
    <row r="962" spans="1:24">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89"/>
      <c r="P962" s="465"/>
      <c r="T962" s="385"/>
      <c r="U962" s="382"/>
      <c r="V962" s="382"/>
      <c r="W962" s="382"/>
      <c r="X962" s="384"/>
    </row>
    <row r="963" spans="1:24">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89"/>
      <c r="P963" s="465"/>
      <c r="T963" s="385"/>
      <c r="U963" s="382"/>
      <c r="V963" s="382"/>
      <c r="W963" s="382"/>
      <c r="X963" s="384"/>
    </row>
    <row r="964" spans="1:24">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89"/>
      <c r="P964" s="465"/>
      <c r="T964" s="385"/>
      <c r="U964" s="382"/>
      <c r="V964" s="382"/>
      <c r="W964" s="382"/>
      <c r="X964" s="384"/>
    </row>
    <row r="965" spans="1:24">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89"/>
      <c r="P965" s="465"/>
      <c r="T965" s="385"/>
      <c r="U965" s="382"/>
      <c r="V965" s="382"/>
      <c r="W965" s="382"/>
      <c r="X965" s="384"/>
    </row>
    <row r="966" spans="1:24">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89"/>
      <c r="P966" s="465"/>
      <c r="T966" s="385"/>
      <c r="U966" s="382"/>
      <c r="V966" s="382"/>
      <c r="W966" s="382"/>
      <c r="X966" s="384"/>
    </row>
    <row r="967" spans="1:24">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89"/>
      <c r="P967" s="465"/>
      <c r="T967" s="385"/>
      <c r="U967" s="382"/>
      <c r="V967" s="382"/>
      <c r="W967" s="382"/>
      <c r="X967" s="384"/>
    </row>
    <row r="968" spans="1:24">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86"/>
      <c r="P968" s="465"/>
      <c r="T968" s="385"/>
      <c r="U968" s="382"/>
      <c r="V968" s="382"/>
      <c r="W968" s="382"/>
      <c r="X968" s="384"/>
    </row>
    <row r="969" spans="1:24">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86"/>
      <c r="P969" s="465"/>
      <c r="T969" s="385"/>
      <c r="U969" s="382"/>
      <c r="V969" s="382"/>
      <c r="W969" s="382"/>
      <c r="X969" s="384"/>
    </row>
    <row r="970" spans="1:24">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6"/>
      <c r="P970" s="465"/>
      <c r="T970" s="385"/>
      <c r="U970" s="382"/>
      <c r="V970" s="382"/>
      <c r="W970" s="382"/>
      <c r="X970" s="384"/>
    </row>
    <row r="971" spans="1:24">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6"/>
      <c r="P971" s="465"/>
      <c r="T971" s="385"/>
      <c r="U971" s="382"/>
      <c r="V971" s="382"/>
      <c r="W971" s="382"/>
      <c r="X971" s="384"/>
    </row>
    <row r="972" spans="1:24">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6"/>
      <c r="P972" s="465"/>
      <c r="T972" s="385"/>
      <c r="U972" s="382"/>
      <c r="V972" s="382"/>
      <c r="W972" s="382"/>
      <c r="X972" s="384"/>
    </row>
    <row r="973" spans="1:24">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P1151" s="465"/>
      <c r="T1151" s="385"/>
      <c r="U1151" s="382"/>
      <c r="V1151" s="382"/>
      <c r="W1151" s="382"/>
      <c r="X1151" s="384"/>
    </row>
    <row r="1152" spans="1:24">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P1152" s="465"/>
      <c r="T1152" s="385"/>
      <c r="U1152" s="382"/>
      <c r="V1152" s="382"/>
      <c r="W1152" s="382"/>
      <c r="X1152" s="384"/>
    </row>
    <row r="1153" spans="1:24">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P1153" s="465"/>
      <c r="T1153" s="385"/>
      <c r="U1153" s="382"/>
      <c r="V1153" s="382"/>
      <c r="W1153" s="382"/>
      <c r="X1153" s="384"/>
    </row>
    <row r="1154" spans="1:24">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P1154" s="465"/>
      <c r="T1154" s="385"/>
      <c r="U1154" s="382"/>
      <c r="V1154" s="382"/>
      <c r="W1154" s="382"/>
      <c r="X1154" s="384"/>
    </row>
    <row r="1155" spans="1:24">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P1155" s="465"/>
      <c r="T1155" s="385"/>
      <c r="U1155" s="382"/>
      <c r="V1155" s="382"/>
      <c r="W1155" s="382"/>
      <c r="X1155" s="384"/>
    </row>
    <row r="1156" spans="1:24">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P1156" s="465"/>
      <c r="T1156" s="385"/>
      <c r="U1156" s="382"/>
      <c r="V1156" s="382"/>
      <c r="W1156" s="382"/>
      <c r="X1156" s="384"/>
    </row>
    <row r="1157" spans="1:24">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P1157" s="465"/>
      <c r="T1157" s="385"/>
      <c r="U1157" s="382"/>
      <c r="V1157" s="382"/>
      <c r="W1157" s="382"/>
      <c r="X1157" s="384"/>
    </row>
    <row r="1158" spans="1:24">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P1158" s="465"/>
      <c r="T1158" s="385"/>
      <c r="U1158" s="382"/>
      <c r="V1158" s="382"/>
      <c r="W1158" s="382"/>
      <c r="X1158" s="384"/>
    </row>
    <row r="1159" spans="1:24">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P1159" s="465"/>
      <c r="T1159" s="385"/>
      <c r="U1159" s="382"/>
      <c r="V1159" s="382"/>
      <c r="W1159" s="382"/>
      <c r="X1159" s="384"/>
    </row>
    <row r="1160" spans="1:24">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P1160" s="465"/>
      <c r="T1160" s="385"/>
      <c r="U1160" s="382"/>
      <c r="V1160" s="382"/>
      <c r="W1160" s="382"/>
      <c r="X1160" s="384"/>
    </row>
    <row r="1161" spans="1:24">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P1161" s="465"/>
      <c r="T1161" s="385"/>
      <c r="U1161" s="382"/>
      <c r="V1161" s="382"/>
      <c r="W1161" s="382"/>
      <c r="X1161" s="384"/>
    </row>
    <row r="1162" spans="1:24">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P1162" s="465"/>
      <c r="T1162" s="385"/>
      <c r="U1162" s="382"/>
      <c r="V1162" s="382"/>
      <c r="W1162" s="382"/>
      <c r="X1162" s="384"/>
    </row>
    <row r="1163" spans="1:24">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P1163" s="465"/>
      <c r="T1163" s="385"/>
      <c r="U1163" s="382"/>
      <c r="V1163" s="382"/>
      <c r="W1163" s="382"/>
      <c r="X1163" s="384"/>
    </row>
    <row r="1164" spans="1:24">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P1164" s="465"/>
      <c r="T1164" s="385"/>
      <c r="U1164" s="382"/>
      <c r="V1164" s="382"/>
      <c r="W1164" s="382"/>
      <c r="X1164" s="384"/>
    </row>
    <row r="1165" spans="1:24">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P1165" s="465"/>
      <c r="T1165" s="385"/>
      <c r="U1165" s="382"/>
      <c r="V1165" s="382"/>
      <c r="W1165" s="382"/>
      <c r="X1165" s="384"/>
    </row>
    <row r="1166" spans="1:24">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P1166" s="465"/>
      <c r="T1166" s="385"/>
      <c r="U1166" s="382"/>
      <c r="V1166" s="382"/>
      <c r="W1166" s="382"/>
      <c r="X1166" s="384"/>
    </row>
    <row r="1167" spans="1:24">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P1167" s="465"/>
      <c r="T1167" s="385"/>
      <c r="U1167" s="382"/>
      <c r="V1167" s="382"/>
      <c r="W1167" s="382"/>
      <c r="X1167" s="384"/>
    </row>
    <row r="1168" spans="1:24">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P1168" s="465"/>
      <c r="T1168" s="385"/>
      <c r="U1168" s="382"/>
      <c r="V1168" s="382"/>
      <c r="W1168" s="382"/>
      <c r="X1168" s="384"/>
    </row>
    <row r="1169" spans="1:24">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P1169" s="465"/>
      <c r="T1169" s="385"/>
      <c r="U1169" s="382"/>
      <c r="V1169" s="382"/>
      <c r="W1169" s="382"/>
      <c r="X1169" s="384"/>
    </row>
    <row r="1170" spans="1:24">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P1170" s="465"/>
      <c r="T1170" s="385"/>
      <c r="U1170" s="382"/>
      <c r="V1170" s="382"/>
      <c r="W1170" s="382"/>
      <c r="X1170" s="384"/>
    </row>
    <row r="1171" spans="1:24">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P1171" s="465"/>
      <c r="T1171" s="385"/>
      <c r="U1171" s="382"/>
      <c r="V1171" s="382"/>
      <c r="W1171" s="382"/>
      <c r="X1171" s="384"/>
    </row>
    <row r="1172" spans="1:24">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P1172" s="465"/>
      <c r="T1172" s="385"/>
      <c r="U1172" s="382"/>
      <c r="V1172" s="382"/>
      <c r="W1172" s="382"/>
      <c r="X1172" s="384"/>
    </row>
    <row r="1173" spans="1:24">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P1173" s="465"/>
      <c r="T1173" s="385"/>
      <c r="U1173" s="382"/>
      <c r="V1173" s="382"/>
      <c r="W1173" s="382"/>
      <c r="X1173" s="384"/>
    </row>
    <row r="1174" spans="1:24">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P1174" s="465"/>
      <c r="T1174" s="385"/>
      <c r="U1174" s="382"/>
      <c r="V1174" s="382"/>
      <c r="W1174" s="382"/>
      <c r="X1174" s="384"/>
    </row>
    <row r="1175" spans="1:24">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P1175" s="465"/>
      <c r="T1175" s="385"/>
      <c r="U1175" s="382"/>
      <c r="V1175" s="382"/>
      <c r="W1175" s="382"/>
      <c r="X1175" s="384"/>
    </row>
    <row r="1176" spans="1:24">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P1176" s="465"/>
      <c r="T1176" s="385"/>
      <c r="U1176" s="382"/>
      <c r="V1176" s="382"/>
      <c r="W1176" s="382"/>
      <c r="X1176" s="384"/>
    </row>
    <row r="1177" spans="1:24">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P1177" s="465"/>
      <c r="T1177" s="385"/>
      <c r="U1177" s="382"/>
      <c r="V1177" s="382"/>
      <c r="W1177" s="382"/>
      <c r="X1177" s="384"/>
    </row>
    <row r="1178" spans="1:24">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T1205" s="385"/>
      <c r="U1205" s="382"/>
      <c r="V1205" s="382"/>
      <c r="W1205" s="382"/>
      <c r="X1205" s="384"/>
    </row>
    <row r="1206" spans="1:24">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T1206" s="385"/>
      <c r="U1206" s="382"/>
      <c r="V1206" s="382"/>
      <c r="W1206" s="382"/>
      <c r="X1206" s="384"/>
    </row>
    <row r="1207" spans="1:24">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T1207" s="385"/>
      <c r="U1207" s="382"/>
      <c r="V1207" s="382"/>
      <c r="W1207" s="382"/>
      <c r="X1207" s="384"/>
    </row>
    <row r="1208" spans="1:24">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T1208" s="385"/>
      <c r="U1208" s="382"/>
      <c r="V1208" s="382"/>
      <c r="W1208" s="382"/>
      <c r="X1208" s="384"/>
    </row>
    <row r="1209" spans="1:24">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T1209" s="385"/>
      <c r="U1209" s="382"/>
      <c r="V1209" s="382"/>
      <c r="W1209" s="382"/>
      <c r="X1209" s="384"/>
    </row>
    <row r="1210" spans="1:24">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T1210" s="385"/>
      <c r="U1210" s="382"/>
      <c r="V1210" s="382"/>
      <c r="W1210" s="382"/>
      <c r="X1210" s="384"/>
    </row>
    <row r="1211" spans="1:24">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T1211" s="385"/>
      <c r="U1211" s="382"/>
      <c r="V1211" s="382"/>
      <c r="W1211" s="382"/>
      <c r="X1211" s="384"/>
    </row>
    <row r="1212" spans="1:24">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T1212" s="385"/>
      <c r="U1212" s="382"/>
      <c r="V1212" s="382"/>
      <c r="W1212" s="382"/>
      <c r="X1212" s="384"/>
    </row>
    <row r="1213" spans="1:24">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T1213" s="385"/>
      <c r="U1213" s="382"/>
      <c r="V1213" s="382"/>
      <c r="W1213" s="382"/>
      <c r="X1213" s="384"/>
    </row>
    <row r="1214" spans="1:24">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T1214" s="385"/>
      <c r="U1214" s="382"/>
      <c r="V1214" s="382"/>
      <c r="W1214" s="382"/>
      <c r="X1214" s="384"/>
    </row>
    <row r="1215" spans="1:24">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T1215" s="385"/>
      <c r="U1215" s="382"/>
      <c r="V1215" s="382"/>
      <c r="W1215" s="382"/>
      <c r="X1215" s="384"/>
    </row>
    <row r="1216" spans="1:24">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T1216" s="385"/>
      <c r="U1216" s="382"/>
      <c r="V1216" s="382"/>
      <c r="W1216" s="382"/>
      <c r="X1216" s="384"/>
    </row>
    <row r="1217" spans="1:24">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T1217" s="385"/>
      <c r="U1217" s="382"/>
      <c r="V1217" s="382"/>
      <c r="W1217" s="382"/>
      <c r="X1217" s="384"/>
    </row>
    <row r="1218" spans="1:24">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T1218" s="385"/>
      <c r="U1218" s="382"/>
      <c r="V1218" s="382"/>
      <c r="W1218" s="382"/>
      <c r="X1218" s="384"/>
    </row>
    <row r="1219" spans="1:24">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T1219" s="385"/>
      <c r="U1219" s="382"/>
      <c r="V1219" s="382"/>
      <c r="W1219" s="382"/>
      <c r="X1219" s="384"/>
    </row>
    <row r="1220" spans="1:24">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T1220" s="385"/>
      <c r="U1220" s="382"/>
      <c r="V1220" s="382"/>
      <c r="W1220" s="382"/>
      <c r="X1220" s="384"/>
    </row>
    <row r="1221" spans="1:24">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T1221" s="385"/>
      <c r="U1221" s="382"/>
      <c r="V1221" s="382"/>
      <c r="W1221" s="382"/>
      <c r="X1221" s="384"/>
    </row>
    <row r="1222" spans="1:24">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T1222" s="385"/>
      <c r="U1222" s="382"/>
      <c r="V1222" s="382"/>
      <c r="W1222" s="382"/>
      <c r="X1222" s="384"/>
    </row>
    <row r="1223" spans="1:24">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T1223" s="385"/>
      <c r="U1223" s="382"/>
      <c r="V1223" s="382"/>
      <c r="W1223" s="382"/>
      <c r="X1223" s="384"/>
    </row>
    <row r="1224" spans="1:24">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T1224" s="385"/>
      <c r="U1224" s="382"/>
      <c r="V1224" s="382"/>
      <c r="W1224" s="382"/>
      <c r="X1224" s="384"/>
    </row>
    <row r="1225" spans="1:24">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T1225" s="385"/>
      <c r="U1225" s="382"/>
      <c r="V1225" s="382"/>
      <c r="W1225" s="382"/>
      <c r="X1225" s="384"/>
    </row>
    <row r="1226" spans="1:24">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T1226" s="385"/>
      <c r="U1226" s="382"/>
      <c r="V1226" s="382"/>
      <c r="W1226" s="382"/>
      <c r="X1226" s="384"/>
    </row>
    <row r="1227" spans="1:24">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T1227" s="385"/>
      <c r="U1227" s="382"/>
      <c r="V1227" s="382"/>
      <c r="W1227" s="382"/>
      <c r="X1227" s="384"/>
    </row>
    <row r="1228" spans="1:24">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T1228" s="385"/>
      <c r="U1228" s="382"/>
      <c r="V1228" s="382"/>
      <c r="W1228" s="382"/>
      <c r="X1228" s="384"/>
    </row>
    <row r="1229" spans="1:24">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T1229" s="385"/>
      <c r="U1229" s="382"/>
      <c r="V1229" s="382"/>
      <c r="W1229" s="382"/>
      <c r="X1229" s="384"/>
    </row>
    <row r="1230" spans="1:24">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T1230" s="385"/>
      <c r="U1230" s="382"/>
      <c r="V1230" s="382"/>
      <c r="W1230" s="382"/>
      <c r="X1230" s="384"/>
    </row>
    <row r="1231" spans="1:24">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T1231" s="385"/>
      <c r="U1231" s="382"/>
      <c r="V1231" s="382"/>
      <c r="W1231" s="382"/>
      <c r="X1231" s="384"/>
    </row>
    <row r="1232" spans="1:24">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9"/>
      <c r="T1232" s="385"/>
      <c r="U1232" s="382"/>
      <c r="V1232" s="382"/>
      <c r="W1232" s="382"/>
      <c r="X1232" s="384"/>
    </row>
    <row r="1233" spans="1:24">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9"/>
      <c r="T1233" s="385"/>
      <c r="U1233" s="382"/>
      <c r="V1233" s="382"/>
      <c r="W1233" s="382"/>
      <c r="X1233" s="384"/>
    </row>
    <row r="1234" spans="1:24">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9"/>
      <c r="T1234" s="385"/>
      <c r="U1234" s="382"/>
      <c r="V1234" s="382"/>
      <c r="W1234" s="382"/>
      <c r="X1234" s="384"/>
    </row>
    <row r="1235" spans="1:24">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9"/>
      <c r="T1235" s="385"/>
      <c r="U1235" s="382"/>
      <c r="V1235" s="382"/>
      <c r="W1235" s="382"/>
      <c r="X1235" s="384"/>
    </row>
    <row r="1236" spans="1:24">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9"/>
      <c r="T1236" s="385"/>
      <c r="U1236" s="382"/>
      <c r="V1236" s="382"/>
      <c r="W1236" s="382"/>
      <c r="X1236" s="384"/>
    </row>
    <row r="1237" spans="1:24">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9"/>
      <c r="T1237" s="385"/>
      <c r="U1237" s="382"/>
      <c r="V1237" s="382"/>
      <c r="W1237" s="382"/>
      <c r="X1237" s="384"/>
    </row>
    <row r="1238" spans="1:24">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9"/>
      <c r="T1238" s="385"/>
      <c r="U1238" s="382"/>
      <c r="V1238" s="382"/>
      <c r="W1238" s="382"/>
      <c r="X1238" s="384"/>
    </row>
    <row r="1239" spans="1:24">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9"/>
      <c r="T1239" s="385"/>
      <c r="U1239" s="382"/>
      <c r="V1239" s="382"/>
      <c r="W1239" s="382"/>
      <c r="X1239" s="384"/>
    </row>
    <row r="1240" spans="1:24">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9"/>
      <c r="T1240" s="385"/>
      <c r="U1240" s="382"/>
      <c r="V1240" s="382"/>
      <c r="W1240" s="382"/>
      <c r="X1240" s="384"/>
    </row>
    <row r="1241" spans="1:24">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9"/>
      <c r="T1241" s="385"/>
      <c r="U1241" s="382"/>
      <c r="V1241" s="382"/>
      <c r="W1241" s="382"/>
      <c r="X1241" s="384"/>
    </row>
    <row r="1242" spans="1:24">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9"/>
      <c r="T1242" s="385"/>
      <c r="U1242" s="382"/>
      <c r="V1242" s="382"/>
      <c r="W1242" s="382"/>
      <c r="X1242" s="384"/>
    </row>
    <row r="1243" spans="1:24">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9"/>
      <c r="T1243" s="385"/>
      <c r="U1243" s="382"/>
      <c r="V1243" s="382"/>
      <c r="W1243" s="382"/>
      <c r="X1243" s="384"/>
    </row>
    <row r="1244" spans="1:24">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9"/>
      <c r="T1244" s="385"/>
      <c r="U1244" s="382"/>
      <c r="V1244" s="382"/>
      <c r="W1244" s="382"/>
      <c r="X1244" s="384"/>
    </row>
    <row r="1245" spans="1:24">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9"/>
      <c r="T1245" s="385"/>
      <c r="U1245" s="382"/>
      <c r="V1245" s="382"/>
      <c r="W1245" s="382"/>
      <c r="X1245" s="384"/>
    </row>
    <row r="1246" spans="1:24">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8"/>
      <c r="T1246" s="385"/>
      <c r="U1246" s="382"/>
      <c r="V1246" s="382"/>
      <c r="W1246" s="382"/>
      <c r="X1246" s="384"/>
    </row>
    <row r="1247" spans="1:24">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8"/>
      <c r="T1247" s="385"/>
      <c r="U1247" s="382"/>
      <c r="V1247" s="382"/>
      <c r="W1247" s="382"/>
      <c r="X1247" s="384"/>
    </row>
    <row r="1248" spans="1:24">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8"/>
      <c r="T1248" s="385"/>
      <c r="U1248" s="382"/>
      <c r="V1248" s="382"/>
      <c r="W1248" s="382"/>
      <c r="X1248" s="384"/>
    </row>
    <row r="1249" spans="1:24">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8"/>
      <c r="T1249" s="385"/>
      <c r="U1249" s="382"/>
      <c r="V1249" s="382"/>
      <c r="W1249" s="382"/>
      <c r="X1249" s="384"/>
    </row>
    <row r="1250" spans="1:24">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8"/>
      <c r="T1250" s="385"/>
      <c r="U1250" s="382"/>
      <c r="V1250" s="382"/>
      <c r="W1250" s="382"/>
      <c r="X1250" s="384"/>
    </row>
    <row r="1251" spans="1:24">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8"/>
      <c r="T1251" s="385"/>
      <c r="U1251" s="382"/>
      <c r="V1251" s="382"/>
      <c r="W1251" s="382"/>
      <c r="X1251" s="384"/>
    </row>
    <row r="1252" spans="1:24">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8"/>
      <c r="T1252" s="385"/>
      <c r="U1252" s="382"/>
      <c r="V1252" s="382"/>
      <c r="W1252" s="382"/>
      <c r="X1252" s="384"/>
    </row>
    <row r="1253" spans="1:24">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8"/>
      <c r="T1253" s="385"/>
      <c r="U1253" s="382"/>
      <c r="V1253" s="382"/>
      <c r="W1253" s="382"/>
      <c r="X1253" s="384"/>
    </row>
    <row r="1254" spans="1:24">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8"/>
      <c r="T1254" s="385"/>
      <c r="U1254" s="382"/>
      <c r="V1254" s="382"/>
      <c r="W1254" s="382"/>
      <c r="X1254" s="384"/>
    </row>
    <row r="1255" spans="1:24">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8"/>
      <c r="T1255" s="385"/>
      <c r="U1255" s="382"/>
      <c r="V1255" s="382"/>
      <c r="W1255" s="382"/>
      <c r="X1255" s="384"/>
    </row>
    <row r="1256" spans="1:24">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8"/>
      <c r="T1256" s="385"/>
      <c r="U1256" s="382"/>
      <c r="V1256" s="382"/>
      <c r="W1256" s="382"/>
      <c r="X1256" s="384"/>
    </row>
    <row r="1257" spans="1:24">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8"/>
      <c r="T1257" s="385"/>
      <c r="U1257" s="382"/>
      <c r="V1257" s="382"/>
      <c r="W1257" s="382"/>
      <c r="X1257" s="384"/>
    </row>
    <row r="1258" spans="1:24">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7"/>
      <c r="T1258" s="385"/>
      <c r="U1258" s="382"/>
      <c r="V1258" s="382"/>
      <c r="W1258" s="382"/>
      <c r="X1258" s="384"/>
    </row>
    <row r="1259" spans="1:24">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7"/>
      <c r="T1259" s="385"/>
      <c r="U1259" s="382"/>
      <c r="V1259" s="382"/>
      <c r="W1259" s="382"/>
      <c r="X1259" s="384"/>
    </row>
    <row r="1260" spans="1:24">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7"/>
      <c r="T1260" s="385"/>
      <c r="U1260" s="382"/>
      <c r="V1260" s="382"/>
      <c r="W1260" s="382"/>
      <c r="X1260" s="384"/>
    </row>
    <row r="1261" spans="1:24">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7"/>
      <c r="T1261" s="385"/>
      <c r="U1261" s="382"/>
      <c r="V1261" s="382"/>
      <c r="W1261" s="382"/>
      <c r="X1261" s="384"/>
    </row>
    <row r="1262" spans="1:24">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7"/>
      <c r="T1262" s="385"/>
      <c r="U1262" s="382"/>
      <c r="V1262" s="382"/>
      <c r="W1262" s="382"/>
      <c r="X1262" s="384"/>
    </row>
    <row r="1263" spans="1:24">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6"/>
      <c r="T1263" s="385"/>
      <c r="U1263" s="382"/>
      <c r="V1263" s="382"/>
      <c r="W1263" s="382"/>
      <c r="X1263" s="384"/>
    </row>
    <row r="1264" spans="1:24">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6"/>
      <c r="T1264" s="385"/>
      <c r="U1264" s="382"/>
      <c r="V1264" s="382"/>
      <c r="W1264" s="382"/>
      <c r="X1264" s="384"/>
    </row>
    <row r="1265" spans="1:24">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6"/>
      <c r="T1265" s="385"/>
      <c r="U1265" s="382"/>
      <c r="V1265" s="382"/>
      <c r="W1265" s="382"/>
      <c r="X1265" s="384"/>
    </row>
    <row r="1266" spans="1:24">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6"/>
      <c r="T1266" s="385"/>
      <c r="U1266" s="382"/>
      <c r="V1266" s="382"/>
      <c r="W1266" s="382"/>
      <c r="X1266" s="384"/>
    </row>
    <row r="1267" spans="1:24">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6"/>
      <c r="T1267" s="385"/>
      <c r="U1267" s="382"/>
      <c r="V1267" s="382"/>
      <c r="W1267" s="382"/>
      <c r="X1267" s="384"/>
    </row>
    <row r="1268" spans="1:24">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6"/>
      <c r="T1268" s="385"/>
      <c r="U1268" s="382"/>
      <c r="V1268" s="382"/>
      <c r="W1268" s="382"/>
      <c r="X1268" s="384"/>
    </row>
    <row r="1269" spans="1:24">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6"/>
      <c r="T1269" s="385"/>
      <c r="U1269" s="382"/>
      <c r="V1269" s="382"/>
      <c r="W1269" s="382"/>
      <c r="X1269" s="384"/>
    </row>
    <row r="1270" spans="1:24">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6"/>
      <c r="T1270" s="385"/>
      <c r="U1270" s="382"/>
      <c r="V1270" s="382"/>
      <c r="W1270" s="382"/>
      <c r="X1270" s="384"/>
    </row>
    <row r="1271" spans="1:24">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6"/>
      <c r="T1271" s="385"/>
      <c r="U1271" s="382"/>
      <c r="V1271" s="382"/>
      <c r="W1271" s="382"/>
      <c r="X1271" s="384"/>
    </row>
    <row r="1272" spans="1:24">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6"/>
      <c r="T1272" s="385"/>
      <c r="U1272" s="382"/>
      <c r="V1272" s="382"/>
      <c r="W1272" s="382"/>
      <c r="X1272" s="384"/>
    </row>
    <row r="1273" spans="1:24">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6"/>
      <c r="T1273" s="385"/>
      <c r="U1273" s="382"/>
      <c r="V1273" s="382"/>
      <c r="W1273" s="382"/>
      <c r="X1273" s="384"/>
    </row>
    <row r="1274" spans="1:24">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5"/>
      <c r="T1274" s="385"/>
      <c r="U1274" s="382"/>
      <c r="V1274" s="382"/>
      <c r="W1274" s="382"/>
      <c r="X1274" s="384"/>
    </row>
    <row r="1275" spans="1:24">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5"/>
      <c r="T1275" s="385"/>
      <c r="U1275" s="382"/>
      <c r="V1275" s="382"/>
      <c r="W1275" s="382"/>
      <c r="X1275" s="384"/>
    </row>
    <row r="1276" spans="1:24">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5"/>
      <c r="T1276" s="385"/>
      <c r="U1276" s="382"/>
      <c r="V1276" s="382"/>
      <c r="W1276" s="382"/>
      <c r="X1276" s="384"/>
    </row>
    <row r="1277" spans="1:24">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401"/>
      <c r="T1373" s="385"/>
      <c r="U1373" s="382"/>
      <c r="V1373" s="382"/>
      <c r="W1373" s="382"/>
      <c r="X1373" s="384"/>
    </row>
    <row r="1374" spans="1:24">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401"/>
      <c r="T1374" s="385"/>
      <c r="U1374" s="382"/>
      <c r="V1374" s="382"/>
      <c r="W1374" s="382"/>
      <c r="X1374" s="384"/>
    </row>
    <row r="1375" spans="1:24">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401"/>
      <c r="T1375" s="385"/>
      <c r="U1375" s="382"/>
      <c r="V1375" s="382"/>
      <c r="W1375" s="382"/>
      <c r="X1375" s="384"/>
    </row>
    <row r="1376" spans="1:24">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401"/>
      <c r="T1376" s="385"/>
      <c r="U1376" s="382"/>
      <c r="V1376" s="382"/>
      <c r="W1376" s="382"/>
      <c r="X1376" s="384"/>
    </row>
    <row r="1377" spans="1:24">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401"/>
      <c r="T1377" s="385"/>
      <c r="U1377" s="382"/>
      <c r="V1377" s="382"/>
      <c r="W1377" s="382"/>
      <c r="X1377" s="384"/>
    </row>
    <row r="1378" spans="1:24">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401"/>
      <c r="T1378" s="385"/>
      <c r="U1378" s="382"/>
      <c r="V1378" s="382"/>
      <c r="W1378" s="382"/>
      <c r="X1378" s="384"/>
    </row>
    <row r="1379" spans="1:24">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401"/>
      <c r="T1379" s="385"/>
      <c r="U1379" s="382"/>
      <c r="V1379" s="382"/>
      <c r="W1379" s="382"/>
      <c r="X1379" s="384"/>
    </row>
    <row r="1380" spans="1:24">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401"/>
      <c r="T1380" s="385"/>
      <c r="U1380" s="382"/>
      <c r="V1380" s="382"/>
      <c r="W1380" s="382"/>
      <c r="X1380" s="384"/>
    </row>
    <row r="1381" spans="1:24">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401"/>
      <c r="T1381" s="385"/>
      <c r="U1381" s="382"/>
      <c r="V1381" s="382"/>
      <c r="W1381" s="382"/>
      <c r="X1381" s="384"/>
    </row>
    <row r="1382" spans="1:24">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401"/>
      <c r="T1382" s="385"/>
      <c r="U1382" s="382"/>
      <c r="V1382" s="382"/>
      <c r="W1382" s="382"/>
      <c r="X1382" s="384"/>
    </row>
    <row r="1383" spans="1:24">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401"/>
      <c r="T1383" s="385"/>
      <c r="U1383" s="382"/>
      <c r="V1383" s="382"/>
      <c r="W1383" s="382"/>
      <c r="X1383" s="384"/>
    </row>
    <row r="1384" spans="1:24">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401"/>
      <c r="T1384" s="385"/>
      <c r="U1384" s="382"/>
      <c r="V1384" s="382"/>
      <c r="W1384" s="382"/>
      <c r="X1384" s="384"/>
    </row>
    <row r="1385" spans="1:24">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401"/>
      <c r="T1385" s="385"/>
      <c r="U1385" s="382"/>
      <c r="V1385" s="382"/>
      <c r="W1385" s="382"/>
      <c r="X1385" s="384"/>
    </row>
    <row r="1386" spans="1:24">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401"/>
      <c r="T1386" s="385"/>
      <c r="U1386" s="382"/>
      <c r="V1386" s="382"/>
      <c r="W1386" s="382"/>
      <c r="X1386" s="384"/>
    </row>
    <row r="1387" spans="1:24">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401"/>
      <c r="T1387" s="385"/>
      <c r="U1387" s="382"/>
      <c r="V1387" s="382"/>
      <c r="W1387" s="382"/>
      <c r="X1387" s="384"/>
    </row>
    <row r="1388" spans="1:24">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401"/>
      <c r="T1388" s="385"/>
      <c r="U1388" s="382"/>
      <c r="V1388" s="382"/>
      <c r="W1388" s="382"/>
      <c r="X1388" s="384"/>
    </row>
    <row r="1389" spans="1:24">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401"/>
      <c r="T1389" s="385"/>
      <c r="U1389" s="382"/>
      <c r="V1389" s="382"/>
      <c r="W1389" s="382"/>
      <c r="X1389" s="384"/>
    </row>
    <row r="1390" spans="1:24">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401"/>
      <c r="T1390" s="385"/>
      <c r="U1390" s="382"/>
      <c r="V1390" s="382"/>
      <c r="W1390" s="382"/>
      <c r="X1390" s="384"/>
    </row>
    <row r="1391" spans="1:24">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401"/>
      <c r="T1391" s="385"/>
      <c r="U1391" s="382"/>
      <c r="V1391" s="382"/>
      <c r="W1391" s="382"/>
      <c r="X1391" s="384"/>
    </row>
    <row r="1392" spans="1:24">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401"/>
      <c r="T1392" s="385"/>
      <c r="U1392" s="382"/>
      <c r="V1392" s="382"/>
      <c r="W1392" s="382"/>
      <c r="X1392" s="384"/>
    </row>
    <row r="1393" spans="1:24">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401"/>
      <c r="T1393" s="385"/>
      <c r="U1393" s="382"/>
      <c r="V1393" s="382"/>
      <c r="W1393" s="382"/>
      <c r="X1393" s="384"/>
    </row>
    <row r="1394" spans="1:24">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401"/>
      <c r="T1394" s="385"/>
      <c r="U1394" s="382"/>
      <c r="V1394" s="382"/>
      <c r="W1394" s="382"/>
      <c r="X1394" s="384"/>
    </row>
    <row r="1395" spans="1:24">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401"/>
      <c r="T1395" s="385"/>
      <c r="U1395" s="382"/>
      <c r="V1395" s="382"/>
      <c r="W1395" s="382"/>
      <c r="X1395" s="384"/>
    </row>
    <row r="1396" spans="1:24">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401"/>
      <c r="T1396" s="385"/>
      <c r="U1396" s="382"/>
      <c r="V1396" s="382"/>
      <c r="W1396" s="382"/>
      <c r="X1396" s="384"/>
    </row>
    <row r="1397" spans="1:24">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401"/>
      <c r="T1397" s="385"/>
      <c r="U1397" s="382"/>
      <c r="V1397" s="382"/>
      <c r="W1397" s="382"/>
      <c r="X1397" s="384"/>
    </row>
    <row r="1398" spans="1:24">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401"/>
      <c r="T1398" s="385"/>
      <c r="U1398" s="382"/>
      <c r="V1398" s="382"/>
      <c r="W1398" s="382"/>
      <c r="X1398" s="384"/>
    </row>
    <row r="1399" spans="1:24">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401"/>
      <c r="T1399" s="385"/>
      <c r="U1399" s="382"/>
      <c r="V1399" s="382"/>
      <c r="W1399" s="382"/>
      <c r="X1399" s="384"/>
    </row>
    <row r="1400" spans="1:24">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98"/>
      <c r="T1400" s="385"/>
      <c r="U1400" s="382"/>
      <c r="V1400" s="382"/>
      <c r="W1400" s="382"/>
      <c r="X1400" s="384"/>
    </row>
    <row r="1401" spans="1:24">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98"/>
      <c r="T1401" s="385"/>
      <c r="U1401" s="382"/>
      <c r="V1401" s="382"/>
      <c r="W1401" s="382"/>
      <c r="X1401" s="384"/>
    </row>
    <row r="1402" spans="1:24">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98"/>
      <c r="T1402" s="385"/>
      <c r="U1402" s="382"/>
      <c r="V1402" s="382"/>
      <c r="W1402" s="382"/>
      <c r="X1402" s="384"/>
    </row>
    <row r="1403" spans="1:24">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98"/>
      <c r="T1403" s="385"/>
      <c r="U1403" s="382"/>
      <c r="V1403" s="382"/>
      <c r="W1403" s="382"/>
      <c r="X1403" s="384"/>
    </row>
    <row r="1404" spans="1:24">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98"/>
      <c r="T1404" s="385"/>
      <c r="U1404" s="382"/>
      <c r="V1404" s="382"/>
      <c r="W1404" s="382"/>
      <c r="X1404" s="384"/>
    </row>
    <row r="1405" spans="1:24">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98"/>
      <c r="T1405" s="385"/>
      <c r="U1405" s="382"/>
      <c r="V1405" s="382"/>
      <c r="W1405" s="382"/>
      <c r="X1405" s="384"/>
    </row>
    <row r="1406" spans="1:24">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98"/>
      <c r="T1406" s="385"/>
      <c r="U1406" s="382"/>
      <c r="V1406" s="382"/>
      <c r="W1406" s="382"/>
      <c r="X1406" s="384"/>
    </row>
    <row r="1407" spans="1:24">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98"/>
      <c r="T1407" s="385"/>
      <c r="U1407" s="382"/>
      <c r="V1407" s="382"/>
      <c r="W1407" s="382"/>
      <c r="X1407" s="384"/>
    </row>
    <row r="1408" spans="1:24">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98"/>
      <c r="T1408" s="385"/>
      <c r="U1408" s="382"/>
      <c r="V1408" s="382"/>
      <c r="W1408" s="382"/>
      <c r="X1408" s="384"/>
    </row>
    <row r="1409" spans="1:24">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9"/>
      <c r="T1446" s="385"/>
      <c r="U1446" s="382"/>
      <c r="V1446" s="382"/>
      <c r="W1446" s="382"/>
      <c r="X1446" s="384"/>
    </row>
    <row r="1447" spans="1:24">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9"/>
      <c r="T1447" s="385"/>
      <c r="U1447" s="382"/>
      <c r="V1447" s="382"/>
      <c r="W1447" s="382"/>
      <c r="X1447" s="384"/>
    </row>
    <row r="1448" spans="1:24">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9"/>
      <c r="T1448" s="385"/>
      <c r="U1448" s="382"/>
      <c r="V1448" s="382"/>
      <c r="W1448" s="382"/>
      <c r="X1448" s="384"/>
    </row>
    <row r="1449" spans="1:24">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9"/>
      <c r="T1449" s="385"/>
      <c r="U1449" s="382"/>
      <c r="V1449" s="382"/>
      <c r="W1449" s="382"/>
      <c r="X1449" s="384"/>
    </row>
    <row r="1450" spans="1:24">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89"/>
      <c r="T1450" s="385"/>
      <c r="U1450" s="382"/>
      <c r="V1450" s="382"/>
      <c r="W1450" s="382"/>
      <c r="X1450" s="384"/>
    </row>
    <row r="1451" spans="1:24">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89"/>
      <c r="T1451" s="385"/>
      <c r="U1451" s="382"/>
      <c r="V1451" s="382"/>
      <c r="W1451" s="382"/>
      <c r="X1451" s="384"/>
    </row>
    <row r="1452" spans="1:24">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89"/>
      <c r="T1452" s="385"/>
      <c r="U1452" s="382"/>
      <c r="V1452" s="382"/>
      <c r="W1452" s="382"/>
      <c r="X1452" s="384"/>
    </row>
    <row r="1453" spans="1:24">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89"/>
      <c r="T1453" s="385"/>
      <c r="U1453" s="382"/>
      <c r="V1453" s="382"/>
      <c r="W1453" s="382"/>
      <c r="X1453" s="384"/>
    </row>
    <row r="1454" spans="1:24">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89"/>
      <c r="T1454" s="385"/>
      <c r="U1454" s="382"/>
      <c r="V1454" s="382"/>
      <c r="W1454" s="382"/>
      <c r="X1454" s="384"/>
    </row>
    <row r="1455" spans="1:24">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89"/>
      <c r="T1455" s="385"/>
      <c r="U1455" s="382"/>
      <c r="V1455" s="382"/>
      <c r="W1455" s="382"/>
      <c r="X1455" s="384"/>
    </row>
    <row r="1456" spans="1:24">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89"/>
      <c r="T1456" s="385"/>
      <c r="U1456" s="382"/>
      <c r="V1456" s="382"/>
      <c r="W1456" s="382"/>
      <c r="X1456" s="384"/>
    </row>
    <row r="1457" spans="1:24">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89"/>
      <c r="T1457" s="385"/>
      <c r="U1457" s="382"/>
      <c r="V1457" s="382"/>
      <c r="W1457" s="382"/>
      <c r="X1457" s="384"/>
    </row>
    <row r="1458" spans="1:24">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89"/>
      <c r="T1458" s="385"/>
      <c r="U1458" s="382"/>
      <c r="V1458" s="382"/>
      <c r="W1458" s="382"/>
      <c r="X1458" s="384"/>
    </row>
    <row r="1459" spans="1:24">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89"/>
      <c r="T1459" s="385"/>
      <c r="U1459" s="382"/>
      <c r="V1459" s="382"/>
      <c r="W1459" s="382"/>
      <c r="X1459" s="384"/>
    </row>
    <row r="1460" spans="1:24">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89"/>
      <c r="T1460" s="385"/>
      <c r="U1460" s="382"/>
      <c r="V1460" s="382"/>
      <c r="W1460" s="382"/>
      <c r="X1460" s="384"/>
    </row>
    <row r="1461" spans="1:24">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89"/>
      <c r="T1461" s="385"/>
      <c r="U1461" s="382"/>
      <c r="V1461" s="382"/>
      <c r="W1461" s="382"/>
      <c r="X1461" s="384"/>
    </row>
    <row r="1462" spans="1:24">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89"/>
      <c r="T1462" s="385"/>
      <c r="U1462" s="382"/>
      <c r="V1462" s="382"/>
      <c r="W1462" s="382"/>
      <c r="X1462" s="384"/>
    </row>
    <row r="1463" spans="1:24">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89"/>
      <c r="T1463" s="385"/>
      <c r="U1463" s="382"/>
      <c r="V1463" s="382"/>
      <c r="W1463" s="382"/>
      <c r="X1463" s="384"/>
    </row>
    <row r="1464" spans="1:24">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89"/>
      <c r="T1464" s="385"/>
      <c r="U1464" s="382"/>
      <c r="V1464" s="382"/>
      <c r="W1464" s="382"/>
      <c r="X1464" s="384"/>
    </row>
    <row r="1465" spans="1:24">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89"/>
      <c r="T1465" s="385"/>
      <c r="U1465" s="382"/>
      <c r="V1465" s="382"/>
      <c r="W1465" s="382"/>
      <c r="X1465" s="384"/>
    </row>
    <row r="1466" spans="1:24">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89"/>
      <c r="T1466" s="385"/>
      <c r="U1466" s="382"/>
      <c r="V1466" s="382"/>
      <c r="W1466" s="382"/>
      <c r="X1466" s="384"/>
    </row>
    <row r="1467" spans="1:24">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89"/>
      <c r="T1467" s="385"/>
      <c r="U1467" s="382"/>
      <c r="V1467" s="382"/>
      <c r="W1467" s="382"/>
      <c r="X1467" s="384"/>
    </row>
    <row r="1468" spans="1:24">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89"/>
      <c r="T1468" s="385"/>
      <c r="U1468" s="382"/>
      <c r="V1468" s="382"/>
      <c r="W1468" s="382"/>
      <c r="X1468" s="384"/>
    </row>
    <row r="1469" spans="1:24">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89"/>
      <c r="T1469" s="385"/>
      <c r="U1469" s="382"/>
      <c r="V1469" s="382"/>
      <c r="W1469" s="382"/>
      <c r="X1469" s="384"/>
    </row>
    <row r="1470" spans="1:24">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89"/>
      <c r="T1470" s="385"/>
      <c r="U1470" s="382"/>
      <c r="V1470" s="382"/>
      <c r="W1470" s="382"/>
      <c r="X1470" s="384"/>
    </row>
    <row r="1471" spans="1:24">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89"/>
      <c r="T1471" s="385"/>
      <c r="U1471" s="382"/>
      <c r="V1471" s="382"/>
      <c r="W1471" s="382"/>
      <c r="X1471" s="384"/>
    </row>
    <row r="1472" spans="1:24">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89"/>
      <c r="T1472" s="385"/>
      <c r="U1472" s="382"/>
      <c r="V1472" s="382"/>
      <c r="W1472" s="382"/>
      <c r="X1472" s="384"/>
    </row>
    <row r="1473" spans="1:24">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88"/>
      <c r="T1473" s="385"/>
      <c r="U1473" s="382"/>
      <c r="V1473" s="382"/>
      <c r="W1473" s="382"/>
      <c r="X1473" s="384"/>
    </row>
    <row r="1474" spans="1:24">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88"/>
      <c r="T1474" s="385"/>
      <c r="U1474" s="382"/>
      <c r="V1474" s="382"/>
      <c r="W1474" s="382"/>
      <c r="X1474" s="384"/>
    </row>
    <row r="1475" spans="1:24">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88"/>
      <c r="T1475" s="385"/>
      <c r="U1475" s="382"/>
      <c r="V1475" s="382"/>
      <c r="W1475" s="382"/>
      <c r="X1475" s="384"/>
    </row>
    <row r="1476" spans="1:24">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88"/>
      <c r="T1476" s="385"/>
      <c r="U1476" s="382"/>
      <c r="V1476" s="382"/>
      <c r="W1476" s="382"/>
      <c r="X1476" s="384"/>
    </row>
    <row r="1477" spans="1:24">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6"/>
      <c r="T1477" s="385"/>
      <c r="U1477" s="382"/>
      <c r="V1477" s="382"/>
      <c r="W1477" s="382"/>
      <c r="X1477" s="384"/>
    </row>
    <row r="1478" spans="1:24">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6"/>
      <c r="T1478" s="385"/>
      <c r="U1478" s="382"/>
      <c r="V1478" s="382"/>
      <c r="W1478" s="382"/>
      <c r="X1478" s="384"/>
    </row>
    <row r="1479" spans="1:24">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6"/>
      <c r="T1479" s="385"/>
      <c r="U1479" s="382"/>
      <c r="V1479" s="382"/>
      <c r="W1479" s="382"/>
      <c r="X1479" s="384"/>
    </row>
    <row r="1480" spans="1:24">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6"/>
      <c r="T1480" s="385"/>
      <c r="U1480" s="382"/>
      <c r="V1480" s="382"/>
      <c r="W1480" s="382"/>
      <c r="X1480" s="384"/>
    </row>
    <row r="1481" spans="1:24">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6"/>
      <c r="T1481" s="385"/>
      <c r="U1481" s="382"/>
      <c r="V1481" s="382"/>
      <c r="W1481" s="382"/>
      <c r="X1481" s="384"/>
    </row>
    <row r="1482" spans="1:24">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6"/>
      <c r="T1482" s="385"/>
      <c r="U1482" s="382"/>
      <c r="V1482" s="382"/>
      <c r="W1482" s="382"/>
      <c r="X1482" s="384"/>
    </row>
    <row r="1483" spans="1:24">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6"/>
      <c r="T1483" s="385"/>
      <c r="U1483" s="382"/>
      <c r="V1483" s="382"/>
      <c r="W1483" s="382"/>
      <c r="X1483" s="384"/>
    </row>
    <row r="1484" spans="1:24">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76"/>
      <c r="T1484" s="385"/>
      <c r="U1484" s="382"/>
      <c r="V1484" s="382"/>
      <c r="W1484" s="382"/>
      <c r="X1484" s="384"/>
    </row>
    <row r="1485" spans="1:24">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6"/>
      <c r="T1485" s="385"/>
      <c r="U1485" s="382"/>
      <c r="V1485" s="382"/>
      <c r="W1485" s="382"/>
      <c r="X1485" s="384"/>
    </row>
    <row r="1486" spans="1:24">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6"/>
      <c r="T1486" s="385"/>
      <c r="U1486" s="382"/>
      <c r="V1486" s="382"/>
      <c r="W1486" s="382"/>
      <c r="X1486" s="384"/>
    </row>
    <row r="1487" spans="1:24">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6"/>
      <c r="T1487" s="385"/>
      <c r="U1487" s="382"/>
      <c r="V1487" s="382"/>
      <c r="W1487" s="382"/>
      <c r="X1487" s="384"/>
    </row>
    <row r="1488" spans="1:24">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0"/>
      <c r="T1493" s="385"/>
      <c r="U1493" s="382"/>
      <c r="V1493" s="382"/>
      <c r="W1493" s="382"/>
      <c r="X1493" s="384"/>
    </row>
    <row r="1494" spans="1:24">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375"/>
      <c r="P1833" s="375"/>
      <c r="T1833" s="385"/>
      <c r="U1833" s="382"/>
      <c r="V1833" s="382"/>
      <c r="W1833" s="382"/>
      <c r="X1833" s="384"/>
    </row>
    <row r="1834" spans="1:24">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375"/>
      <c r="P1834" s="375"/>
      <c r="T1834" s="385"/>
      <c r="U1834" s="382"/>
      <c r="V1834" s="382"/>
      <c r="W1834" s="382"/>
      <c r="X1834" s="384"/>
    </row>
    <row r="1835" spans="1:24">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375"/>
      <c r="P1838" s="375"/>
      <c r="T1838" s="385"/>
      <c r="U1838" s="382"/>
      <c r="V1838" s="382"/>
      <c r="W1838" s="382"/>
      <c r="X1838" s="384"/>
    </row>
    <row r="1839" spans="1:24">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375"/>
      <c r="P1846" s="375"/>
      <c r="T1846" s="385"/>
      <c r="U1846" s="382"/>
      <c r="V1846" s="382"/>
      <c r="W1846" s="382"/>
      <c r="X1846" s="384"/>
    </row>
    <row r="1847" spans="1:24">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837"/>
      <c r="P1852" s="375"/>
      <c r="T1852" s="385"/>
      <c r="U1852" s="382"/>
      <c r="V1852" s="382"/>
      <c r="W1852" s="382"/>
      <c r="X1852" s="384"/>
    </row>
    <row r="1853" spans="1:24">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375"/>
      <c r="T1872" s="385"/>
      <c r="U1872" s="382"/>
      <c r="V1872" s="382"/>
      <c r="W1872" s="382"/>
      <c r="X1872" s="384"/>
    </row>
    <row r="1873" spans="1:24">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375"/>
      <c r="T1873" s="385"/>
      <c r="U1873" s="382"/>
      <c r="V1873" s="382"/>
      <c r="W1873" s="382"/>
      <c r="X1873" s="384"/>
    </row>
    <row r="1874" spans="1:24">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375"/>
      <c r="T1878" s="385"/>
      <c r="U1878" s="382"/>
      <c r="V1878" s="382"/>
      <c r="W1878" s="382"/>
      <c r="X1878" s="384"/>
    </row>
    <row r="1879" spans="1:24">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375"/>
      <c r="T1890" s="385"/>
      <c r="U1890" s="382"/>
      <c r="V1890" s="382"/>
      <c r="W1890" s="382"/>
      <c r="X1890" s="384"/>
    </row>
    <row r="1891" spans="1:24">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837"/>
      <c r="T1899" s="385"/>
      <c r="U1899" s="382"/>
      <c r="V1899" s="382"/>
      <c r="W1899" s="382"/>
      <c r="X1899" s="384"/>
    </row>
    <row r="1900" spans="1:24">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c r="N2603" s="375"/>
      <c r="P2603" s="375"/>
    </row>
    <row r="2604" spans="1:16">
      <c r="N2604" s="375"/>
      <c r="P2604" s="375"/>
    </row>
    <row r="2605" spans="1:16">
      <c r="N2605" s="375"/>
      <c r="P2605" s="375"/>
    </row>
    <row r="2606" spans="1:16">
      <c r="N2606" s="375"/>
      <c r="P2606" s="375"/>
    </row>
    <row r="2607" spans="1:16">
      <c r="N2607" s="375"/>
      <c r="P2607" s="375"/>
    </row>
    <row r="2608" spans="1:16">
      <c r="N2608" s="375"/>
      <c r="P2608" s="375"/>
    </row>
    <row r="2609" spans="14:16">
      <c r="N2609" s="375"/>
      <c r="P2609" s="375"/>
    </row>
    <row r="2610" spans="14:16">
      <c r="N2610" s="375"/>
      <c r="P2610" s="375"/>
    </row>
    <row r="2611" spans="14:16">
      <c r="N2611" s="375"/>
      <c r="P2611" s="375"/>
    </row>
    <row r="2612" spans="14:16">
      <c r="N2612" s="375"/>
      <c r="P2612" s="375"/>
    </row>
    <row r="2613" spans="14:16">
      <c r="N2613" s="375"/>
      <c r="P2613" s="375"/>
    </row>
    <row r="2614" spans="14:16">
      <c r="N2614" s="375"/>
      <c r="P2614" s="375"/>
    </row>
    <row r="2615" spans="14:16">
      <c r="N2615" s="375"/>
      <c r="P2615" s="375"/>
    </row>
    <row r="2616" spans="14:16">
      <c r="N2616" s="375"/>
      <c r="P2616" s="375"/>
    </row>
    <row r="2617" spans="14:16">
      <c r="N2617" s="375"/>
      <c r="P2617" s="375"/>
    </row>
    <row r="2618" spans="14:16">
      <c r="N2618" s="375"/>
      <c r="P2618" s="375"/>
    </row>
    <row r="2619" spans="14:16">
      <c r="N2619" s="375"/>
      <c r="P2619" s="375"/>
    </row>
    <row r="2620" spans="14:16">
      <c r="N2620" s="375"/>
      <c r="P2620" s="375"/>
    </row>
    <row r="2621" spans="14:16">
      <c r="N2621" s="375"/>
      <c r="P2621" s="375"/>
    </row>
    <row r="2622" spans="14:16">
      <c r="N2622" s="375"/>
      <c r="P2622" s="375"/>
    </row>
    <row r="2623" spans="14:16">
      <c r="N2623" s="375"/>
      <c r="P2623" s="375"/>
    </row>
    <row r="2624" spans="14:16">
      <c r="N2624" s="375"/>
      <c r="P2624" s="375"/>
    </row>
    <row r="2625" spans="14:16">
      <c r="N2625" s="375"/>
      <c r="P2625" s="375"/>
    </row>
    <row r="2626" spans="14:16">
      <c r="N2626" s="375"/>
      <c r="P2626" s="375"/>
    </row>
    <row r="2627" spans="14:16">
      <c r="N2627" s="375"/>
      <c r="P2627" s="375"/>
    </row>
    <row r="2628" spans="14:16">
      <c r="N2628" s="375"/>
      <c r="P2628" s="375"/>
    </row>
    <row r="2629" spans="14:16">
      <c r="N2629" s="375"/>
      <c r="P2629" s="375"/>
    </row>
    <row r="2630" spans="14:16">
      <c r="N2630" s="375"/>
      <c r="P2630" s="375"/>
    </row>
    <row r="2631" spans="14:16">
      <c r="N2631" s="375"/>
      <c r="P2631" s="375"/>
    </row>
    <row r="2632" spans="14:16">
      <c r="N2632" s="375"/>
      <c r="P2632" s="375"/>
    </row>
    <row r="2633" spans="14:16">
      <c r="N2633" s="375"/>
      <c r="P2633" s="375"/>
    </row>
    <row r="2634" spans="14:16">
      <c r="N2634" s="375"/>
      <c r="P2634" s="375"/>
    </row>
    <row r="2635" spans="14:16">
      <c r="N2635" s="375"/>
      <c r="P2635" s="375"/>
    </row>
    <row r="2636" spans="14:16">
      <c r="N2636" s="375"/>
      <c r="P2636" s="375"/>
    </row>
    <row r="2637" spans="14:16">
      <c r="N2637" s="375"/>
      <c r="P2637" s="375"/>
    </row>
    <row r="2638" spans="14:16">
      <c r="N2638" s="375"/>
      <c r="P2638" s="375"/>
    </row>
    <row r="2639" spans="14:16">
      <c r="N2639" s="375"/>
      <c r="P2639" s="375"/>
    </row>
    <row r="2640" spans="14:16">
      <c r="N2640" s="375"/>
      <c r="P2640" s="375"/>
    </row>
    <row r="2641" spans="14:16">
      <c r="N2641" s="375"/>
      <c r="P2641" s="375"/>
    </row>
    <row r="2642" spans="14:16">
      <c r="N2642" s="375"/>
      <c r="P2642" s="375"/>
    </row>
    <row r="2643" spans="14:16">
      <c r="N2643" s="375"/>
      <c r="P2643" s="375"/>
    </row>
    <row r="2644" spans="14:16">
      <c r="N2644" s="375"/>
      <c r="P2644" s="375"/>
    </row>
    <row r="2645" spans="14:16">
      <c r="N2645" s="375"/>
      <c r="P2645" s="375"/>
    </row>
    <row r="2646" spans="14:16">
      <c r="N2646" s="375"/>
      <c r="P2646" s="375"/>
    </row>
    <row r="2647" spans="14:16">
      <c r="N2647" s="375"/>
      <c r="P2647" s="375"/>
    </row>
    <row r="2648" spans="14:16">
      <c r="N2648" s="375"/>
      <c r="P2648" s="375"/>
    </row>
    <row r="2649" spans="14:16">
      <c r="N2649" s="375"/>
      <c r="P2649" s="375"/>
    </row>
    <row r="2650" spans="14:16">
      <c r="N2650" s="375"/>
      <c r="P2650" s="375"/>
    </row>
    <row r="2651" spans="14:16">
      <c r="N2651" s="375"/>
      <c r="P2651" s="375"/>
    </row>
    <row r="2652" spans="14:16">
      <c r="N2652" s="375"/>
      <c r="P2652" s="375"/>
    </row>
    <row r="2653" spans="14:16">
      <c r="N2653" s="375"/>
      <c r="P2653" s="375"/>
    </row>
    <row r="2654" spans="14:16">
      <c r="N2654" s="375"/>
      <c r="P2654" s="375"/>
    </row>
    <row r="2655" spans="14:16">
      <c r="N2655" s="375"/>
      <c r="P2655" s="375"/>
    </row>
    <row r="2656" spans="14:16">
      <c r="N2656" s="375"/>
      <c r="P2656" s="375"/>
    </row>
    <row r="2657" spans="14:16">
      <c r="N2657" s="375"/>
      <c r="P2657" s="375"/>
    </row>
    <row r="2658" spans="14:16">
      <c r="N2658" s="375"/>
      <c r="P2658" s="375"/>
    </row>
    <row r="2659" spans="14:16">
      <c r="N2659" s="375"/>
      <c r="P2659" s="375"/>
    </row>
    <row r="2660" spans="14:16">
      <c r="N2660" s="375"/>
      <c r="P2660" s="375"/>
    </row>
    <row r="2661" spans="14:16">
      <c r="N2661" s="375"/>
      <c r="P2661" s="375"/>
    </row>
    <row r="2662" spans="14:16">
      <c r="N2662" s="375"/>
      <c r="P2662" s="375"/>
    </row>
    <row r="2663" spans="14:16">
      <c r="N2663" s="375"/>
      <c r="P2663" s="375"/>
    </row>
    <row r="2664" spans="14:16">
      <c r="N2664" s="375"/>
      <c r="P2664" s="375"/>
    </row>
    <row r="2665" spans="14:16">
      <c r="N2665" s="375"/>
      <c r="P2665" s="375"/>
    </row>
    <row r="2666" spans="14:16">
      <c r="N2666" s="375"/>
      <c r="P2666" s="375"/>
    </row>
    <row r="2667" spans="14:16">
      <c r="N2667" s="375"/>
      <c r="P2667" s="375"/>
    </row>
    <row r="2668" spans="14:16">
      <c r="N2668" s="375"/>
      <c r="P2668" s="375"/>
    </row>
    <row r="2669" spans="14:16">
      <c r="N2669" s="375"/>
      <c r="P2669" s="375"/>
    </row>
    <row r="2670" spans="14:16">
      <c r="N2670" s="375"/>
      <c r="P2670" s="375"/>
    </row>
    <row r="2671" spans="14:16">
      <c r="N2671" s="375"/>
      <c r="P2671" s="375"/>
    </row>
    <row r="2672" spans="14:16">
      <c r="N2672" s="375"/>
      <c r="P2672" s="375"/>
    </row>
    <row r="2673" spans="14:16">
      <c r="N2673" s="375"/>
      <c r="P2673" s="375"/>
    </row>
    <row r="2674" spans="14:16">
      <c r="N2674" s="375"/>
      <c r="P2674" s="375"/>
    </row>
    <row r="2675" spans="14:16">
      <c r="N2675" s="375"/>
      <c r="P2675" s="375"/>
    </row>
    <row r="2676" spans="14:16">
      <c r="N2676" s="375"/>
      <c r="P2676" s="375"/>
    </row>
    <row r="2677" spans="14:16">
      <c r="N2677" s="375"/>
      <c r="P2677" s="375"/>
    </row>
    <row r="2678" spans="14:16">
      <c r="N2678" s="375"/>
      <c r="P2678" s="375"/>
    </row>
    <row r="2679" spans="14:16">
      <c r="N2679" s="375"/>
      <c r="P2679" s="375"/>
    </row>
    <row r="2680" spans="14:16">
      <c r="N2680" s="375"/>
      <c r="P2680" s="375"/>
    </row>
    <row r="2681" spans="14:16">
      <c r="N2681" s="375"/>
      <c r="P2681" s="375"/>
    </row>
    <row r="2682" spans="14:16">
      <c r="N2682" s="375"/>
      <c r="P2682" s="375"/>
    </row>
    <row r="2683" spans="14:16">
      <c r="N2683" s="375"/>
      <c r="P2683" s="375"/>
    </row>
    <row r="2684" spans="14:16">
      <c r="N2684" s="375"/>
      <c r="P2684" s="375"/>
    </row>
    <row r="2685" spans="14:16">
      <c r="N2685" s="375"/>
      <c r="P2685" s="375"/>
    </row>
    <row r="2686" spans="14:16">
      <c r="N2686" s="375"/>
      <c r="P2686" s="375"/>
    </row>
    <row r="2687" spans="14:16">
      <c r="N2687" s="375"/>
      <c r="P2687" s="375"/>
    </row>
    <row r="2688" spans="14:16">
      <c r="N2688" s="375"/>
      <c r="P2688" s="375"/>
    </row>
    <row r="2689" spans="14:16">
      <c r="N2689" s="375"/>
      <c r="P2689" s="375"/>
    </row>
    <row r="2690" spans="14:16">
      <c r="N2690" s="375"/>
      <c r="P2690" s="375"/>
    </row>
    <row r="2691" spans="14:16">
      <c r="N2691" s="375"/>
      <c r="P2691" s="375"/>
    </row>
    <row r="2692" spans="14:16">
      <c r="N2692" s="375"/>
      <c r="P2692" s="375"/>
    </row>
    <row r="2693" spans="14:16">
      <c r="N2693" s="375"/>
      <c r="P2693" s="375"/>
    </row>
    <row r="2694" spans="14:16">
      <c r="N2694" s="375"/>
      <c r="P2694" s="375"/>
    </row>
    <row r="2695" spans="14:16">
      <c r="N2695" s="375"/>
      <c r="P2695" s="375"/>
    </row>
    <row r="2696" spans="14:16">
      <c r="N2696" s="375"/>
      <c r="P2696" s="375"/>
    </row>
    <row r="2697" spans="14:16">
      <c r="N2697" s="375"/>
      <c r="P2697" s="375"/>
    </row>
    <row r="2698" spans="14:16">
      <c r="N2698" s="375"/>
      <c r="P2698" s="375"/>
    </row>
    <row r="2699" spans="14:16">
      <c r="N2699" s="375"/>
      <c r="P2699" s="375"/>
    </row>
    <row r="2700" spans="14:16">
      <c r="N2700" s="375"/>
      <c r="P2700" s="375"/>
    </row>
    <row r="2701" spans="14:16">
      <c r="N2701" s="375"/>
      <c r="P2701" s="375"/>
    </row>
    <row r="2702" spans="14:16">
      <c r="N2702" s="375"/>
      <c r="P2702" s="375"/>
    </row>
    <row r="2703" spans="14:16">
      <c r="N2703" s="375"/>
      <c r="P2703" s="375"/>
    </row>
    <row r="2704" spans="14:16">
      <c r="N2704" s="375"/>
      <c r="P2704" s="375"/>
    </row>
    <row r="2705" spans="14:16">
      <c r="N2705" s="375"/>
      <c r="P2705" s="375"/>
    </row>
    <row r="2706" spans="14:16">
      <c r="N2706" s="375"/>
      <c r="P2706" s="375"/>
    </row>
    <row r="2707" spans="14:16">
      <c r="N2707" s="375"/>
      <c r="P2707" s="375"/>
    </row>
    <row r="2708" spans="14:16">
      <c r="N2708" s="375"/>
      <c r="P2708" s="375"/>
    </row>
    <row r="2709" spans="14:16">
      <c r="N2709" s="375"/>
      <c r="P2709" s="375"/>
    </row>
    <row r="2710" spans="14:16">
      <c r="N2710" s="375"/>
      <c r="P2710" s="375"/>
    </row>
    <row r="2711" spans="14:16">
      <c r="N2711" s="375"/>
      <c r="P2711" s="375"/>
    </row>
    <row r="2712" spans="14:16">
      <c r="N2712" s="375"/>
      <c r="P2712" s="375"/>
    </row>
    <row r="2713" spans="14:16">
      <c r="N2713" s="375"/>
      <c r="P2713" s="375"/>
    </row>
    <row r="2714" spans="14:16">
      <c r="N2714" s="375"/>
      <c r="P2714" s="375"/>
    </row>
    <row r="2715" spans="14:16">
      <c r="N2715" s="375"/>
      <c r="P2715" s="375"/>
    </row>
    <row r="2716" spans="14:16">
      <c r="N2716" s="375"/>
      <c r="P2716" s="375"/>
    </row>
    <row r="2717" spans="14:16">
      <c r="N2717" s="375"/>
      <c r="P2717" s="375"/>
    </row>
    <row r="2718" spans="14:16">
      <c r="N2718" s="375"/>
      <c r="P2718" s="375"/>
    </row>
    <row r="2719" spans="14:16">
      <c r="N2719" s="375"/>
      <c r="P2719" s="375"/>
    </row>
    <row r="2720" spans="14:16">
      <c r="N2720" s="375"/>
      <c r="P2720" s="375"/>
    </row>
    <row r="2721" spans="14:16">
      <c r="N2721" s="375"/>
      <c r="P2721" s="375"/>
    </row>
    <row r="2722" spans="14:16">
      <c r="N2722" s="375"/>
      <c r="P2722" s="375"/>
    </row>
    <row r="2723" spans="14:16">
      <c r="N2723" s="375"/>
      <c r="P2723" s="375"/>
    </row>
    <row r="2724" spans="14:16">
      <c r="N2724" s="375"/>
      <c r="P2724" s="375"/>
    </row>
    <row r="2725" spans="14:16">
      <c r="N2725" s="375"/>
      <c r="P2725" s="375"/>
    </row>
    <row r="2726" spans="14:16">
      <c r="N2726" s="375"/>
      <c r="P2726" s="375"/>
    </row>
    <row r="2727" spans="14:16">
      <c r="N2727" s="375"/>
      <c r="P2727" s="375"/>
    </row>
    <row r="2728" spans="14:16">
      <c r="N2728" s="375"/>
      <c r="P2728" s="375"/>
    </row>
    <row r="2729" spans="14:16">
      <c r="N2729" s="375"/>
      <c r="P2729" s="375"/>
    </row>
    <row r="2730" spans="14:16">
      <c r="N2730" s="375"/>
      <c r="P2730" s="375"/>
    </row>
    <row r="2731" spans="14:16">
      <c r="N2731" s="375"/>
      <c r="P2731" s="375"/>
    </row>
    <row r="2732" spans="14:16">
      <c r="N2732" s="375"/>
      <c r="P2732" s="375"/>
    </row>
    <row r="2733" spans="14:16">
      <c r="N2733" s="375"/>
      <c r="P2733" s="375"/>
    </row>
    <row r="2734" spans="14:16">
      <c r="N2734" s="375"/>
      <c r="P2734" s="375"/>
    </row>
    <row r="2735" spans="14:16">
      <c r="N2735" s="375"/>
      <c r="P2735" s="375"/>
    </row>
    <row r="2736" spans="14:16">
      <c r="N2736" s="375"/>
      <c r="P2736" s="375"/>
    </row>
    <row r="2737" spans="14:16">
      <c r="N2737" s="375"/>
      <c r="P2737" s="375"/>
    </row>
    <row r="2738" spans="14:16">
      <c r="N2738" s="375"/>
      <c r="P2738" s="375"/>
    </row>
    <row r="2739" spans="14:16">
      <c r="N2739" s="375"/>
      <c r="P2739" s="375"/>
    </row>
    <row r="2740" spans="14:16">
      <c r="N2740" s="375"/>
      <c r="P2740" s="375"/>
    </row>
    <row r="2741" spans="14:16">
      <c r="N2741" s="375"/>
      <c r="P2741" s="375"/>
    </row>
    <row r="2742" spans="14:16">
      <c r="N2742" s="375"/>
      <c r="P2742" s="375"/>
    </row>
    <row r="2743" spans="14:16">
      <c r="N2743" s="375"/>
      <c r="P2743" s="375"/>
    </row>
    <row r="2744" spans="14:16">
      <c r="N2744" s="375"/>
      <c r="P2744" s="375"/>
    </row>
    <row r="2745" spans="14:16">
      <c r="N2745" s="375"/>
      <c r="P2745" s="375"/>
    </row>
    <row r="2746" spans="14:16">
      <c r="N2746" s="375"/>
      <c r="P2746" s="375"/>
    </row>
    <row r="2747" spans="14:16">
      <c r="N2747" s="375"/>
      <c r="P2747" s="375"/>
    </row>
    <row r="2748" spans="14:16">
      <c r="N2748" s="375"/>
      <c r="P2748" s="375"/>
    </row>
    <row r="2749" spans="14:16">
      <c r="N2749" s="375"/>
      <c r="P2749" s="375"/>
    </row>
    <row r="2750" spans="14:16">
      <c r="N2750" s="375"/>
      <c r="P2750" s="375"/>
    </row>
    <row r="2751" spans="14:16">
      <c r="P2751" s="375"/>
    </row>
    <row r="2752" spans="14:16">
      <c r="P2752" s="375"/>
    </row>
    <row r="2753" spans="16:16">
      <c r="P2753" s="375"/>
    </row>
    <row r="2754" spans="16:16">
      <c r="P2754" s="375"/>
    </row>
    <row r="2755" spans="16:16">
      <c r="P2755" s="375"/>
    </row>
    <row r="2756" spans="16:16">
      <c r="P2756" s="375"/>
    </row>
    <row r="2757" spans="16:16">
      <c r="P2757" s="375"/>
    </row>
    <row r="2758" spans="16:16">
      <c r="P2758" s="375"/>
    </row>
    <row r="2759" spans="16:16">
      <c r="P2759" s="375"/>
    </row>
    <row r="2760" spans="16:16">
      <c r="P2760" s="375"/>
    </row>
    <row r="2761" spans="16:16">
      <c r="P2761" s="375"/>
    </row>
    <row r="2762" spans="16:16">
      <c r="P2762" s="375"/>
    </row>
    <row r="2763" spans="16:16">
      <c r="P2763" s="375"/>
    </row>
    <row r="2764" spans="16:16">
      <c r="P2764" s="375"/>
    </row>
    <row r="2765" spans="16:16">
      <c r="P2765" s="375"/>
    </row>
    <row r="2766" spans="16:16">
      <c r="P2766" s="375"/>
    </row>
    <row r="2767" spans="16:16">
      <c r="P2767" s="375"/>
    </row>
    <row r="2768" spans="16:16">
      <c r="P2768" s="375"/>
    </row>
    <row r="2769" spans="16:16">
      <c r="P2769" s="375"/>
    </row>
    <row r="2770" spans="16:16">
      <c r="P2770" s="375"/>
    </row>
    <row r="2771" spans="16:16">
      <c r="P2771" s="375"/>
    </row>
    <row r="2772" spans="16:16">
      <c r="P2772" s="375"/>
    </row>
    <row r="2773" spans="16:16">
      <c r="P2773" s="375"/>
    </row>
    <row r="2774" spans="16:16">
      <c r="P2774" s="375"/>
    </row>
    <row r="2775" spans="16:16">
      <c r="P2775" s="375"/>
    </row>
    <row r="2776" spans="16:16">
      <c r="P2776" s="375"/>
    </row>
    <row r="2777" spans="16:16">
      <c r="P2777" s="375"/>
    </row>
    <row r="2778" spans="16:16">
      <c r="P2778" s="375"/>
    </row>
    <row r="2779" spans="16:16">
      <c r="P2779" s="375"/>
    </row>
    <row r="2780" spans="16:16">
      <c r="P2780" s="375"/>
    </row>
    <row r="2781" spans="16:16">
      <c r="P2781" s="375"/>
    </row>
    <row r="2782" spans="16:16">
      <c r="P2782" s="375"/>
    </row>
    <row r="2783" spans="16:16">
      <c r="P2783" s="375"/>
    </row>
    <row r="2784" spans="16:16">
      <c r="P2784" s="375"/>
    </row>
    <row r="2785" spans="16:16">
      <c r="P2785" s="375"/>
    </row>
    <row r="2786" spans="16:16">
      <c r="P2786" s="375"/>
    </row>
    <row r="2787" spans="16:16">
      <c r="P2787" s="375"/>
    </row>
    <row r="2788" spans="16:16">
      <c r="P2788" s="375"/>
    </row>
    <row r="2789" spans="16:16">
      <c r="P2789" s="375"/>
    </row>
    <row r="2790" spans="16:16">
      <c r="P2790" s="375"/>
    </row>
    <row r="2791" spans="16:16">
      <c r="P2791" s="375"/>
    </row>
    <row r="2792" spans="16:16">
      <c r="P2792" s="375"/>
    </row>
    <row r="2793" spans="16:16">
      <c r="P2793" s="375"/>
    </row>
    <row r="2794" spans="16:16">
      <c r="P2794" s="375"/>
    </row>
    <row r="2795" spans="16:16">
      <c r="P2795" s="375"/>
    </row>
    <row r="2796" spans="16:16">
      <c r="P2796" s="375"/>
    </row>
    <row r="2797" spans="16:16">
      <c r="P2797" s="375"/>
    </row>
    <row r="2798" spans="16:16">
      <c r="P2798" s="375"/>
    </row>
    <row r="2799" spans="16:16">
      <c r="P2799" s="375"/>
    </row>
    <row r="2800" spans="16:16">
      <c r="P2800" s="375"/>
    </row>
    <row r="2801" spans="16:16">
      <c r="P2801" s="375"/>
    </row>
    <row r="2802" spans="16:16">
      <c r="P2802" s="375"/>
    </row>
    <row r="2803" spans="16:16">
      <c r="P2803" s="375"/>
    </row>
    <row r="2804" spans="16:16">
      <c r="P2804" s="375"/>
    </row>
    <row r="2805" spans="16:16">
      <c r="P2805" s="375"/>
    </row>
    <row r="2806" spans="16:16">
      <c r="P2806" s="375"/>
    </row>
    <row r="2807" spans="16:16">
      <c r="P2807" s="375"/>
    </row>
    <row r="2808" spans="16:16">
      <c r="P2808" s="375"/>
    </row>
    <row r="2809" spans="16:16">
      <c r="P2809" s="375"/>
    </row>
    <row r="2810" spans="16:16">
      <c r="P2810" s="375"/>
    </row>
    <row r="2811" spans="16:16">
      <c r="P2811" s="375"/>
    </row>
    <row r="2812" spans="16:16">
      <c r="P2812" s="375"/>
    </row>
    <row r="2813" spans="16:16">
      <c r="P2813" s="375"/>
    </row>
    <row r="2814" spans="16:16">
      <c r="P2814" s="375"/>
    </row>
    <row r="2815" spans="16:16">
      <c r="P2815" s="375"/>
    </row>
    <row r="2816" spans="16:16">
      <c r="P2816" s="375"/>
    </row>
    <row r="2817" spans="16:16">
      <c r="P2817" s="375"/>
    </row>
    <row r="2818" spans="16:16">
      <c r="P2818" s="375"/>
    </row>
    <row r="2819" spans="16:16">
      <c r="P2819" s="375"/>
    </row>
    <row r="2820" spans="16:16">
      <c r="P2820" s="375"/>
    </row>
    <row r="2821" spans="16:16">
      <c r="P2821" s="375"/>
    </row>
    <row r="2822" spans="16:16">
      <c r="P2822" s="375"/>
    </row>
    <row r="2823" spans="16:16">
      <c r="P2823" s="375"/>
    </row>
    <row r="2824" spans="16:16">
      <c r="P2824" s="375"/>
    </row>
    <row r="2825" spans="16:16">
      <c r="P2825" s="375"/>
    </row>
    <row r="2826" spans="16:16">
      <c r="P2826" s="375"/>
    </row>
    <row r="2827" spans="16:16">
      <c r="P2827" s="375"/>
    </row>
    <row r="2828" spans="16:16">
      <c r="P2828" s="375"/>
    </row>
    <row r="2829" spans="16:16">
      <c r="P2829" s="375"/>
    </row>
    <row r="2830" spans="16:16">
      <c r="P2830" s="375"/>
    </row>
    <row r="2831" spans="16:16">
      <c r="P2831" s="375"/>
    </row>
    <row r="2832" spans="16:16">
      <c r="P2832" s="375"/>
    </row>
    <row r="2833" spans="16:16">
      <c r="P2833" s="375"/>
    </row>
    <row r="2834" spans="16:16">
      <c r="P2834" s="375"/>
    </row>
    <row r="2835" spans="16:16">
      <c r="P2835" s="375"/>
    </row>
    <row r="2836" spans="16:16">
      <c r="P2836" s="375"/>
    </row>
    <row r="2837" spans="16:16">
      <c r="P2837" s="375"/>
    </row>
    <row r="2838" spans="16:16">
      <c r="P2838" s="375"/>
    </row>
    <row r="2839" spans="16:16">
      <c r="P2839" s="375"/>
    </row>
    <row r="2840" spans="16:16">
      <c r="P2840" s="375"/>
    </row>
    <row r="2841" spans="16:16">
      <c r="P2841" s="375"/>
    </row>
    <row r="2842" spans="16:16">
      <c r="P2842" s="375"/>
    </row>
    <row r="2843" spans="16:16">
      <c r="P2843" s="375"/>
    </row>
    <row r="2844" spans="16:16">
      <c r="P2844" s="375"/>
    </row>
    <row r="2845" spans="16:16">
      <c r="P2845" s="375"/>
    </row>
    <row r="2846" spans="16:16">
      <c r="P2846" s="375"/>
    </row>
    <row r="2847" spans="16:16">
      <c r="P2847" s="375"/>
    </row>
    <row r="2848" spans="16:16">
      <c r="P2848" s="375"/>
    </row>
    <row r="2849" spans="16:16">
      <c r="P2849" s="375"/>
    </row>
    <row r="2850" spans="16:16">
      <c r="P2850" s="375"/>
    </row>
    <row r="2851" spans="16:16">
      <c r="P2851" s="375"/>
    </row>
    <row r="2852" spans="16:16">
      <c r="P2852" s="375"/>
    </row>
    <row r="2853" spans="16:16">
      <c r="P2853" s="375"/>
    </row>
    <row r="2854" spans="16:16">
      <c r="P2854"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4" customFormat="1">
      <c r="A1" s="277" t="s">
        <v>11026</v>
      </c>
      <c r="I1" s="277" t="s">
        <v>11027</v>
      </c>
    </row>
    <row r="2" spans="1:15" s="894" customFormat="1"/>
    <row r="3" spans="1:15">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c r="A15" s="812">
        <f>VLOOKUP(C15,'C. Auto'!$B$15:$C$792,2,FALSE)</f>
        <v>684</v>
      </c>
      <c r="B15" s="811" t="s">
        <v>830</v>
      </c>
      <c r="C15" s="812" t="str">
        <f t="shared" si="2"/>
        <v>Suzuki, Swift</v>
      </c>
      <c r="D15" s="812">
        <f t="shared" si="3"/>
        <v>684</v>
      </c>
      <c r="E15" s="810" t="s">
        <v>2212</v>
      </c>
      <c r="F15" s="810" t="s">
        <v>336</v>
      </c>
      <c r="G15" s="813">
        <v>2.8499E-2</v>
      </c>
      <c r="H15" s="812"/>
      <c r="I15" s="812"/>
    </row>
    <row r="16" spans="1:15">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c r="A30" s="812">
        <f>VLOOKUP(C30,'C. Auto'!$B$15:$C$792,2,FALSE)</f>
        <v>595</v>
      </c>
      <c r="B30" s="811" t="s">
        <v>769</v>
      </c>
      <c r="C30" s="812" t="str">
        <f t="shared" si="2"/>
        <v>Nissan, X-Trail</v>
      </c>
      <c r="D30" s="812">
        <f t="shared" si="3"/>
        <v>595</v>
      </c>
      <c r="E30" s="810" t="s">
        <v>2201</v>
      </c>
      <c r="F30" s="810" t="s">
        <v>282</v>
      </c>
      <c r="G30" s="813">
        <v>4.3482E-2</v>
      </c>
      <c r="H30" s="812"/>
      <c r="I30" s="812"/>
    </row>
    <row r="31" spans="1:9">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c r="A42" s="812">
        <f>VLOOKUP(C42,'C. Auto'!$B$15:$C$792,2,FALSE)</f>
        <v>212</v>
      </c>
      <c r="B42" s="811" t="s">
        <v>3467</v>
      </c>
      <c r="C42" s="812" t="str">
        <f t="shared" si="2"/>
        <v>Ford, Fiesta</v>
      </c>
      <c r="D42" s="812">
        <f t="shared" si="3"/>
        <v>212</v>
      </c>
      <c r="E42" s="810" t="s">
        <v>3546</v>
      </c>
      <c r="F42" s="810" t="s">
        <v>3556</v>
      </c>
      <c r="G42" s="813">
        <v>2.7531E-2</v>
      </c>
      <c r="H42" s="812"/>
      <c r="I42" s="812"/>
    </row>
    <row r="43" spans="1:9">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c r="A47" s="807"/>
      <c r="C47" s="807"/>
      <c r="D47" s="807"/>
    </row>
    <row r="48" spans="1:9">
      <c r="A48" s="807"/>
      <c r="C48" s="807"/>
      <c r="D48" s="807"/>
    </row>
    <row r="49" spans="1:4">
      <c r="A49" s="807"/>
      <c r="C49" s="807"/>
      <c r="D49" s="807"/>
    </row>
    <row r="50" spans="1:4">
      <c r="A50" s="807"/>
      <c r="C50" s="807"/>
      <c r="D50" s="807"/>
    </row>
    <row r="51" spans="1:4">
      <c r="A51" s="807"/>
      <c r="C51" s="807"/>
      <c r="D51" s="807"/>
    </row>
    <row r="52" spans="1:4">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1546</v>
      </c>
      <c r="B1" s="10"/>
      <c r="C1" s="10"/>
      <c r="D1" s="10"/>
      <c r="E1" s="10"/>
      <c r="F1" s="10"/>
    </row>
    <row r="2" spans="1:6" ht="15.75" thickTop="1"/>
    <row r="3" spans="1:6">
      <c r="B3" s="11" t="s">
        <v>1544</v>
      </c>
    </row>
    <row r="4" spans="1:6">
      <c r="A4" s="2" t="s">
        <v>429</v>
      </c>
      <c r="B4" s="2" t="s">
        <v>430</v>
      </c>
      <c r="C4" s="3" t="s">
        <v>431</v>
      </c>
      <c r="D4" s="2" t="s">
        <v>1545</v>
      </c>
      <c r="E4" s="2" t="s">
        <v>2098</v>
      </c>
    </row>
    <row r="5" spans="1:6">
      <c r="A5" s="12">
        <v>0</v>
      </c>
      <c r="B5" s="12" t="s">
        <v>2105</v>
      </c>
      <c r="C5" s="13">
        <f>A5</f>
        <v>0</v>
      </c>
      <c r="D5" s="18">
        <v>0</v>
      </c>
      <c r="E5" s="18">
        <v>0</v>
      </c>
    </row>
    <row r="6" spans="1:6">
      <c r="A6" s="12">
        <v>1</v>
      </c>
      <c r="B6" s="12" t="s">
        <v>481</v>
      </c>
      <c r="C6" s="13">
        <f>A6</f>
        <v>1</v>
      </c>
      <c r="D6" s="18">
        <v>276.69</v>
      </c>
      <c r="E6" s="18">
        <v>274.62</v>
      </c>
    </row>
    <row r="7" spans="1:6">
      <c r="A7" s="300">
        <v>2</v>
      </c>
      <c r="B7" s="300" t="s">
        <v>533</v>
      </c>
      <c r="C7" s="13">
        <f>A7</f>
        <v>2</v>
      </c>
      <c r="D7" s="18">
        <v>288.02</v>
      </c>
      <c r="E7" s="18">
        <v>285.86</v>
      </c>
    </row>
    <row r="8" spans="1:6">
      <c r="A8" s="12">
        <v>3</v>
      </c>
      <c r="B8" s="300" t="s">
        <v>3620</v>
      </c>
      <c r="C8" s="13">
        <f>A8</f>
        <v>3</v>
      </c>
      <c r="D8" s="18">
        <v>0</v>
      </c>
      <c r="E8" s="18">
        <v>0</v>
      </c>
    </row>
    <row r="11" spans="1:6">
      <c r="B11" s="11" t="s">
        <v>1547</v>
      </c>
    </row>
    <row r="12" spans="1:6">
      <c r="A12" s="2" t="s">
        <v>429</v>
      </c>
      <c r="B12" s="2" t="s">
        <v>430</v>
      </c>
      <c r="C12" s="3" t="s">
        <v>431</v>
      </c>
      <c r="D12" s="2" t="s">
        <v>481</v>
      </c>
      <c r="E12" s="2" t="s">
        <v>1548</v>
      </c>
    </row>
    <row r="13" spans="1:6">
      <c r="A13" s="12">
        <v>1</v>
      </c>
      <c r="B13" s="30" t="s">
        <v>1560</v>
      </c>
      <c r="C13" s="13">
        <f t="shared" ref="C13:C18" si="0">A13</f>
        <v>1</v>
      </c>
      <c r="D13" s="19">
        <v>1</v>
      </c>
      <c r="E13" s="19">
        <v>1</v>
      </c>
    </row>
    <row r="14" spans="1:6">
      <c r="A14" s="12">
        <v>2</v>
      </c>
      <c r="B14" s="30" t="s">
        <v>1561</v>
      </c>
      <c r="C14" s="13">
        <f t="shared" si="0"/>
        <v>2</v>
      </c>
      <c r="D14" s="19">
        <v>1.4843999999999999</v>
      </c>
      <c r="E14" s="19">
        <v>1.5031000000000001</v>
      </c>
    </row>
    <row r="15" spans="1:6">
      <c r="A15" s="12">
        <v>3</v>
      </c>
      <c r="B15" s="30" t="s">
        <v>1562</v>
      </c>
      <c r="C15" s="13">
        <f t="shared" si="0"/>
        <v>3</v>
      </c>
      <c r="D15" s="19">
        <v>1.9689000000000001</v>
      </c>
      <c r="E15" s="19">
        <v>2.0248400000000002</v>
      </c>
    </row>
    <row r="16" spans="1:6">
      <c r="A16" s="12">
        <v>4</v>
      </c>
      <c r="B16" s="30" t="s">
        <v>1563</v>
      </c>
      <c r="C16" s="13">
        <f t="shared" si="0"/>
        <v>4</v>
      </c>
      <c r="D16" s="19">
        <v>2.9173</v>
      </c>
      <c r="E16" s="19">
        <v>3.1449199999999999</v>
      </c>
    </row>
    <row r="17" spans="1:11">
      <c r="A17" s="12">
        <v>5</v>
      </c>
      <c r="B17" s="30" t="s">
        <v>1564</v>
      </c>
      <c r="C17" s="13">
        <f t="shared" si="0"/>
        <v>5</v>
      </c>
      <c r="D17" s="19">
        <v>3.8609</v>
      </c>
      <c r="E17" s="19">
        <v>4.3333300000000001</v>
      </c>
    </row>
    <row r="18" spans="1:11">
      <c r="A18" s="12">
        <v>6</v>
      </c>
      <c r="B18" s="30" t="s">
        <v>1565</v>
      </c>
      <c r="C18" s="13">
        <f t="shared" si="0"/>
        <v>6</v>
      </c>
      <c r="D18" s="19">
        <v>4.8033000000000001</v>
      </c>
      <c r="E18" s="19">
        <v>5.6832200000000004</v>
      </c>
    </row>
    <row r="19" spans="1:11">
      <c r="I19" s="702"/>
    </row>
    <row r="21" spans="1:11">
      <c r="B21" s="11" t="s">
        <v>1566</v>
      </c>
      <c r="F21" s="290" t="s">
        <v>3165</v>
      </c>
    </row>
    <row r="22" spans="1:11">
      <c r="A22" s="2" t="s">
        <v>429</v>
      </c>
      <c r="B22" s="2" t="s">
        <v>430</v>
      </c>
      <c r="C22" s="3" t="s">
        <v>431</v>
      </c>
      <c r="D22" s="2" t="s">
        <v>2151</v>
      </c>
      <c r="E22" s="192" t="s">
        <v>1545</v>
      </c>
      <c r="F22" s="289" t="str">
        <f ca="1">IF(ID_INCREMENTO_RC=0,"",IF(ID_INCREMENTO_RC=1,CONCATENATE(", "&amp;B24&amp;".00"),IF(ID_INCREMENTO_RC=2,CONCATENATE(", "&amp;B25&amp;".00"))))</f>
        <v/>
      </c>
    </row>
    <row r="23" spans="1:11">
      <c r="A23" s="12">
        <v>0</v>
      </c>
      <c r="B23" s="30" t="s">
        <v>1567</v>
      </c>
      <c r="C23" s="13">
        <f>A23</f>
        <v>0</v>
      </c>
      <c r="D23" s="39" t="b">
        <v>0</v>
      </c>
      <c r="E23" s="98" t="s">
        <v>2168</v>
      </c>
    </row>
    <row r="24" spans="1:11">
      <c r="A24" s="12">
        <v>1</v>
      </c>
      <c r="B24" s="30" t="s">
        <v>3170</v>
      </c>
      <c r="C24" s="13">
        <f>A24</f>
        <v>1</v>
      </c>
      <c r="D24" s="39" t="b">
        <v>1</v>
      </c>
      <c r="E24" s="98">
        <v>14</v>
      </c>
      <c r="F24" s="98" t="s">
        <v>3140</v>
      </c>
    </row>
    <row r="25" spans="1:11">
      <c r="A25" s="12">
        <v>2</v>
      </c>
      <c r="B25" s="30" t="s">
        <v>4064</v>
      </c>
      <c r="C25" s="13">
        <f>A25</f>
        <v>2</v>
      </c>
      <c r="D25" s="39" t="b">
        <v>1</v>
      </c>
      <c r="E25" s="98">
        <v>15</v>
      </c>
      <c r="F25" s="98" t="s">
        <v>3141</v>
      </c>
    </row>
    <row r="26" spans="1:11">
      <c r="A26" s="12"/>
      <c r="B26" s="41"/>
      <c r="C26" s="13"/>
      <c r="D26" s="39"/>
      <c r="E26" s="98"/>
    </row>
    <row r="28" spans="1:11">
      <c r="K28" s="702"/>
    </row>
    <row r="29" spans="1:11">
      <c r="B29" s="11" t="s">
        <v>1574</v>
      </c>
    </row>
    <row r="30" spans="1:11">
      <c r="A30" s="2" t="s">
        <v>429</v>
      </c>
      <c r="B30" s="2" t="s">
        <v>430</v>
      </c>
      <c r="C30" s="3" t="s">
        <v>431</v>
      </c>
      <c r="D30" s="2" t="s">
        <v>1578</v>
      </c>
      <c r="E30" s="2" t="s">
        <v>1615</v>
      </c>
      <c r="F30" s="2" t="s">
        <v>4943</v>
      </c>
    </row>
    <row r="31" spans="1:11">
      <c r="A31" s="12">
        <v>1</v>
      </c>
      <c r="B31" s="30" t="s">
        <v>1575</v>
      </c>
      <c r="C31" s="13">
        <f>A31</f>
        <v>1</v>
      </c>
      <c r="D31" s="19" t="b">
        <v>1</v>
      </c>
      <c r="E31" s="673" t="b">
        <v>1</v>
      </c>
      <c r="F31" s="673" t="s">
        <v>5063</v>
      </c>
    </row>
    <row r="32" spans="1:11">
      <c r="A32" s="12">
        <v>2</v>
      </c>
      <c r="B32" s="30" t="s">
        <v>1576</v>
      </c>
      <c r="C32" s="13">
        <f>A32</f>
        <v>2</v>
      </c>
      <c r="D32" s="19" t="b">
        <v>1</v>
      </c>
      <c r="E32" s="673" t="b">
        <v>0</v>
      </c>
      <c r="F32" s="673" t="s">
        <v>5064</v>
      </c>
    </row>
    <row r="33" spans="1:9">
      <c r="A33" s="12">
        <v>3</v>
      </c>
      <c r="B33" s="30" t="s">
        <v>1577</v>
      </c>
      <c r="C33" s="13">
        <f>A33</f>
        <v>3</v>
      </c>
      <c r="D33" s="19" t="b">
        <v>0</v>
      </c>
      <c r="E33" s="673" t="b">
        <v>0</v>
      </c>
      <c r="F33" s="673" t="s">
        <v>5065</v>
      </c>
    </row>
    <row r="35" spans="1:9">
      <c r="I35" s="702"/>
    </row>
    <row r="36" spans="1:9">
      <c r="B36" s="11" t="s">
        <v>1582</v>
      </c>
    </row>
    <row r="37" spans="1:9">
      <c r="A37" s="2" t="s">
        <v>429</v>
      </c>
      <c r="B37" s="2" t="s">
        <v>430</v>
      </c>
      <c r="C37" s="3" t="s">
        <v>431</v>
      </c>
      <c r="D37" s="2" t="s">
        <v>1593</v>
      </c>
      <c r="E37" s="29" t="s">
        <v>1594</v>
      </c>
      <c r="F37" s="2" t="s">
        <v>1610</v>
      </c>
    </row>
    <row r="38" spans="1:9">
      <c r="A38" s="12">
        <v>1</v>
      </c>
      <c r="B38" s="30" t="s">
        <v>1583</v>
      </c>
      <c r="C38" s="13">
        <f t="shared" ref="C38:C47" si="1">A38</f>
        <v>1</v>
      </c>
      <c r="D38" s="19" t="b">
        <v>1</v>
      </c>
      <c r="E38" s="12">
        <v>3</v>
      </c>
      <c r="F38" t="b">
        <v>0</v>
      </c>
    </row>
    <row r="39" spans="1:9">
      <c r="A39" s="12">
        <v>2</v>
      </c>
      <c r="B39" s="30" t="s">
        <v>1584</v>
      </c>
      <c r="C39" s="13">
        <f t="shared" si="1"/>
        <v>2</v>
      </c>
      <c r="D39" s="19" t="b">
        <v>1</v>
      </c>
      <c r="E39" s="12">
        <v>5</v>
      </c>
      <c r="F39" t="b">
        <v>1</v>
      </c>
    </row>
    <row r="40" spans="1:9">
      <c r="A40" s="12">
        <v>3</v>
      </c>
      <c r="B40" s="30" t="s">
        <v>1585</v>
      </c>
      <c r="C40" s="13">
        <f t="shared" si="1"/>
        <v>3</v>
      </c>
      <c r="D40" s="19" t="b">
        <v>1</v>
      </c>
      <c r="E40" s="12">
        <v>6</v>
      </c>
      <c r="F40" t="b">
        <v>1</v>
      </c>
    </row>
    <row r="41" spans="1:9">
      <c r="A41" s="12">
        <v>4</v>
      </c>
      <c r="B41" s="12" t="s">
        <v>1586</v>
      </c>
      <c r="C41" s="13">
        <f t="shared" si="1"/>
        <v>4</v>
      </c>
      <c r="D41" t="b">
        <v>1</v>
      </c>
      <c r="E41" s="12">
        <v>7</v>
      </c>
      <c r="F41" t="b">
        <v>1</v>
      </c>
    </row>
    <row r="42" spans="1:9">
      <c r="A42" s="12">
        <v>5</v>
      </c>
      <c r="B42" s="12" t="s">
        <v>1587</v>
      </c>
      <c r="C42" s="13">
        <f t="shared" si="1"/>
        <v>5</v>
      </c>
      <c r="D42" t="b">
        <v>1</v>
      </c>
      <c r="E42" s="12">
        <v>8</v>
      </c>
      <c r="F42" t="b">
        <v>1</v>
      </c>
    </row>
    <row r="43" spans="1:9">
      <c r="A43" s="12">
        <v>6</v>
      </c>
      <c r="B43" s="12" t="s">
        <v>1588</v>
      </c>
      <c r="C43" s="13">
        <f t="shared" si="1"/>
        <v>6</v>
      </c>
      <c r="D43" t="b">
        <v>0</v>
      </c>
      <c r="E43" s="12">
        <v>3</v>
      </c>
      <c r="F43" t="b">
        <v>0</v>
      </c>
    </row>
    <row r="44" spans="1:9">
      <c r="A44" s="12">
        <v>7</v>
      </c>
      <c r="B44" s="12" t="s">
        <v>1589</v>
      </c>
      <c r="C44" s="13">
        <f t="shared" si="1"/>
        <v>7</v>
      </c>
      <c r="D44" t="b">
        <v>0</v>
      </c>
      <c r="E44" s="12">
        <v>5</v>
      </c>
      <c r="F44" t="b">
        <v>1</v>
      </c>
    </row>
    <row r="45" spans="1:9">
      <c r="A45" s="12">
        <v>8</v>
      </c>
      <c r="B45" s="12" t="s">
        <v>1590</v>
      </c>
      <c r="C45" s="13">
        <f t="shared" si="1"/>
        <v>8</v>
      </c>
      <c r="D45" t="b">
        <v>0</v>
      </c>
      <c r="E45" s="12">
        <v>6</v>
      </c>
      <c r="F45" t="b">
        <v>1</v>
      </c>
    </row>
    <row r="46" spans="1:9">
      <c r="A46" s="12">
        <v>9</v>
      </c>
      <c r="B46" s="12" t="s">
        <v>1591</v>
      </c>
      <c r="C46" s="13">
        <f t="shared" si="1"/>
        <v>9</v>
      </c>
      <c r="D46" t="b">
        <v>0</v>
      </c>
      <c r="E46" s="12">
        <v>7</v>
      </c>
      <c r="F46" t="b">
        <v>1</v>
      </c>
    </row>
    <row r="47" spans="1:9">
      <c r="A47" s="12">
        <v>10</v>
      </c>
      <c r="B47" s="12" t="s">
        <v>1592</v>
      </c>
      <c r="C47" s="13">
        <f t="shared" si="1"/>
        <v>10</v>
      </c>
      <c r="D47" t="b">
        <v>0</v>
      </c>
      <c r="E47" s="12">
        <v>8</v>
      </c>
      <c r="F47" t="b">
        <v>1</v>
      </c>
    </row>
    <row r="49" spans="1:9">
      <c r="I49" s="702"/>
    </row>
    <row r="51" spans="1:9">
      <c r="B51" s="241" t="s">
        <v>5089</v>
      </c>
      <c r="F51" s="290" t="s">
        <v>3165</v>
      </c>
    </row>
    <row r="52" spans="1:9">
      <c r="A52" s="2" t="s">
        <v>429</v>
      </c>
      <c r="B52" s="2" t="s">
        <v>430</v>
      </c>
      <c r="C52" s="3" t="s">
        <v>431</v>
      </c>
      <c r="D52" s="2" t="s">
        <v>2345</v>
      </c>
      <c r="E52" s="2" t="s">
        <v>2347</v>
      </c>
      <c r="F52" s="289" t="str">
        <f ca="1">IF(ID_INDEMN_AÑO1=1,"",IF(ID_INDEMN_AÑO1=2,", Indemnización Valor Factura primeros 2 años",IF(ID_INDEMN_AÑO1=3,"")))</f>
        <v/>
      </c>
    </row>
    <row r="53" spans="1:9">
      <c r="A53" s="239">
        <v>1</v>
      </c>
      <c r="B53" s="30" t="s">
        <v>1567</v>
      </c>
      <c r="C53" s="13">
        <f>A53</f>
        <v>1</v>
      </c>
      <c r="D53" s="19">
        <v>4.4999999999999998E-2</v>
      </c>
      <c r="E53" s="240">
        <v>12</v>
      </c>
    </row>
    <row r="54" spans="1:9">
      <c r="A54" s="239">
        <v>2</v>
      </c>
      <c r="B54" s="30" t="s">
        <v>1568</v>
      </c>
      <c r="C54" s="13">
        <f>A54</f>
        <v>2</v>
      </c>
      <c r="D54" s="19">
        <v>0.125</v>
      </c>
      <c r="E54" s="240">
        <v>24</v>
      </c>
    </row>
    <row r="55" spans="1:9">
      <c r="A55" s="239"/>
      <c r="B55" s="30"/>
      <c r="C55" s="13"/>
      <c r="D55" s="19"/>
    </row>
    <row r="57" spans="1:9">
      <c r="B57" s="1" t="s">
        <v>434</v>
      </c>
    </row>
    <row r="58" spans="1:9">
      <c r="B58" s="14" t="s">
        <v>1579</v>
      </c>
      <c r="C58" s="15">
        <v>4.8300000000000001E-3</v>
      </c>
    </row>
    <row r="59" spans="1:9">
      <c r="B59" s="14" t="s">
        <v>1580</v>
      </c>
      <c r="C59" s="15">
        <v>350</v>
      </c>
    </row>
    <row r="60" spans="1:9">
      <c r="B60" s="14" t="s">
        <v>2101</v>
      </c>
      <c r="C60" s="15">
        <v>487.2</v>
      </c>
    </row>
    <row r="63" spans="1:9">
      <c r="B63" s="292" t="s">
        <v>3172</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c r="B65" s="293" t="s">
        <v>3171</v>
      </c>
      <c r="C65" t="s">
        <v>3174</v>
      </c>
    </row>
    <row r="66" spans="1:6">
      <c r="B66" s="293" t="s">
        <v>3173</v>
      </c>
      <c r="C66" t="s">
        <v>3175</v>
      </c>
    </row>
    <row r="68" spans="1:6">
      <c r="B68" s="11" t="s">
        <v>1569</v>
      </c>
      <c r="F68" s="391"/>
    </row>
    <row r="69" spans="1:6">
      <c r="A69" s="2" t="s">
        <v>429</v>
      </c>
      <c r="B69" s="2" t="s">
        <v>430</v>
      </c>
      <c r="C69" s="3" t="s">
        <v>431</v>
      </c>
      <c r="D69" s="2" t="s">
        <v>1570</v>
      </c>
      <c r="E69" s="290" t="s">
        <v>3165</v>
      </c>
      <c r="F69" s="392"/>
    </row>
    <row r="70" spans="1:6">
      <c r="A70" s="390">
        <v>1</v>
      </c>
      <c r="B70" s="390" t="s">
        <v>1568</v>
      </c>
      <c r="C70" s="23">
        <f>A70</f>
        <v>1</v>
      </c>
      <c r="D70" t="b">
        <v>1</v>
      </c>
      <c r="E70" s="289" t="str">
        <f ca="1">IF(ID_SERVICIO_PREMIUM=1,"",".")</f>
        <v/>
      </c>
    </row>
    <row r="71" spans="1:6">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4" customWidth="1"/>
    <col min="7" max="7" width="27.42578125" customWidth="1"/>
  </cols>
  <sheetData>
    <row r="1" spans="1:8">
      <c r="A1" s="317" t="s">
        <v>2112</v>
      </c>
      <c r="B1" s="317" t="s">
        <v>4940</v>
      </c>
      <c r="C1" s="317" t="s">
        <v>1545</v>
      </c>
      <c r="D1" s="317" t="s">
        <v>4953</v>
      </c>
      <c r="E1" s="317" t="s">
        <v>1573</v>
      </c>
      <c r="F1" s="317" t="s">
        <v>5073</v>
      </c>
      <c r="G1" s="317" t="s">
        <v>5072</v>
      </c>
    </row>
    <row r="2" spans="1:8" ht="15" customHeight="1">
      <c r="A2" s="596" t="s">
        <v>5066</v>
      </c>
      <c r="B2" s="596" t="s">
        <v>4944</v>
      </c>
      <c r="C2" s="681" t="s">
        <v>4949</v>
      </c>
      <c r="D2" s="596" t="s">
        <v>1626</v>
      </c>
      <c r="E2" s="596" t="s">
        <v>5063</v>
      </c>
      <c r="F2" s="596">
        <v>1</v>
      </c>
      <c r="G2" s="682" t="s">
        <v>5733</v>
      </c>
      <c r="H2" s="674" t="s">
        <v>487</v>
      </c>
    </row>
    <row r="3" spans="1:8">
      <c r="A3" s="596" t="s">
        <v>5066</v>
      </c>
      <c r="B3" s="596" t="s">
        <v>4944</v>
      </c>
      <c r="C3" s="681" t="s">
        <v>4949</v>
      </c>
      <c r="D3" s="596" t="s">
        <v>1626</v>
      </c>
      <c r="E3" s="596" t="s">
        <v>5064</v>
      </c>
      <c r="F3" s="596">
        <v>2</v>
      </c>
      <c r="G3" s="682" t="s">
        <v>5734</v>
      </c>
      <c r="H3" s="674" t="s">
        <v>487</v>
      </c>
    </row>
    <row r="4" spans="1:8">
      <c r="A4" s="596" t="s">
        <v>5066</v>
      </c>
      <c r="B4" s="596" t="s">
        <v>4944</v>
      </c>
      <c r="C4" s="681" t="s">
        <v>4949</v>
      </c>
      <c r="D4" s="596" t="s">
        <v>1626</v>
      </c>
      <c r="E4" s="596" t="s">
        <v>5065</v>
      </c>
      <c r="F4" s="596">
        <v>3</v>
      </c>
      <c r="G4" s="682" t="s">
        <v>5735</v>
      </c>
      <c r="H4" s="674" t="s">
        <v>487</v>
      </c>
    </row>
    <row r="5" spans="1:8" ht="15" customHeight="1">
      <c r="A5" s="596" t="s">
        <v>5066</v>
      </c>
      <c r="B5" s="596" t="s">
        <v>4944</v>
      </c>
      <c r="C5" s="681" t="s">
        <v>4949</v>
      </c>
      <c r="D5" s="596" t="s">
        <v>1627</v>
      </c>
      <c r="E5" s="596" t="s">
        <v>5063</v>
      </c>
      <c r="F5" s="596">
        <v>4</v>
      </c>
      <c r="G5" s="805" t="s">
        <v>5736</v>
      </c>
      <c r="H5" s="674" t="s">
        <v>487</v>
      </c>
    </row>
    <row r="6" spans="1:8">
      <c r="A6" s="596" t="s">
        <v>5066</v>
      </c>
      <c r="B6" s="596" t="s">
        <v>4944</v>
      </c>
      <c r="C6" s="681" t="s">
        <v>4949</v>
      </c>
      <c r="D6" s="596" t="s">
        <v>1627</v>
      </c>
      <c r="E6" s="596" t="s">
        <v>5064</v>
      </c>
      <c r="F6" s="596">
        <v>5</v>
      </c>
      <c r="G6" s="682" t="s">
        <v>5737</v>
      </c>
      <c r="H6" s="674" t="s">
        <v>487</v>
      </c>
    </row>
    <row r="7" spans="1:8">
      <c r="A7" s="596" t="s">
        <v>5066</v>
      </c>
      <c r="B7" s="596" t="s">
        <v>4944</v>
      </c>
      <c r="C7" s="681" t="s">
        <v>4949</v>
      </c>
      <c r="D7" s="596" t="s">
        <v>1627</v>
      </c>
      <c r="E7" s="596" t="s">
        <v>5065</v>
      </c>
      <c r="F7" s="596">
        <v>6</v>
      </c>
      <c r="G7" s="682" t="s">
        <v>5738</v>
      </c>
      <c r="H7" s="674" t="s">
        <v>487</v>
      </c>
    </row>
    <row r="8" spans="1:8" ht="15" customHeight="1">
      <c r="A8" s="675"/>
      <c r="B8" s="675"/>
      <c r="C8" s="675"/>
      <c r="D8" s="675"/>
      <c r="E8" s="675"/>
      <c r="F8" s="675"/>
      <c r="G8" s="683"/>
      <c r="H8" s="674" t="s">
        <v>487</v>
      </c>
    </row>
    <row r="9" spans="1:8">
      <c r="A9" s="596" t="s">
        <v>5066</v>
      </c>
      <c r="B9" s="596" t="s">
        <v>4944</v>
      </c>
      <c r="C9" s="681" t="s">
        <v>4950</v>
      </c>
      <c r="D9" s="596" t="s">
        <v>1626</v>
      </c>
      <c r="E9" s="596" t="s">
        <v>5063</v>
      </c>
      <c r="F9" s="596">
        <v>7</v>
      </c>
      <c r="G9" s="682" t="s">
        <v>5739</v>
      </c>
      <c r="H9" s="674" t="s">
        <v>487</v>
      </c>
    </row>
    <row r="10" spans="1:8">
      <c r="A10" s="596" t="s">
        <v>5066</v>
      </c>
      <c r="B10" s="596" t="s">
        <v>4944</v>
      </c>
      <c r="C10" s="681" t="s">
        <v>4950</v>
      </c>
      <c r="D10" s="596" t="s">
        <v>1626</v>
      </c>
      <c r="E10" s="596" t="s">
        <v>5064</v>
      </c>
      <c r="F10" s="596">
        <v>8</v>
      </c>
      <c r="G10" s="682" t="s">
        <v>5740</v>
      </c>
      <c r="H10" s="674" t="s">
        <v>487</v>
      </c>
    </row>
    <row r="11" spans="1:8">
      <c r="A11" s="596" t="s">
        <v>5066</v>
      </c>
      <c r="B11" s="596" t="s">
        <v>4944</v>
      </c>
      <c r="C11" s="681" t="s">
        <v>4950</v>
      </c>
      <c r="D11" s="596" t="s">
        <v>1626</v>
      </c>
      <c r="E11" s="596" t="s">
        <v>5065</v>
      </c>
      <c r="F11" s="596">
        <v>9</v>
      </c>
      <c r="G11" s="682" t="s">
        <v>5741</v>
      </c>
      <c r="H11" s="674" t="s">
        <v>487</v>
      </c>
    </row>
    <row r="12" spans="1:8">
      <c r="A12" s="596" t="s">
        <v>5066</v>
      </c>
      <c r="B12" s="596" t="s">
        <v>4944</v>
      </c>
      <c r="C12" s="681" t="s">
        <v>4950</v>
      </c>
      <c r="D12" s="596" t="s">
        <v>1627</v>
      </c>
      <c r="E12" s="596" t="s">
        <v>5063</v>
      </c>
      <c r="F12" s="596">
        <v>10</v>
      </c>
      <c r="G12" s="805" t="s">
        <v>5742</v>
      </c>
      <c r="H12" s="674" t="s">
        <v>487</v>
      </c>
    </row>
    <row r="13" spans="1:8">
      <c r="A13" s="596" t="s">
        <v>5066</v>
      </c>
      <c r="B13" s="596" t="s">
        <v>4944</v>
      </c>
      <c r="C13" s="681" t="s">
        <v>4950</v>
      </c>
      <c r="D13" s="596" t="s">
        <v>1627</v>
      </c>
      <c r="E13" s="596" t="s">
        <v>5064</v>
      </c>
      <c r="F13" s="596">
        <v>11</v>
      </c>
      <c r="G13" s="682" t="s">
        <v>5743</v>
      </c>
      <c r="H13" s="674" t="s">
        <v>487</v>
      </c>
    </row>
    <row r="14" spans="1:8">
      <c r="A14" s="596" t="s">
        <v>5066</v>
      </c>
      <c r="B14" s="596" t="s">
        <v>4944</v>
      </c>
      <c r="C14" s="681" t="s">
        <v>4950</v>
      </c>
      <c r="D14" s="596" t="s">
        <v>1627</v>
      </c>
      <c r="E14" s="596" t="s">
        <v>5065</v>
      </c>
      <c r="F14" s="596">
        <v>12</v>
      </c>
      <c r="G14" s="682" t="s">
        <v>5744</v>
      </c>
      <c r="H14" s="674" t="s">
        <v>487</v>
      </c>
    </row>
    <row r="15" spans="1:8">
      <c r="A15" s="675"/>
      <c r="B15" s="675"/>
      <c r="C15" s="675"/>
      <c r="D15" s="675"/>
      <c r="E15" s="675"/>
      <c r="F15" s="675"/>
      <c r="G15" s="683"/>
      <c r="H15" s="674" t="s">
        <v>487</v>
      </c>
    </row>
    <row r="16" spans="1:8">
      <c r="A16" s="596" t="s">
        <v>5066</v>
      </c>
      <c r="B16" s="681" t="s">
        <v>4945</v>
      </c>
      <c r="C16" s="596" t="s">
        <v>4950</v>
      </c>
      <c r="D16" s="596" t="s">
        <v>1626</v>
      </c>
      <c r="E16" s="596" t="s">
        <v>5063</v>
      </c>
      <c r="F16" s="596">
        <v>13</v>
      </c>
      <c r="G16" s="682" t="s">
        <v>5745</v>
      </c>
      <c r="H16" s="674" t="s">
        <v>487</v>
      </c>
    </row>
    <row r="17" spans="1:8">
      <c r="A17" s="596" t="s">
        <v>5066</v>
      </c>
      <c r="B17" s="681" t="s">
        <v>4945</v>
      </c>
      <c r="C17" s="596" t="s">
        <v>4950</v>
      </c>
      <c r="D17" s="596" t="s">
        <v>1627</v>
      </c>
      <c r="E17" s="596" t="s">
        <v>5063</v>
      </c>
      <c r="F17" s="596">
        <v>14</v>
      </c>
      <c r="G17" s="687" t="s">
        <v>5746</v>
      </c>
      <c r="H17" s="674" t="s">
        <v>487</v>
      </c>
    </row>
    <row r="18" spans="1:8">
      <c r="A18" s="675"/>
      <c r="B18" s="675"/>
      <c r="C18" s="675"/>
      <c r="D18" s="675"/>
      <c r="E18" s="675"/>
      <c r="F18" s="675"/>
      <c r="G18" s="683"/>
      <c r="H18" s="674" t="s">
        <v>487</v>
      </c>
    </row>
    <row r="19" spans="1:8">
      <c r="A19" s="684" t="s">
        <v>5067</v>
      </c>
      <c r="B19" s="685" t="s">
        <v>4944</v>
      </c>
      <c r="C19" s="685" t="s">
        <v>4949</v>
      </c>
      <c r="D19" s="685" t="s">
        <v>1626</v>
      </c>
      <c r="E19" s="685" t="s">
        <v>5063</v>
      </c>
      <c r="F19" s="685">
        <v>15</v>
      </c>
      <c r="G19" s="686" t="s">
        <v>5747</v>
      </c>
      <c r="H19" s="674" t="s">
        <v>487</v>
      </c>
    </row>
    <row r="20" spans="1:8">
      <c r="A20" s="684" t="s">
        <v>5067</v>
      </c>
      <c r="B20" s="685" t="s">
        <v>4944</v>
      </c>
      <c r="C20" s="685" t="s">
        <v>4949</v>
      </c>
      <c r="D20" s="685" t="s">
        <v>1626</v>
      </c>
      <c r="E20" s="685" t="s">
        <v>5064</v>
      </c>
      <c r="F20" s="685">
        <v>16</v>
      </c>
      <c r="G20" s="686" t="s">
        <v>5748</v>
      </c>
      <c r="H20" s="674" t="s">
        <v>487</v>
      </c>
    </row>
    <row r="21" spans="1:8">
      <c r="A21" s="684" t="s">
        <v>5067</v>
      </c>
      <c r="B21" s="685" t="s">
        <v>4944</v>
      </c>
      <c r="C21" s="685" t="s">
        <v>4949</v>
      </c>
      <c r="D21" s="685" t="s">
        <v>1626</v>
      </c>
      <c r="E21" s="685" t="s">
        <v>5065</v>
      </c>
      <c r="F21" s="685">
        <v>17</v>
      </c>
      <c r="G21" s="686" t="s">
        <v>5749</v>
      </c>
      <c r="H21" s="674" t="s">
        <v>487</v>
      </c>
    </row>
    <row r="22" spans="1:8">
      <c r="A22" s="684" t="s">
        <v>5067</v>
      </c>
      <c r="B22" s="685" t="s">
        <v>4944</v>
      </c>
      <c r="C22" s="685" t="s">
        <v>4949</v>
      </c>
      <c r="D22" s="685" t="s">
        <v>1627</v>
      </c>
      <c r="E22" s="685" t="s">
        <v>5063</v>
      </c>
      <c r="F22" s="685">
        <v>18</v>
      </c>
      <c r="G22" s="806" t="s">
        <v>5736</v>
      </c>
      <c r="H22" s="674" t="s">
        <v>487</v>
      </c>
    </row>
    <row r="23" spans="1:8">
      <c r="A23" s="684" t="s">
        <v>5067</v>
      </c>
      <c r="B23" s="685" t="s">
        <v>4944</v>
      </c>
      <c r="C23" s="685" t="s">
        <v>4949</v>
      </c>
      <c r="D23" s="685" t="s">
        <v>1627</v>
      </c>
      <c r="E23" s="685" t="s">
        <v>5064</v>
      </c>
      <c r="F23" s="685">
        <v>19</v>
      </c>
      <c r="G23" s="686" t="s">
        <v>5750</v>
      </c>
      <c r="H23" s="674" t="s">
        <v>487</v>
      </c>
    </row>
    <row r="24" spans="1:8">
      <c r="A24" s="684" t="s">
        <v>5067</v>
      </c>
      <c r="B24" s="685" t="s">
        <v>4944</v>
      </c>
      <c r="C24" s="685" t="s">
        <v>4949</v>
      </c>
      <c r="D24" s="685" t="s">
        <v>1627</v>
      </c>
      <c r="E24" s="685" t="s">
        <v>5065</v>
      </c>
      <c r="F24" s="685">
        <v>20</v>
      </c>
      <c r="G24" s="686" t="s">
        <v>5751</v>
      </c>
      <c r="H24" s="674" t="s">
        <v>487</v>
      </c>
    </row>
    <row r="27" spans="1:8">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A19" sqref="A19"/>
    </sheetView>
  </sheetViews>
  <sheetFormatPr defaultColWidth="9.140625" defaultRowHeight="15"/>
  <cols>
    <col min="1" max="1" width="23" customWidth="1"/>
    <col min="2" max="2" width="18.28515625" customWidth="1"/>
    <col min="3" max="3" width="27.140625" customWidth="1"/>
    <col min="4" max="4" width="22.140625" customWidth="1"/>
    <col min="5" max="5" width="2.42578125" customWidth="1"/>
    <col min="6" max="6" width="12.140625" customWidth="1"/>
    <col min="7" max="7" width="18.28515625" customWidth="1"/>
    <col min="8" max="8" width="29.140625" bestFit="1" customWidth="1"/>
    <col min="9" max="9" width="11.5703125" bestFit="1" customWidth="1"/>
    <col min="10" max="10" width="1.7109375" customWidth="1"/>
    <col min="11" max="11" width="22" bestFit="1" customWidth="1"/>
  </cols>
  <sheetData>
    <row r="1" spans="1:8">
      <c r="A1" s="277" t="s">
        <v>2112</v>
      </c>
      <c r="F1" s="277" t="s">
        <v>5079</v>
      </c>
    </row>
    <row r="2" spans="1:8" s="498" customFormat="1">
      <c r="A2" s="672"/>
      <c r="B2" s="672"/>
      <c r="D2"/>
      <c r="F2"/>
      <c r="G2"/>
      <c r="H2"/>
    </row>
    <row r="3" spans="1:8">
      <c r="A3" s="317" t="s">
        <v>2112</v>
      </c>
      <c r="B3" s="317" t="s">
        <v>4943</v>
      </c>
      <c r="F3" s="317" t="s">
        <v>2112</v>
      </c>
      <c r="G3" s="317" t="s">
        <v>4940</v>
      </c>
      <c r="H3" s="317" t="s">
        <v>5077</v>
      </c>
    </row>
    <row r="4" spans="1:8">
      <c r="A4" s="673" t="s">
        <v>4936</v>
      </c>
      <c r="B4" s="673" t="s">
        <v>5066</v>
      </c>
      <c r="F4" s="689" t="s">
        <v>5066</v>
      </c>
      <c r="G4" s="689" t="s">
        <v>4944</v>
      </c>
      <c r="H4" s="89" t="s">
        <v>4219</v>
      </c>
    </row>
    <row r="5" spans="1:8">
      <c r="A5" s="673" t="s">
        <v>5068</v>
      </c>
      <c r="B5" s="673" t="s">
        <v>5067</v>
      </c>
      <c r="F5" s="689" t="s">
        <v>5066</v>
      </c>
      <c r="G5" s="689" t="s">
        <v>4945</v>
      </c>
      <c r="H5" s="89" t="s">
        <v>5075</v>
      </c>
    </row>
    <row r="6" spans="1:8">
      <c r="F6" s="689" t="s">
        <v>5067</v>
      </c>
      <c r="G6" s="689" t="s">
        <v>4944</v>
      </c>
      <c r="H6" s="89" t="s">
        <v>5076</v>
      </c>
    </row>
    <row r="7" spans="1:8">
      <c r="A7" s="277" t="s">
        <v>4940</v>
      </c>
      <c r="C7" s="894"/>
      <c r="F7" s="156"/>
    </row>
    <row r="8" spans="1:8">
      <c r="F8" s="277" t="s">
        <v>5085</v>
      </c>
    </row>
    <row r="9" spans="1:8">
      <c r="A9" s="317" t="s">
        <v>4940</v>
      </c>
      <c r="B9" s="317" t="s">
        <v>4943</v>
      </c>
    </row>
    <row r="10" spans="1:8">
      <c r="A10" s="610" t="s">
        <v>4941</v>
      </c>
      <c r="B10" s="555" t="s">
        <v>4944</v>
      </c>
      <c r="F10" s="317" t="s">
        <v>4940</v>
      </c>
      <c r="G10" s="317" t="s">
        <v>4947</v>
      </c>
      <c r="H10" s="317" t="s">
        <v>5083</v>
      </c>
    </row>
    <row r="11" spans="1:8">
      <c r="A11" s="610" t="s">
        <v>4942</v>
      </c>
      <c r="B11" s="555" t="s">
        <v>4945</v>
      </c>
      <c r="F11" s="156" t="s">
        <v>4945</v>
      </c>
      <c r="G11" s="689" t="s">
        <v>4950</v>
      </c>
      <c r="H11" s="156" t="s">
        <v>4942</v>
      </c>
    </row>
    <row r="12" spans="1:8">
      <c r="F12" s="156" t="s">
        <v>4944</v>
      </c>
      <c r="G12" s="156" t="s">
        <v>11074</v>
      </c>
      <c r="H12" s="914" t="s">
        <v>11075</v>
      </c>
    </row>
    <row r="13" spans="1:8" s="498" customFormat="1">
      <c r="A13" s="277" t="s">
        <v>4947</v>
      </c>
      <c r="B13"/>
      <c r="C13"/>
      <c r="D13"/>
    </row>
    <row r="14" spans="1:8" s="498" customFormat="1">
      <c r="A14"/>
      <c r="B14"/>
      <c r="C14" s="885"/>
      <c r="D14"/>
    </row>
    <row r="15" spans="1:8">
      <c r="A15" s="317" t="s">
        <v>4947</v>
      </c>
      <c r="B15" s="317" t="s">
        <v>4943</v>
      </c>
      <c r="C15" s="317" t="s">
        <v>3634</v>
      </c>
      <c r="D15" s="317" t="s">
        <v>11017</v>
      </c>
    </row>
    <row r="16" spans="1:8">
      <c r="A16" s="555" t="s">
        <v>3156</v>
      </c>
      <c r="B16" s="555" t="s">
        <v>4949</v>
      </c>
      <c r="C16" s="56">
        <v>2.5000000000000001E-2</v>
      </c>
      <c r="D16" s="56" t="b">
        <v>0</v>
      </c>
    </row>
    <row r="17" spans="1:4">
      <c r="A17" s="555" t="s">
        <v>4948</v>
      </c>
      <c r="B17" s="555" t="s">
        <v>4950</v>
      </c>
      <c r="C17" s="56">
        <v>2.5000000000000001E-2</v>
      </c>
      <c r="D17" s="56" t="b">
        <v>0</v>
      </c>
    </row>
    <row r="18" spans="1:4">
      <c r="A18" s="909" t="s">
        <v>11028</v>
      </c>
      <c r="B18" s="873" t="s">
        <v>11009</v>
      </c>
      <c r="C18" s="56">
        <v>0.01</v>
      </c>
      <c r="D18" s="56" t="b">
        <v>1</v>
      </c>
    </row>
    <row r="19" spans="1:4">
      <c r="A19" s="156" t="s">
        <v>11077</v>
      </c>
      <c r="B19" s="156" t="s">
        <v>11074</v>
      </c>
      <c r="C19" s="916">
        <v>0</v>
      </c>
      <c r="D19" s="916" t="b">
        <v>0</v>
      </c>
    </row>
    <row r="21" spans="1:4">
      <c r="A21" s="277" t="s">
        <v>4999</v>
      </c>
    </row>
    <row r="22" spans="1:4">
      <c r="A22" s="611"/>
      <c r="B22" s="611"/>
      <c r="C22" s="611"/>
    </row>
    <row r="23" spans="1:4">
      <c r="A23" s="317" t="s">
        <v>4999</v>
      </c>
      <c r="B23" s="317" t="s">
        <v>4943</v>
      </c>
      <c r="C23" s="611"/>
    </row>
    <row r="24" spans="1:4">
      <c r="A24" s="612" t="s">
        <v>5000</v>
      </c>
      <c r="B24" s="612" t="s">
        <v>5002</v>
      </c>
      <c r="C24" s="611"/>
    </row>
    <row r="25" spans="1:4">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J278"/>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c r="A1" s="277" t="s">
        <v>3332</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59"/>
    </row>
    <row r="61" spans="1:4">
      <c r="A61" s="268"/>
    </row>
    <row r="62" spans="1:4">
      <c r="A62" s="268"/>
    </row>
    <row r="63" spans="1:4">
      <c r="A63" s="268"/>
    </row>
    <row r="64" spans="1:4">
      <c r="A64" s="268"/>
      <c r="D64" s="459"/>
    </row>
    <row r="65" spans="1:4">
      <c r="A65" s="268"/>
      <c r="D65" s="459"/>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498"/>
    </row>
    <row r="108" spans="1:4">
      <c r="A108" s="268"/>
      <c r="B108" s="498"/>
      <c r="C108" s="498"/>
      <c r="D108" s="459"/>
    </row>
    <row r="109" spans="1:4">
      <c r="A109" s="268"/>
      <c r="B109" s="498"/>
      <c r="C109" s="498"/>
      <c r="D109" s="459"/>
    </row>
    <row r="110" spans="1:4">
      <c r="A110" s="268"/>
      <c r="B110" s="498"/>
      <c r="C110" s="498"/>
      <c r="D110" s="459"/>
    </row>
    <row r="111" spans="1:4">
      <c r="A111" s="268"/>
    </row>
    <row r="112" spans="1:4">
      <c r="A112" s="268"/>
    </row>
    <row r="113" spans="1:4">
      <c r="A113" s="268"/>
    </row>
    <row r="114" spans="1:4">
      <c r="A114" s="268"/>
      <c r="B114" s="498"/>
      <c r="C114" s="498"/>
      <c r="D114" s="498"/>
    </row>
    <row r="115" spans="1:4">
      <c r="A115" s="268"/>
    </row>
    <row r="116" spans="1:4">
      <c r="A116" s="268"/>
      <c r="B116" s="498"/>
      <c r="C116" s="498"/>
      <c r="D116" s="498"/>
    </row>
    <row r="117" spans="1:4">
      <c r="A117" s="268"/>
    </row>
    <row r="118" spans="1:4">
      <c r="A118" s="268"/>
      <c r="D118" s="498"/>
    </row>
    <row r="119" spans="1:4">
      <c r="A119" s="268"/>
    </row>
    <row r="120" spans="1:4">
      <c r="A120" s="268"/>
      <c r="B120" s="498"/>
      <c r="C120" s="498"/>
      <c r="D120" s="498"/>
    </row>
    <row r="121" spans="1:4">
      <c r="A121" s="268"/>
    </row>
    <row r="122" spans="1:4">
      <c r="A122" s="268"/>
    </row>
    <row r="123" spans="1:4">
      <c r="A123" s="268"/>
    </row>
    <row r="124" spans="1:4">
      <c r="A124" s="268"/>
    </row>
    <row r="125" spans="1:4">
      <c r="A125" s="268"/>
      <c r="D125" s="459"/>
    </row>
    <row r="126" spans="1:4">
      <c r="A126" s="268"/>
    </row>
    <row r="127" spans="1:4">
      <c r="A127" s="268"/>
    </row>
    <row r="128" spans="1:4">
      <c r="A128" s="268"/>
    </row>
    <row r="129" spans="1:4">
      <c r="A129" s="268"/>
    </row>
    <row r="130" spans="1:4">
      <c r="A130" s="268"/>
    </row>
    <row r="131" spans="1:4">
      <c r="A131" s="268"/>
    </row>
    <row r="132" spans="1:4">
      <c r="A132" s="268"/>
      <c r="B132" s="498"/>
      <c r="C132" s="498"/>
      <c r="D132" s="498"/>
    </row>
    <row r="133" spans="1:4">
      <c r="A133" s="268"/>
      <c r="B133" s="498"/>
      <c r="C133" s="498"/>
      <c r="D133" s="459"/>
    </row>
    <row r="134" spans="1:4">
      <c r="A134" s="268"/>
      <c r="B134" s="498"/>
      <c r="C134" s="498"/>
      <c r="D134" s="459"/>
    </row>
    <row r="135" spans="1:4">
      <c r="A135" s="268"/>
      <c r="B135" s="498"/>
      <c r="C135" s="498"/>
      <c r="D135" s="498"/>
    </row>
    <row r="136" spans="1:4">
      <c r="A136" s="268"/>
      <c r="B136" s="498"/>
      <c r="C136" s="498"/>
      <c r="D136" s="498"/>
    </row>
    <row r="137" spans="1:4">
      <c r="A137" s="268"/>
      <c r="B137" s="498"/>
      <c r="C137" s="498"/>
      <c r="D137" s="498"/>
    </row>
    <row r="138" spans="1:4">
      <c r="A138" s="268"/>
      <c r="B138" s="498"/>
      <c r="C138" s="498"/>
      <c r="D138" s="498"/>
    </row>
    <row r="139" spans="1:4">
      <c r="A139" s="268"/>
    </row>
    <row r="140" spans="1:4">
      <c r="A140" s="268"/>
    </row>
    <row r="141" spans="1:4">
      <c r="A141" s="268"/>
      <c r="B141" s="498"/>
      <c r="C141" s="498"/>
      <c r="D141" s="498"/>
    </row>
    <row r="142" spans="1:4">
      <c r="A142" s="268"/>
      <c r="B142" s="498"/>
      <c r="C142" s="498"/>
      <c r="D142" s="498"/>
    </row>
    <row r="143" spans="1:4">
      <c r="A143" s="268"/>
      <c r="B143" s="498"/>
      <c r="C143" s="498"/>
      <c r="D143" s="498"/>
    </row>
    <row r="144" spans="1:4">
      <c r="A144" s="268"/>
      <c r="B144" s="498"/>
      <c r="C144" s="498"/>
      <c r="D144" s="498"/>
    </row>
    <row r="145" spans="1:4">
      <c r="A145" s="268"/>
      <c r="B145" s="498"/>
      <c r="C145" s="498"/>
      <c r="D145" s="498"/>
    </row>
    <row r="146" spans="1:4">
      <c r="A146" s="268"/>
      <c r="B146" s="498"/>
      <c r="C146" s="498"/>
      <c r="D146" s="498"/>
    </row>
    <row r="147" spans="1:4">
      <c r="A147" s="268"/>
      <c r="B147" s="498"/>
      <c r="C147" s="498"/>
      <c r="D147" s="498"/>
    </row>
    <row r="148" spans="1:4">
      <c r="A148" s="268"/>
      <c r="B148" s="498"/>
      <c r="C148" s="498"/>
      <c r="D148" s="498"/>
    </row>
    <row r="149" spans="1:4">
      <c r="A149" s="268"/>
      <c r="B149" s="498"/>
      <c r="C149" s="498"/>
      <c r="D149" s="498"/>
    </row>
    <row r="150" spans="1:4">
      <c r="A150" s="268"/>
      <c r="B150" s="498"/>
      <c r="C150" s="498"/>
      <c r="D150" s="498"/>
    </row>
    <row r="151" spans="1:4">
      <c r="A151" s="268"/>
      <c r="B151" s="498"/>
      <c r="C151" s="498"/>
      <c r="D151" s="498"/>
    </row>
    <row r="152" spans="1:4">
      <c r="A152" s="554"/>
      <c r="B152" s="278"/>
      <c r="C152" s="278"/>
      <c r="D152" s="278"/>
    </row>
    <row r="154" spans="1:4">
      <c r="D154" s="277"/>
    </row>
    <row r="156" spans="1:4">
      <c r="A156" s="556"/>
      <c r="B156" s="556"/>
      <c r="C156" s="557"/>
      <c r="D156" s="558"/>
    </row>
    <row r="159" spans="1:4">
      <c r="D159" s="498"/>
    </row>
    <row r="160" spans="1:4">
      <c r="A160" s="556"/>
      <c r="B160" s="556"/>
      <c r="C160" s="557"/>
      <c r="D160" s="558"/>
    </row>
    <row r="161" spans="1:4">
      <c r="D161" s="498"/>
    </row>
    <row r="162" spans="1:4">
      <c r="D162" s="287"/>
    </row>
    <row r="164" spans="1:4">
      <c r="A164" s="556"/>
      <c r="B164" s="556"/>
      <c r="C164" s="557"/>
      <c r="D164" s="558"/>
    </row>
    <row r="165" spans="1:4">
      <c r="D165" s="287"/>
    </row>
    <row r="167" spans="1:4">
      <c r="A167" s="556"/>
      <c r="B167" s="556"/>
      <c r="C167" s="557"/>
      <c r="D167" s="558"/>
    </row>
    <row r="168" spans="1:4">
      <c r="D168" s="287"/>
    </row>
    <row r="169" spans="1:4">
      <c r="D169" s="287"/>
    </row>
    <row r="171" spans="1:4">
      <c r="A171" s="554"/>
      <c r="B171" s="278"/>
      <c r="C171" s="278"/>
      <c r="D171" s="278"/>
    </row>
    <row r="172" spans="1:4">
      <c r="D172" s="498"/>
    </row>
    <row r="173" spans="1:4">
      <c r="D173" s="498"/>
    </row>
    <row r="174" spans="1:4">
      <c r="D174" s="498"/>
    </row>
    <row r="175" spans="1:4">
      <c r="D175" s="498"/>
    </row>
    <row r="176" spans="1:4">
      <c r="D176" s="498"/>
    </row>
    <row r="177" spans="4:4">
      <c r="D177" s="498"/>
    </row>
    <row r="178" spans="4:4">
      <c r="D178" s="498"/>
    </row>
    <row r="179" spans="4:4">
      <c r="D179" s="498"/>
    </row>
    <row r="180" spans="4:4">
      <c r="D180" s="498"/>
    </row>
    <row r="181" spans="4:4">
      <c r="D181" s="498"/>
    </row>
    <row r="182" spans="4:4">
      <c r="D182" s="498"/>
    </row>
    <row r="183" spans="4:4">
      <c r="D183" s="498"/>
    </row>
    <row r="184" spans="4:4">
      <c r="D184" s="585"/>
    </row>
    <row r="185" spans="4:4">
      <c r="D185" s="585"/>
    </row>
    <row r="186" spans="4:4">
      <c r="D186" s="585"/>
    </row>
    <row r="187" spans="4:4">
      <c r="D187" s="585"/>
    </row>
    <row r="188" spans="4:4">
      <c r="D188" s="586"/>
    </row>
    <row r="189" spans="4:4">
      <c r="D189" s="586"/>
    </row>
    <row r="190" spans="4:4">
      <c r="D190" s="609"/>
    </row>
    <row r="191" spans="4:4">
      <c r="D191" s="609"/>
    </row>
    <row r="192" spans="4:4">
      <c r="D192" s="609"/>
    </row>
    <row r="193" spans="1:4">
      <c r="D193" s="609"/>
    </row>
    <row r="194" spans="1:4">
      <c r="D194" s="609"/>
    </row>
    <row r="195" spans="1:4">
      <c r="D195" s="609"/>
    </row>
    <row r="196" spans="1:4">
      <c r="D196" s="611"/>
    </row>
    <row r="197" spans="1:4">
      <c r="D197" s="611"/>
    </row>
    <row r="198" spans="1:4">
      <c r="D198" s="615"/>
    </row>
    <row r="199" spans="1:4">
      <c r="D199" s="615"/>
    </row>
    <row r="200" spans="1:4">
      <c r="D200" s="615"/>
    </row>
    <row r="201" spans="1:4">
      <c r="D201" s="615"/>
    </row>
    <row r="202" spans="1:4">
      <c r="D202" s="615"/>
    </row>
    <row r="203" spans="1:4">
      <c r="D203" s="615"/>
    </row>
    <row r="204" spans="1:4">
      <c r="D204" s="615"/>
    </row>
    <row r="205" spans="1:4">
      <c r="D205" s="618"/>
    </row>
    <row r="206" spans="1:4">
      <c r="D206" s="665"/>
    </row>
    <row r="207" spans="1:4">
      <c r="D207" s="665"/>
    </row>
    <row r="208" spans="1:4">
      <c r="A208" s="554"/>
      <c r="B208" s="278"/>
      <c r="C208" s="278"/>
      <c r="D208" s="278"/>
    </row>
    <row r="209" spans="1:4">
      <c r="D209" s="672"/>
    </row>
    <row r="210" spans="1:4">
      <c r="D210" s="672"/>
    </row>
    <row r="211" spans="1:4">
      <c r="D211" s="672"/>
    </row>
    <row r="212" spans="1:4">
      <c r="D212" s="672"/>
    </row>
    <row r="213" spans="1:4">
      <c r="D213" s="674"/>
    </row>
    <row r="214" spans="1:4">
      <c r="D214" s="674"/>
    </row>
    <row r="215" spans="1:4">
      <c r="D215" s="674"/>
    </row>
    <row r="216" spans="1:4">
      <c r="D216" s="679"/>
    </row>
    <row r="217" spans="1:4">
      <c r="D217" s="679"/>
    </row>
    <row r="218" spans="1:4">
      <c r="D218" s="688"/>
    </row>
    <row r="219" spans="1:4">
      <c r="D219" s="688"/>
    </row>
    <row r="220" spans="1:4">
      <c r="D220" s="690"/>
    </row>
    <row r="221" spans="1:4">
      <c r="A221" s="554"/>
      <c r="B221" s="278"/>
      <c r="C221" s="278"/>
      <c r="D221" s="278"/>
    </row>
    <row r="222" spans="1:4">
      <c r="D222" s="691"/>
    </row>
    <row r="223" spans="1:4">
      <c r="D223" s="691"/>
    </row>
    <row r="224" spans="1:4">
      <c r="D224" s="277"/>
    </row>
    <row r="225" spans="1:4">
      <c r="D225" s="698"/>
    </row>
    <row r="226" spans="1:4">
      <c r="D226" s="699"/>
    </row>
    <row r="227" spans="1:4">
      <c r="D227" s="699"/>
    </row>
    <row r="228" spans="1:4">
      <c r="A228" s="268"/>
      <c r="B228" s="700"/>
      <c r="C228" s="700"/>
      <c r="D228" s="700"/>
    </row>
    <row r="229" spans="1:4">
      <c r="A229" s="268"/>
      <c r="B229" s="700"/>
      <c r="C229" s="700"/>
      <c r="D229" s="700"/>
    </row>
    <row r="230" spans="1:4">
      <c r="A230" s="268"/>
      <c r="B230" s="702"/>
      <c r="C230" s="702"/>
      <c r="D230" s="702"/>
    </row>
    <row r="231" spans="1:4">
      <c r="A231" s="268"/>
      <c r="B231" s="702"/>
      <c r="C231" s="702"/>
      <c r="D231" s="702"/>
    </row>
    <row r="232" spans="1:4">
      <c r="A232" s="268"/>
      <c r="B232" s="702"/>
      <c r="C232" s="702"/>
      <c r="D232" s="702"/>
    </row>
    <row r="233" spans="1:4">
      <c r="A233" s="268"/>
      <c r="B233" s="702"/>
      <c r="C233" s="702"/>
      <c r="D233" s="702"/>
    </row>
    <row r="234" spans="1:4">
      <c r="A234" s="268"/>
      <c r="B234" s="702"/>
      <c r="C234" s="702"/>
      <c r="D234" s="702"/>
    </row>
    <row r="235" spans="1:4">
      <c r="A235" s="268"/>
      <c r="B235" s="704"/>
      <c r="C235" s="704"/>
      <c r="D235" s="704"/>
    </row>
    <row r="236" spans="1:4">
      <c r="A236" s="268"/>
      <c r="B236" s="704"/>
      <c r="C236" s="704"/>
      <c r="D236" s="704"/>
    </row>
    <row r="237" spans="1:4">
      <c r="A237" s="268"/>
      <c r="B237" s="710"/>
      <c r="C237" s="710"/>
      <c r="D237" s="710"/>
    </row>
    <row r="239" spans="1:4">
      <c r="A239" s="554"/>
      <c r="B239" s="278"/>
      <c r="C239" s="278"/>
      <c r="D239" s="278"/>
    </row>
    <row r="240" spans="1:4">
      <c r="D240" s="717"/>
    </row>
    <row r="242" spans="1:4">
      <c r="D242" s="277"/>
    </row>
    <row r="243" spans="1:4">
      <c r="D243" s="717"/>
    </row>
    <row r="244" spans="1:4">
      <c r="D244" s="717"/>
    </row>
    <row r="245" spans="1:4">
      <c r="D245" s="717"/>
    </row>
    <row r="247" spans="1:4">
      <c r="D247" s="277"/>
    </row>
    <row r="248" spans="1:4">
      <c r="D248" s="287"/>
    </row>
    <row r="249" spans="1:4">
      <c r="D249" s="287"/>
    </row>
    <row r="250" spans="1:4">
      <c r="D250" s="287"/>
    </row>
    <row r="251" spans="1:4">
      <c r="D251" s="287"/>
    </row>
    <row r="253" spans="1:4">
      <c r="A253" s="268"/>
    </row>
    <row r="254" spans="1:4">
      <c r="A254" s="268"/>
    </row>
    <row r="256" spans="1:4">
      <c r="A256" s="554"/>
      <c r="B256" s="278"/>
      <c r="C256" s="278"/>
      <c r="D256" s="278"/>
    </row>
    <row r="257" spans="1:4">
      <c r="A257" s="268"/>
      <c r="B257" s="720"/>
      <c r="C257" s="720"/>
      <c r="D257" s="720"/>
    </row>
    <row r="258" spans="1:4">
      <c r="A258" s="268"/>
      <c r="B258" s="721"/>
      <c r="C258" s="721"/>
      <c r="D258" s="721"/>
    </row>
    <row r="259" spans="1:4">
      <c r="A259" s="268"/>
    </row>
    <row r="260" spans="1:4">
      <c r="A260" s="268"/>
    </row>
    <row r="262" spans="1:4">
      <c r="A262" s="554"/>
      <c r="B262" s="278"/>
      <c r="C262" s="278"/>
      <c r="D262" s="278"/>
    </row>
    <row r="263" spans="1:4">
      <c r="D263" s="729"/>
    </row>
    <row r="265" spans="1:4">
      <c r="D265" s="277"/>
    </row>
    <row r="266" spans="1:4">
      <c r="D266" s="729"/>
    </row>
    <row r="267" spans="1:4">
      <c r="D267" s="729"/>
    </row>
    <row r="268" spans="1:4">
      <c r="D268" s="729"/>
    </row>
    <row r="269" spans="1:4">
      <c r="D269" s="729"/>
    </row>
    <row r="270" spans="1:4">
      <c r="D270" s="277"/>
    </row>
    <row r="271" spans="1:4">
      <c r="D271" s="287"/>
    </row>
    <row r="272" spans="1:4">
      <c r="D272" s="287"/>
    </row>
    <row r="273" spans="4:10">
      <c r="D273" s="287"/>
    </row>
    <row r="274" spans="4:10">
      <c r="D274" s="287"/>
    </row>
    <row r="275" spans="4:10">
      <c r="D275" s="268"/>
    </row>
    <row r="276" spans="4:10">
      <c r="D276" s="268"/>
      <c r="E276" s="730"/>
      <c r="F276" s="730"/>
      <c r="G276" s="730"/>
    </row>
    <row r="277" spans="4:10">
      <c r="D277" s="268"/>
    </row>
    <row r="278" spans="4:10">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672</vt:i4>
      </vt:variant>
    </vt:vector>
  </HeadingPairs>
  <TitlesOfParts>
    <vt:vector size="699"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CONTEO_CONDICION_AUTO</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OPCION_CONDICION_AUTO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T_T_PREFERENTE</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2016-09-20T13:09:35Z</dcterms:modified>
</cp:coreProperties>
</file>