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13" activeTab="22"/>
    <workbookView xWindow="-15" yWindow="-15" windowWidth="19095" windowHeight="11775"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U8" i="1"/>
  <c r="V8"/>
  <c r="X8"/>
  <c r="V9"/>
  <c r="V10"/>
  <c r="X10"/>
  <c r="V11"/>
  <c r="V12"/>
  <c r="X12"/>
  <c r="U17"/>
  <c r="V17"/>
  <c r="X17" s="1"/>
  <c r="U18"/>
  <c r="U19"/>
  <c r="X19"/>
  <c r="B34" i="27"/>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H26"/>
  <c r="G26"/>
  <c r="F115"/>
  <c r="F35"/>
  <c r="F54"/>
  <c r="F50"/>
  <c r="B37"/>
  <c r="F37"/>
  <c r="F100"/>
  <c r="F116"/>
  <c r="F98"/>
  <c r="C33" i="51"/>
  <c r="F141" i="1"/>
  <c r="G40"/>
  <c r="F36"/>
  <c r="F99"/>
  <c r="F59"/>
  <c r="F140"/>
  <c r="G79"/>
  <c r="G77"/>
  <c r="G81"/>
  <c r="G82"/>
  <c r="F52"/>
  <c r="G84"/>
  <c r="C33" i="52"/>
  <c r="F51" i="1"/>
  <c r="H40"/>
  <c r="X6" l="1" a="1"/>
  <c r="X6" s="1"/>
  <c r="X11"/>
  <c r="X9"/>
  <c r="X18"/>
  <c r="X15" s="1" a="1"/>
  <c r="X15" s="1"/>
  <c r="C15"/>
  <c r="F58" i="3"/>
  <c r="G58" s="1"/>
  <c r="H28" i="31"/>
  <c r="C18" i="54" s="1"/>
  <c r="B7" i="9"/>
  <c r="E48" s="1"/>
  <c r="AH48" i="49" s="1"/>
  <c r="E28" i="31"/>
  <c r="C18" i="49" s="1"/>
  <c r="B28" i="31"/>
  <c r="C18" i="48" s="1"/>
  <c r="K8" i="31"/>
  <c r="C17" i="53" s="1"/>
  <c r="B9" i="31"/>
  <c r="C18" i="51" s="1"/>
  <c r="BC27" s="1"/>
  <c r="H9" i="31"/>
  <c r="C18" i="52" s="1"/>
  <c r="BC56" s="1"/>
  <c r="Q24" i="1"/>
  <c r="B4" i="9"/>
  <c r="A26"/>
  <c r="B26"/>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F62" i="1"/>
  <c r="F61"/>
  <c r="G75"/>
  <c r="F55"/>
  <c r="E49" i="9" l="1"/>
  <c r="AH49" i="49" s="1"/>
  <c r="BC36" i="5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L20" i="9"/>
  <c r="C26"/>
  <c r="O20"/>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J16"/>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C33" i="54"/>
  <c r="H68" i="1"/>
  <c r="C33" i="48"/>
  <c r="C34" i="51"/>
  <c r="F16" i="1"/>
  <c r="F17"/>
  <c r="F19"/>
  <c r="C33" i="49"/>
  <c r="C34" i="52"/>
  <c r="AH21" i="54" l="1"/>
  <c r="AH64" i="49"/>
  <c r="AH28" i="48"/>
  <c r="AH52"/>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9"/>
  <c r="B28"/>
  <c r="F20" s="1"/>
  <c r="U21"/>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G74" i="1"/>
  <c r="H83"/>
  <c r="G28"/>
  <c r="F20"/>
  <c r="G67"/>
  <c r="H65"/>
  <c r="G71"/>
  <c r="H29"/>
  <c r="I21" i="9"/>
  <c r="G66" i="1"/>
  <c r="H28"/>
  <c r="G29"/>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B20" i="28"/>
  <c r="G20" i="9"/>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I22" i="9"/>
  <c r="H74" i="1"/>
  <c r="J23" i="9"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1" i="9"/>
  <c r="J32" l="1"/>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J33" l="1"/>
  <c r="F32"/>
  <c r="B32" i="28" s="1"/>
  <c r="U34" i="9"/>
  <c r="V33"/>
  <c r="G32"/>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J34" l="1"/>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J35" l="1"/>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5" i="9"/>
  <c r="J36" l="1"/>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S23" i="49"/>
  <c r="AA23"/>
  <c r="AA23" i="54"/>
  <c r="S23"/>
  <c r="I39" i="9"/>
  <c r="C30" i="49"/>
  <c r="C30" i="54"/>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AZ22" i="51"/>
  <c r="AY22"/>
  <c r="Z22"/>
  <c r="AA22" s="1"/>
  <c r="U22"/>
  <c r="W22"/>
  <c r="L23" s="1"/>
  <c r="AN23"/>
  <c r="AQ23"/>
  <c r="BB23" i="52"/>
  <c r="BD23" s="1"/>
  <c r="AP23"/>
  <c r="AO23"/>
  <c r="X23" i="49"/>
  <c r="AD23" s="1"/>
  <c r="X23" i="54"/>
  <c r="AD23" s="1"/>
  <c r="AJ23"/>
  <c r="G23" i="26" s="1"/>
  <c r="AF23" i="54"/>
  <c r="AJ23" i="49"/>
  <c r="F23" i="26" s="1"/>
  <c r="AF23" i="49"/>
  <c r="I41" i="9"/>
  <c r="C32" i="51"/>
  <c r="C32" i="52"/>
  <c r="J42" i="9" l="1"/>
  <c r="F41"/>
  <c r="B41" i="28" s="1"/>
  <c r="V42" i="9"/>
  <c r="U43"/>
  <c r="G4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V24" i="48"/>
  <c r="T24"/>
  <c r="Z24" s="1"/>
  <c r="AI24"/>
  <c r="Q24" i="54"/>
  <c r="Q24" i="49"/>
  <c r="I42" i="9"/>
  <c r="J43" l="1"/>
  <c r="F42"/>
  <c r="B42" i="28" s="1"/>
  <c r="U44" i="9"/>
  <c r="V43"/>
  <c r="G42"/>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X24" i="48"/>
  <c r="AA24" i="49"/>
  <c r="S24"/>
  <c r="AA24" i="54"/>
  <c r="S24"/>
  <c r="I43" i="9"/>
  <c r="J44" l="1"/>
  <c r="F43"/>
  <c r="B43" i="28" s="1"/>
  <c r="V44" i="9"/>
  <c r="U45"/>
  <c r="G43"/>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AY24"/>
  <c r="AZ24"/>
  <c r="T24" i="54"/>
  <c r="Z24" s="1"/>
  <c r="AB24" s="1"/>
  <c r="V24"/>
  <c r="AI24"/>
  <c r="V24" i="49"/>
  <c r="T24"/>
  <c r="Z24" s="1"/>
  <c r="AB24" s="1"/>
  <c r="AI24"/>
  <c r="I44" i="9"/>
  <c r="J45" l="1"/>
  <c r="F44"/>
  <c r="B44" i="28" s="1"/>
  <c r="U46" i="9"/>
  <c r="V45"/>
  <c r="G44"/>
  <c r="U35" i="48"/>
  <c r="U35" i="49"/>
  <c r="R35" i="51"/>
  <c r="O35" i="53" s="1"/>
  <c r="R35" i="52"/>
  <c r="U35" i="54"/>
  <c r="AR24" i="52"/>
  <c r="AU24" s="1"/>
  <c r="M24" s="1"/>
  <c r="O24" s="1"/>
  <c r="D23" i="28"/>
  <c r="AG23" i="53"/>
  <c r="AO24" i="51"/>
  <c r="AR24" s="1"/>
  <c r="AP24"/>
  <c r="BB24"/>
  <c r="BD24" s="1"/>
  <c r="AV24"/>
  <c r="N24"/>
  <c r="P24"/>
  <c r="AW24"/>
  <c r="I23" i="28"/>
  <c r="Q23" i="53"/>
  <c r="E23" i="28"/>
  <c r="X24" i="49"/>
  <c r="AD24" s="1"/>
  <c r="X24" i="54"/>
  <c r="AD24" s="1"/>
  <c r="C24" i="28"/>
  <c r="N24" i="53"/>
  <c r="AJ24" i="54"/>
  <c r="G24" i="26" s="1"/>
  <c r="AF24" i="54"/>
  <c r="AJ24" i="49"/>
  <c r="F24" i="26" s="1"/>
  <c r="AF24" i="49"/>
  <c r="S25" i="48"/>
  <c r="AA25"/>
  <c r="I45" i="9"/>
  <c r="J46" l="1"/>
  <c r="F45"/>
  <c r="B45" i="28" s="1"/>
  <c r="V46" i="9"/>
  <c r="U47"/>
  <c r="G45"/>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Z24" i="53"/>
  <c r="P24"/>
  <c r="AI25" i="48"/>
  <c r="V25"/>
  <c r="T25"/>
  <c r="Z25" s="1"/>
  <c r="AB25" s="1"/>
  <c r="Q25" i="49"/>
  <c r="Q25" i="54"/>
  <c r="I46" i="9"/>
  <c r="J47" l="1"/>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X25" i="48"/>
  <c r="AD25" s="1"/>
  <c r="E24" i="28"/>
  <c r="Q24" i="53"/>
  <c r="S25" i="52"/>
  <c r="Q25"/>
  <c r="S25" i="49"/>
  <c r="AA25"/>
  <c r="AA25" i="54"/>
  <c r="S25"/>
  <c r="AJ25" i="48"/>
  <c r="E25" i="26" s="1"/>
  <c r="AF25" i="48"/>
  <c r="Q26" s="1"/>
  <c r="I47" i="9"/>
  <c r="J48" l="1"/>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I24" i="28"/>
  <c r="V25" i="53"/>
  <c r="L25" s="1"/>
  <c r="F24" i="28"/>
  <c r="T25" i="52"/>
  <c r="R24" i="53"/>
  <c r="G24" i="28" s="1"/>
  <c r="AA26" i="48"/>
  <c r="S26"/>
  <c r="T25" i="49"/>
  <c r="Z25" s="1"/>
  <c r="AB25" s="1"/>
  <c r="AI25"/>
  <c r="V25"/>
  <c r="V25" i="54"/>
  <c r="T25"/>
  <c r="Z25" s="1"/>
  <c r="AB25" s="1"/>
  <c r="AI25"/>
  <c r="AY25" i="52"/>
  <c r="AZ25"/>
  <c r="I48" i="9"/>
  <c r="J49" l="1"/>
  <c r="F48"/>
  <c r="B48" i="28" s="1"/>
  <c r="U50" i="9"/>
  <c r="V49"/>
  <c r="G48"/>
  <c r="U39" i="49"/>
  <c r="R39" i="51"/>
  <c r="O39" i="53" s="1"/>
  <c r="R39" i="52"/>
  <c r="U39" i="48"/>
  <c r="U39" i="54"/>
  <c r="Q25" i="51"/>
  <c r="S25"/>
  <c r="T25" s="1"/>
  <c r="AU25"/>
  <c r="M25" s="1"/>
  <c r="O25" s="1"/>
  <c r="Y25" i="53" s="1"/>
  <c r="M25" s="1"/>
  <c r="BE25" i="51"/>
  <c r="AS25"/>
  <c r="AM26" s="1"/>
  <c r="Z25" i="52"/>
  <c r="AN26"/>
  <c r="AQ26"/>
  <c r="C25" i="28"/>
  <c r="N25" i="53"/>
  <c r="N26" i="52"/>
  <c r="AW26"/>
  <c r="U25"/>
  <c r="AV26"/>
  <c r="X25" i="54"/>
  <c r="AD25" s="1"/>
  <c r="X25" i="49"/>
  <c r="AD25" s="1"/>
  <c r="AJ25"/>
  <c r="F25" i="26" s="1"/>
  <c r="AF25" i="49"/>
  <c r="Q26" s="1"/>
  <c r="Q26" i="52"/>
  <c r="S26"/>
  <c r="T26" s="1"/>
  <c r="V26" i="48"/>
  <c r="X26" s="1"/>
  <c r="T26"/>
  <c r="Z26" s="1"/>
  <c r="AB26" s="1"/>
  <c r="AI26"/>
  <c r="AJ25" i="54"/>
  <c r="G25" i="26" s="1"/>
  <c r="AF25" i="54"/>
  <c r="Q26" s="1"/>
  <c r="I49" i="9"/>
  <c r="J50" l="1"/>
  <c r="F49"/>
  <c r="B49" i="28" s="1"/>
  <c r="V50" i="9"/>
  <c r="U51"/>
  <c r="G49"/>
  <c r="U40" i="54"/>
  <c r="U40" i="48"/>
  <c r="U40" i="49"/>
  <c r="R40" i="52"/>
  <c r="R40" i="51"/>
  <c r="O40" i="53" s="1"/>
  <c r="U25" i="51"/>
  <c r="AN26"/>
  <c r="AQ26"/>
  <c r="W25"/>
  <c r="L26" s="1"/>
  <c r="Z25"/>
  <c r="AA25" s="1"/>
  <c r="AZ25"/>
  <c r="AY25"/>
  <c r="P25" i="53"/>
  <c r="Z25"/>
  <c r="D25" i="28"/>
  <c r="T25" i="53"/>
  <c r="AO26" i="52"/>
  <c r="AR26" s="1"/>
  <c r="BB26"/>
  <c r="BD26" s="1"/>
  <c r="AP26"/>
  <c r="AA25"/>
  <c r="AG25" i="53"/>
  <c r="K25" i="26"/>
  <c r="AA26" i="54"/>
  <c r="S26"/>
  <c r="AJ26" i="48"/>
  <c r="E26" i="26" s="1"/>
  <c r="AD26" i="48"/>
  <c r="AF26"/>
  <c r="Q27" s="1"/>
  <c r="AA26" i="49"/>
  <c r="S26"/>
  <c r="AY26" i="52"/>
  <c r="AZ26"/>
  <c r="I50" i="9"/>
  <c r="J51" l="1"/>
  <c r="F50"/>
  <c r="B50" i="28" s="1"/>
  <c r="U52" i="9"/>
  <c r="V51"/>
  <c r="G50"/>
  <c r="U41" i="54"/>
  <c r="U41" i="49"/>
  <c r="R41" i="51"/>
  <c r="O41" i="53" s="1"/>
  <c r="U41" i="48"/>
  <c r="R41" i="52"/>
  <c r="AP26" i="51"/>
  <c r="BB26"/>
  <c r="BD26" s="1"/>
  <c r="AO26"/>
  <c r="AR26" s="1"/>
  <c r="AV26"/>
  <c r="N26"/>
  <c r="P26"/>
  <c r="AW26"/>
  <c r="V26" i="53"/>
  <c r="L26" s="1"/>
  <c r="I25" i="28"/>
  <c r="BE26" i="52"/>
  <c r="AS26"/>
  <c r="AM27" s="1"/>
  <c r="AU26"/>
  <c r="M26" s="1"/>
  <c r="O26" s="1"/>
  <c r="E25" i="28"/>
  <c r="Q25" i="53"/>
  <c r="T26" i="49"/>
  <c r="Z26" s="1"/>
  <c r="AB26" s="1"/>
  <c r="V26"/>
  <c r="X26" s="1"/>
  <c r="AI26"/>
  <c r="AA27" i="48"/>
  <c r="S27"/>
  <c r="T26" i="54"/>
  <c r="Z26" s="1"/>
  <c r="AB26" s="1"/>
  <c r="AI26"/>
  <c r="V26"/>
  <c r="X26" s="1"/>
  <c r="I51" i="9"/>
  <c r="J52" l="1"/>
  <c r="F51"/>
  <c r="B51" i="28" s="1"/>
  <c r="V52" i="9"/>
  <c r="U53"/>
  <c r="G5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T27" i="48"/>
  <c r="Z27" s="1"/>
  <c r="AB27" s="1"/>
  <c r="AI27"/>
  <c r="V27"/>
  <c r="X27" s="1"/>
  <c r="AJ26" i="49"/>
  <c r="F26" i="26" s="1"/>
  <c r="AD26" i="49"/>
  <c r="AF26"/>
  <c r="Q27" s="1"/>
  <c r="AD26" i="54"/>
  <c r="AJ26"/>
  <c r="G26" i="26" s="1"/>
  <c r="AF26" i="54"/>
  <c r="Q27" s="1"/>
  <c r="I52" i="9"/>
  <c r="J53" l="1"/>
  <c r="F52"/>
  <c r="B52" i="28" s="1"/>
  <c r="U54" i="9"/>
  <c r="V53"/>
  <c r="G52"/>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K26" i="26"/>
  <c r="AA27" i="54"/>
  <c r="S27"/>
  <c r="AD27" i="48"/>
  <c r="AJ27"/>
  <c r="E27" i="26" s="1"/>
  <c r="AF27" i="48"/>
  <c r="Q28" s="1"/>
  <c r="AA27" i="49"/>
  <c r="S27"/>
  <c r="I53" i="9"/>
  <c r="J54" l="1"/>
  <c r="F53"/>
  <c r="B53" i="28" s="1"/>
  <c r="V54" i="9"/>
  <c r="U55"/>
  <c r="G53"/>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AA28" i="48"/>
  <c r="S28"/>
  <c r="V27" i="54"/>
  <c r="X27" s="1"/>
  <c r="AI27"/>
  <c r="T27"/>
  <c r="Z27" s="1"/>
  <c r="AB27" s="1"/>
  <c r="T27" i="49"/>
  <c r="Z27" s="1"/>
  <c r="AB27" s="1"/>
  <c r="AI27"/>
  <c r="V27"/>
  <c r="X27" s="1"/>
  <c r="I54" i="9"/>
  <c r="J55" l="1"/>
  <c r="F54"/>
  <c r="B54" i="28" s="1"/>
  <c r="U56" i="9"/>
  <c r="V55"/>
  <c r="G54"/>
  <c r="U45" i="48"/>
  <c r="U45" i="49"/>
  <c r="R45" i="52"/>
  <c r="R45" i="51"/>
  <c r="O45" i="53" s="1"/>
  <c r="U45" i="54"/>
  <c r="AU27" i="51"/>
  <c r="M27" s="1"/>
  <c r="O27" s="1"/>
  <c r="BE27"/>
  <c r="AS27"/>
  <c r="AM28" s="1"/>
  <c r="S27"/>
  <c r="T27" s="1"/>
  <c r="Q27"/>
  <c r="W27" i="52"/>
  <c r="L28" s="1"/>
  <c r="Z27"/>
  <c r="U27"/>
  <c r="AQ28"/>
  <c r="AN28"/>
  <c r="N27" i="53"/>
  <c r="C27" i="28"/>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E27" i="28"/>
  <c r="Q27" i="53"/>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N28" s="1"/>
  <c r="V58" i="9"/>
  <c r="U59"/>
  <c r="G57"/>
  <c r="U48" i="54"/>
  <c r="R48" i="51"/>
  <c r="O48" i="53" s="1"/>
  <c r="U48" i="48"/>
  <c r="R48" i="52"/>
  <c r="U48" i="49"/>
  <c r="S28" i="51"/>
  <c r="T28" s="1"/>
  <c r="Q28"/>
  <c r="BE28"/>
  <c r="AU28"/>
  <c r="M28" s="1"/>
  <c r="O28" s="1"/>
  <c r="Y28" i="53" s="1"/>
  <c r="AS28" i="51"/>
  <c r="AM29" s="1"/>
  <c r="AZ28" i="52"/>
  <c r="AY28"/>
  <c r="W28"/>
  <c r="L29" s="1"/>
  <c r="Z28"/>
  <c r="U28"/>
  <c r="F27" i="28"/>
  <c r="R27" i="53"/>
  <c r="G27" i="28" s="1"/>
  <c r="AN29" i="52"/>
  <c r="AQ29"/>
  <c r="AD28" i="49"/>
  <c r="AJ28"/>
  <c r="F28" i="26" s="1"/>
  <c r="AF28" i="49"/>
  <c r="Q29" s="1"/>
  <c r="AD28" i="54"/>
  <c r="AJ28"/>
  <c r="G28" i="26" s="1"/>
  <c r="AF28" i="54"/>
  <c r="Q29" s="1"/>
  <c r="T29" i="48"/>
  <c r="Z29" s="1"/>
  <c r="AB29" s="1"/>
  <c r="V29"/>
  <c r="X29" s="1"/>
  <c r="AI29"/>
  <c r="I58" i="9"/>
  <c r="J59" l="1"/>
  <c r="F58"/>
  <c r="B58" i="28" s="1"/>
  <c r="C28"/>
  <c r="M28" i="53"/>
  <c r="D28" i="28" s="1"/>
  <c r="U60" i="9"/>
  <c r="V59"/>
  <c r="G58"/>
  <c r="U49" i="48"/>
  <c r="R49" i="51"/>
  <c r="O49" i="53" s="1"/>
  <c r="U49" i="54"/>
  <c r="R49" i="52"/>
  <c r="U49" i="49"/>
  <c r="AN29" i="51"/>
  <c r="AQ29"/>
  <c r="AZ28"/>
  <c r="AY28"/>
  <c r="W28"/>
  <c r="L29" s="1"/>
  <c r="U28"/>
  <c r="Z28"/>
  <c r="AA28" s="1"/>
  <c r="P28" i="53"/>
  <c r="Z28"/>
  <c r="P29" i="52"/>
  <c r="AV29"/>
  <c r="AW29"/>
  <c r="N29"/>
  <c r="AG28" i="53"/>
  <c r="AA28" i="52"/>
  <c r="BB29"/>
  <c r="BD29" s="1"/>
  <c r="AO29"/>
  <c r="AR29" s="1"/>
  <c r="AP29"/>
  <c r="K28" i="26"/>
  <c r="AJ29" i="48"/>
  <c r="E29" i="26" s="1"/>
  <c r="AD29" i="48"/>
  <c r="AF29"/>
  <c r="Q30" s="1"/>
  <c r="S29" i="54"/>
  <c r="AA29"/>
  <c r="S29" i="49"/>
  <c r="AA29"/>
  <c r="I59" i="9"/>
  <c r="J60" l="1"/>
  <c r="F59"/>
  <c r="B59" i="28" s="1"/>
  <c r="T28" i="53"/>
  <c r="V29" s="1"/>
  <c r="L29" s="1"/>
  <c r="V60" i="9"/>
  <c r="U61"/>
  <c r="G59"/>
  <c r="U50" i="48"/>
  <c r="R50" i="52"/>
  <c r="R50" i="51"/>
  <c r="O50" i="53" s="1"/>
  <c r="U50" i="54"/>
  <c r="U50" i="49"/>
  <c r="N29" i="51"/>
  <c r="AV29"/>
  <c r="P29"/>
  <c r="AW29"/>
  <c r="AO29"/>
  <c r="AR29" s="1"/>
  <c r="BB29"/>
  <c r="BD29" s="1"/>
  <c r="AP29"/>
  <c r="Q28" i="53"/>
  <c r="E28" i="28"/>
  <c r="AS29" i="52"/>
  <c r="AM30" s="1"/>
  <c r="AU29"/>
  <c r="M29" s="1"/>
  <c r="O29" s="1"/>
  <c r="BE29"/>
  <c r="S29"/>
  <c r="T29" s="1"/>
  <c r="Q29"/>
  <c r="S30" i="48"/>
  <c r="AA30"/>
  <c r="T29" i="49"/>
  <c r="Z29" s="1"/>
  <c r="AB29" s="1"/>
  <c r="AI29"/>
  <c r="V29"/>
  <c r="X29" s="1"/>
  <c r="V29" i="54"/>
  <c r="X29" s="1"/>
  <c r="T29"/>
  <c r="Z29" s="1"/>
  <c r="AB29" s="1"/>
  <c r="AI29"/>
  <c r="I60" i="9"/>
  <c r="J61" l="1"/>
  <c r="F60"/>
  <c r="B60" i="28" s="1"/>
  <c r="I28"/>
  <c r="U62" i="9"/>
  <c r="V61"/>
  <c r="G60"/>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AJ29" i="54"/>
  <c r="G29" i="26" s="1"/>
  <c r="AD29" i="54"/>
  <c r="AF29"/>
  <c r="Q30" s="1"/>
  <c r="AD29" i="49"/>
  <c r="AJ29"/>
  <c r="F29" i="26" s="1"/>
  <c r="AF29" i="49"/>
  <c r="Q30" s="1"/>
  <c r="T30" i="48"/>
  <c r="Z30" s="1"/>
  <c r="AB30" s="1"/>
  <c r="AI30"/>
  <c r="V30"/>
  <c r="X30" s="1"/>
  <c r="I61" i="9"/>
  <c r="F61" l="1"/>
  <c r="B61" i="28" s="1"/>
  <c r="J62" i="9"/>
  <c r="V62"/>
  <c r="U63"/>
  <c r="G6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S30" i="49"/>
  <c r="AA30"/>
  <c r="AA30" i="54"/>
  <c r="S30"/>
  <c r="AD30" i="48"/>
  <c r="AJ30"/>
  <c r="E30" i="26" s="1"/>
  <c r="AF30" i="48"/>
  <c r="Q31" s="1"/>
  <c r="I62" i="9"/>
  <c r="J63" l="1"/>
  <c r="F62"/>
  <c r="B62" i="28" s="1"/>
  <c r="U64" i="9"/>
  <c r="V63"/>
  <c r="G62"/>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AI30" i="54"/>
  <c r="V30"/>
  <c r="X30" s="1"/>
  <c r="T30"/>
  <c r="Z30" s="1"/>
  <c r="AB30" s="1"/>
  <c r="AA31" i="48"/>
  <c r="S31"/>
  <c r="AI30" i="49"/>
  <c r="T30"/>
  <c r="Z30" s="1"/>
  <c r="AB30" s="1"/>
  <c r="V30"/>
  <c r="X30" s="1"/>
  <c r="I63" i="9"/>
  <c r="J64" l="1"/>
  <c r="F63"/>
  <c r="B63" i="28" s="1"/>
  <c r="V64" i="9"/>
  <c r="U65"/>
  <c r="G63"/>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AI31" i="48"/>
  <c r="V31"/>
  <c r="X31" s="1"/>
  <c r="T31"/>
  <c r="Z31" s="1"/>
  <c r="AB31" s="1"/>
  <c r="AD30" i="54"/>
  <c r="AJ30"/>
  <c r="G30" i="26" s="1"/>
  <c r="AF30" i="54"/>
  <c r="Q31" s="1"/>
  <c r="AD30" i="49"/>
  <c r="AJ30"/>
  <c r="F30" i="26" s="1"/>
  <c r="AF30" i="49"/>
  <c r="Q31" s="1"/>
  <c r="I64" i="9"/>
  <c r="J65" l="1"/>
  <c r="F64"/>
  <c r="B64" i="28" s="1"/>
  <c r="U66" i="9"/>
  <c r="V65"/>
  <c r="G64"/>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K30" i="26"/>
  <c r="AA31" i="49"/>
  <c r="S31"/>
  <c r="AD31" i="48"/>
  <c r="AJ31"/>
  <c r="E31" i="26" s="1"/>
  <c r="AF31" i="48"/>
  <c r="Q32" s="1"/>
  <c r="AA31" i="54"/>
  <c r="S31"/>
  <c r="I65" i="9"/>
  <c r="J66" l="1"/>
  <c r="F65"/>
  <c r="B65" i="28" s="1"/>
  <c r="V66" i="9"/>
  <c r="U67"/>
  <c r="G65"/>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S32" i="48"/>
  <c r="AA32"/>
  <c r="AI31" i="54"/>
  <c r="V31"/>
  <c r="X31" s="1"/>
  <c r="T31"/>
  <c r="Z31" s="1"/>
  <c r="AB31" s="1"/>
  <c r="AI31" i="49"/>
  <c r="V31"/>
  <c r="X31" s="1"/>
  <c r="T31"/>
  <c r="Z31" s="1"/>
  <c r="AB31" s="1"/>
  <c r="I66" i="9"/>
  <c r="J67" l="1"/>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C31" i="28"/>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AA32" i="49"/>
  <c r="S32"/>
  <c r="AD32" i="48"/>
  <c r="AJ32"/>
  <c r="E32" i="26" s="1"/>
  <c r="AF32" i="48"/>
  <c r="Q33" s="1"/>
  <c r="AA32" i="54"/>
  <c r="S32"/>
  <c r="I68" i="9"/>
  <c r="J69" l="1"/>
  <c r="F68"/>
  <c r="B68" i="28" s="1"/>
  <c r="U70" i="9"/>
  <c r="V69"/>
  <c r="G68"/>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AA33" i="48"/>
  <c r="S33"/>
  <c r="V32" i="54"/>
  <c r="X32" s="1"/>
  <c r="AI32"/>
  <c r="T32"/>
  <c r="Z32" s="1"/>
  <c r="AB32" s="1"/>
  <c r="T32" i="49"/>
  <c r="Z32" s="1"/>
  <c r="AB32" s="1"/>
  <c r="AI32"/>
  <c r="V32"/>
  <c r="X32" s="1"/>
  <c r="I69" i="9"/>
  <c r="J70" l="1"/>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AJ32" i="54"/>
  <c r="G32" i="26" s="1"/>
  <c r="AD32" i="54"/>
  <c r="AF32"/>
  <c r="Q33" s="1"/>
  <c r="T33" i="48"/>
  <c r="Z33" s="1"/>
  <c r="AB33" s="1"/>
  <c r="AI33"/>
  <c r="V33"/>
  <c r="X33" s="1"/>
  <c r="AD32" i="49"/>
  <c r="AJ32"/>
  <c r="F32" i="26" s="1"/>
  <c r="AF32" i="49"/>
  <c r="Q33" s="1"/>
  <c r="I70" i="9"/>
  <c r="J71" l="1"/>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AA33" i="49"/>
  <c r="S33"/>
  <c r="AD33" i="48"/>
  <c r="AJ33"/>
  <c r="E33" i="26" s="1"/>
  <c r="AF33" i="48"/>
  <c r="Q34" s="1"/>
  <c r="AA33" i="54"/>
  <c r="S33"/>
  <c r="I71" i="9"/>
  <c r="J72" l="1"/>
  <c r="F71"/>
  <c r="B71" i="28" s="1"/>
  <c r="V72" i="9"/>
  <c r="U73"/>
  <c r="U70" i="48"/>
  <c r="R70" i="51"/>
  <c r="O70" i="53" s="1"/>
  <c r="U70" i="54"/>
  <c r="U70" i="49"/>
  <c r="R70" i="52"/>
  <c r="G71" i="9"/>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S34" i="48"/>
  <c r="AA34"/>
  <c r="T33" i="49"/>
  <c r="Z33" s="1"/>
  <c r="AB33" s="1"/>
  <c r="AI33"/>
  <c r="V33"/>
  <c r="X33" s="1"/>
  <c r="V33" i="54"/>
  <c r="X33" s="1"/>
  <c r="T33"/>
  <c r="Z33" s="1"/>
  <c r="AB33" s="1"/>
  <c r="AI33"/>
  <c r="I72" i="9"/>
  <c r="J73" l="1"/>
  <c r="F72"/>
  <c r="B72" i="28" s="1"/>
  <c r="U74" i="9"/>
  <c r="V73"/>
  <c r="U71" i="48"/>
  <c r="R71" i="51"/>
  <c r="O71" i="53" s="1"/>
  <c r="U71" i="49"/>
  <c r="U71" i="54"/>
  <c r="R71" i="52"/>
  <c r="G72" i="9"/>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AD33" i="49"/>
  <c r="AJ33"/>
  <c r="F33" i="26" s="1"/>
  <c r="AF33" i="49"/>
  <c r="Q34" s="1"/>
  <c r="AD33" i="54"/>
  <c r="AJ33"/>
  <c r="G33" i="26" s="1"/>
  <c r="AF33" i="54"/>
  <c r="Q34" s="1"/>
  <c r="AI34" i="48"/>
  <c r="T34"/>
  <c r="Z34" s="1"/>
  <c r="AB34" s="1"/>
  <c r="V34"/>
  <c r="X34" s="1"/>
  <c r="I73" i="9"/>
  <c r="J74" l="1"/>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K33" i="26"/>
  <c r="AA34" i="54"/>
  <c r="S34"/>
  <c r="S34" i="49"/>
  <c r="AA34"/>
  <c r="AJ34" i="48"/>
  <c r="E34" i="26" s="1"/>
  <c r="AD34" i="48"/>
  <c r="AF34"/>
  <c r="Q35" s="1"/>
  <c r="I74" i="9"/>
  <c r="J75" l="1"/>
  <c r="F74"/>
  <c r="B74" i="28" s="1"/>
  <c r="U76" i="9"/>
  <c r="V75"/>
  <c r="U73" i="49"/>
  <c r="R73" i="51"/>
  <c r="O73" i="53" s="1"/>
  <c r="U73" i="54"/>
  <c r="R73" i="52"/>
  <c r="U73" i="48"/>
  <c r="G74" i="9"/>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AA35" i="48"/>
  <c r="S35"/>
  <c r="T34" i="49"/>
  <c r="Z34" s="1"/>
  <c r="AB34" s="1"/>
  <c r="V34"/>
  <c r="X34" s="1"/>
  <c r="AI34"/>
  <c r="AI34" i="54"/>
  <c r="V34"/>
  <c r="X34" s="1"/>
  <c r="T34"/>
  <c r="Z34" s="1"/>
  <c r="AB34" s="1"/>
  <c r="I75" i="9"/>
  <c r="J76" l="1"/>
  <c r="F75"/>
  <c r="B75" i="28" s="1"/>
  <c r="V76" i="9"/>
  <c r="U77"/>
  <c r="R74" i="52"/>
  <c r="U74" i="54"/>
  <c r="U74" i="49"/>
  <c r="U74" i="48"/>
  <c r="R74" i="51"/>
  <c r="O74" i="53" s="1"/>
  <c r="G75" i="9"/>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AJ34" i="54"/>
  <c r="G34" i="26" s="1"/>
  <c r="AD34" i="54"/>
  <c r="AF34"/>
  <c r="Q35" s="1"/>
  <c r="AD34" i="49"/>
  <c r="AJ34"/>
  <c r="F34" i="26" s="1"/>
  <c r="AF34" i="49"/>
  <c r="Q35" s="1"/>
  <c r="T35" i="48"/>
  <c r="Z35" s="1"/>
  <c r="AB35" s="1"/>
  <c r="AI35"/>
  <c r="V35"/>
  <c r="X35" s="1"/>
  <c r="I76" i="9"/>
  <c r="J77" l="1"/>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AI35" i="54"/>
  <c r="T35"/>
  <c r="Z35" s="1"/>
  <c r="AB35" s="1"/>
  <c r="V35"/>
  <c r="X35" s="1"/>
  <c r="S36" i="48"/>
  <c r="AA36"/>
  <c r="AI35" i="49"/>
  <c r="T35"/>
  <c r="Z35" s="1"/>
  <c r="AB35" s="1"/>
  <c r="V35"/>
  <c r="X35" s="1"/>
  <c r="I78" i="9"/>
  <c r="J79" l="1"/>
  <c r="F78"/>
  <c r="B78" i="28" s="1"/>
  <c r="U77" i="49"/>
  <c r="R77" i="52"/>
  <c r="U77" i="48"/>
  <c r="U77" i="54"/>
  <c r="R77" i="51"/>
  <c r="O77" i="53" s="1"/>
  <c r="G78" i="9"/>
  <c r="I34" i="28"/>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I79" i="9"/>
  <c r="U78" i="54" l="1"/>
  <c r="U78" i="48"/>
  <c r="R78" i="51"/>
  <c r="O78" i="53" s="1"/>
  <c r="R78" i="52"/>
  <c r="U78" i="49"/>
  <c r="G79" i="9"/>
  <c r="F79"/>
  <c r="B79" i="28" s="1"/>
  <c r="AZ35" i="5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U79" i="49" l="1"/>
  <c r="U79" i="54"/>
  <c r="R79" i="52"/>
  <c r="U79" i="48"/>
  <c r="R79" i="51"/>
  <c r="O79" i="53" s="1"/>
  <c r="N36" i="5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P46"/>
  <c r="N46"/>
  <c r="AW46"/>
  <c r="AO46"/>
  <c r="AR46" s="1"/>
  <c r="AP46"/>
  <c r="BB46"/>
  <c r="BD46" s="1"/>
  <c r="Z45" i="53"/>
  <c r="P45"/>
  <c r="AG45"/>
  <c r="AA45" i="52"/>
  <c r="AB46" s="1"/>
  <c r="K45" i="26"/>
  <c r="AA46" i="49"/>
  <c r="S46"/>
  <c r="AA46" i="54"/>
  <c r="S46"/>
  <c r="AJ46" i="48"/>
  <c r="E46" i="26" s="1"/>
  <c r="AD46" i="48"/>
  <c r="AF46"/>
  <c r="Q47" s="1"/>
  <c r="AX46" i="52" l="1"/>
  <c r="AX47" s="1"/>
  <c r="AX48" s="1"/>
  <c r="AX49" s="1"/>
  <c r="AX50" s="1"/>
  <c r="AX51" s="1"/>
  <c r="AX52" s="1"/>
  <c r="AX53" s="1"/>
  <c r="AX54" s="1"/>
  <c r="AX55" s="1"/>
  <c r="N46" i="5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AX46" i="51" l="1"/>
  <c r="AX47" s="1"/>
  <c r="AX48" s="1"/>
  <c r="AX49" s="1"/>
  <c r="AX50" s="1"/>
  <c r="AX51" s="1"/>
  <c r="AX52" s="1"/>
  <c r="AX53" s="1"/>
  <c r="AX54" s="1"/>
  <c r="AX55" s="1"/>
  <c r="I45" i="28"/>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S68"/>
  <c r="T68" s="1"/>
  <c r="Q68"/>
  <c r="AZ68" s="1"/>
  <c r="AS68"/>
  <c r="AM69" s="1"/>
  <c r="BE68"/>
  <c r="AU68"/>
  <c r="M68" s="1"/>
  <c r="O68" s="1"/>
  <c r="Y68" i="53" s="1"/>
  <c r="M68" s="1"/>
  <c r="R67"/>
  <c r="G67" i="28" s="1"/>
  <c r="AQ69" i="52"/>
  <c r="AN69"/>
  <c r="U68"/>
  <c r="Z68"/>
  <c r="W68"/>
  <c r="L69" s="1"/>
  <c r="AX69"/>
  <c r="AX70" s="1"/>
  <c r="AX71"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AB72" s="1"/>
  <c r="W71"/>
  <c r="L72" s="1"/>
  <c r="AN72"/>
  <c r="AQ72"/>
  <c r="AZ71"/>
  <c r="AY71"/>
  <c r="T71" i="53"/>
  <c r="V72" s="1"/>
  <c r="L72" s="1"/>
  <c r="K71" i="26"/>
  <c r="AG71" i="53"/>
  <c r="AA71" i="52"/>
  <c r="AB72" s="1"/>
  <c r="Z71" i="53"/>
  <c r="P71"/>
  <c r="BB72" i="52"/>
  <c r="BD72" s="1"/>
  <c r="AO72"/>
  <c r="AR72" s="1"/>
  <c r="AP72"/>
  <c r="P72"/>
  <c r="N72"/>
  <c r="AV72"/>
  <c r="AW72"/>
  <c r="S72" i="49"/>
  <c r="AA72"/>
  <c r="S72" i="54"/>
  <c r="AA72"/>
  <c r="AD72" i="48"/>
  <c r="AJ72"/>
  <c r="E72" i="26" s="1"/>
  <c r="AF72" i="48"/>
  <c r="Q73" s="1"/>
  <c r="AX72" i="52" l="1"/>
  <c r="AX73" s="1"/>
  <c r="AX74" s="1"/>
  <c r="AX75" s="1"/>
  <c r="AX76" s="1"/>
  <c r="AX77" s="1"/>
  <c r="AX78" s="1"/>
  <c r="AX79" s="1"/>
  <c r="BB72" i="5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AX72" i="51" l="1"/>
  <c r="AX73" s="1"/>
  <c r="AX74" s="1"/>
  <c r="AX75" s="1"/>
  <c r="AX76" s="1"/>
  <c r="AX77" s="1"/>
  <c r="AX78" s="1"/>
  <c r="AX79" s="1"/>
  <c r="Q72"/>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<sst xmlns="http://schemas.openxmlformats.org/spreadsheetml/2006/main" count="17145" uniqueCount="10689">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</sst>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5"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78">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7"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8" fillId="19" borderId="72" xfId="0" applyFont="1" applyFill="1" applyBorder="1" applyAlignment="1" applyProtection="1">
      <alignment vertical="center"/>
      <protection locked="0"/>
    </xf>
    <xf numFmtId="0" fontId="108" fillId="19" borderId="70" xfId="0" applyFont="1" applyFill="1" applyBorder="1" applyAlignment="1" applyProtection="1">
      <alignment vertical="center"/>
      <protection locked="0"/>
    </xf>
    <xf numFmtId="0" fontId="108"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09" fillId="0" borderId="0" xfId="0" applyFont="1" applyAlignment="1">
      <alignment vertical="center"/>
    </xf>
    <xf numFmtId="0" fontId="110"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3" fillId="19" borderId="0" xfId="0" applyFont="1" applyFill="1" applyAlignment="1">
      <alignment horizontal="center"/>
    </xf>
    <xf numFmtId="0" fontId="113"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4" fillId="0" borderId="0" xfId="0" applyFont="1"/>
    <xf numFmtId="0" fontId="0" fillId="0" borderId="0" xfId="0"/>
    <xf numFmtId="0" fontId="0" fillId="0" borderId="0" xfId="0" applyAlignment="1">
      <alignment horizontal="center"/>
    </xf>
    <xf numFmtId="0" fontId="0" fillId="0" borderId="0" xfId="0"/>
    <xf numFmtId="0" fontId="101"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vertical="center" wrapText="1"/>
      <protection hidden="1"/>
    </xf>
    <xf numFmtId="0" fontId="47" fillId="0" borderId="0" xfId="34"/>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4" fillId="0" borderId="22" xfId="21" applyFont="1" applyBorder="1" applyAlignment="1" applyProtection="1">
      <alignment horizontal="left" vertical="center"/>
      <protection locked="0"/>
    </xf>
    <xf numFmtId="0" fontId="94" fillId="0" borderId="30" xfId="21" applyFont="1" applyBorder="1" applyAlignment="1" applyProtection="1">
      <alignment horizontal="left" vertical="center"/>
      <protection locked="0"/>
    </xf>
    <xf numFmtId="0" fontId="94" fillId="0" borderId="26" xfId="21" applyFont="1" applyBorder="1" applyAlignment="1" applyProtection="1">
      <alignment horizontal="left" vertical="center"/>
      <protection locked="0"/>
    </xf>
    <xf numFmtId="0" fontId="111" fillId="0" borderId="73" xfId="21" applyFont="1" applyBorder="1" applyAlignment="1" applyProtection="1">
      <alignment horizontal="left" vertical="center"/>
      <protection locked="0"/>
    </xf>
    <xf numFmtId="0" fontId="111" fillId="0" borderId="74" xfId="21" applyFont="1" applyBorder="1" applyAlignment="1" applyProtection="1">
      <alignment horizontal="left" vertical="center"/>
      <protection locked="0"/>
    </xf>
    <xf numFmtId="0" fontId="111"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4" borderId="58"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6" fillId="20" borderId="48" xfId="0" applyFont="1" applyFill="1" applyBorder="1" applyAlignment="1" applyProtection="1">
      <alignment horizontal="right" vertical="center" indent="1"/>
      <protection hidden="1"/>
    </xf>
    <xf numFmtId="0" fontId="96"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7" fillId="0" borderId="19" xfId="0" applyFont="1" applyBorder="1" applyAlignment="1" applyProtection="1">
      <alignment horizontal="justify" vertical="center" wrapText="1"/>
      <protection hidden="1"/>
    </xf>
    <xf numFmtId="0" fontId="97" fillId="0" borderId="0" xfId="0" applyFont="1" applyBorder="1" applyAlignment="1" applyProtection="1">
      <alignment horizontal="justify" vertical="center" wrapText="1"/>
      <protection hidden="1"/>
    </xf>
    <xf numFmtId="0" fontId="97" fillId="0" borderId="20" xfId="0" applyFont="1" applyBorder="1" applyAlignment="1" applyProtection="1">
      <alignment horizontal="justify" vertical="center" wrapText="1"/>
      <protection hidden="1"/>
    </xf>
    <xf numFmtId="0" fontId="98" fillId="34"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63" fillId="32" borderId="19" xfId="0" applyFont="1" applyFill="1" applyBorder="1" applyAlignment="1" applyProtection="1">
      <alignment horizontal="right" vertical="center" indent="1"/>
      <protection hidden="1"/>
    </xf>
    <xf numFmtId="0" fontId="99" fillId="0" borderId="67" xfId="0" applyFont="1" applyFill="1" applyBorder="1" applyAlignment="1" applyProtection="1">
      <alignment horizontal="right" vertical="center" indent="1"/>
      <protection hidden="1"/>
    </xf>
    <xf numFmtId="0" fontId="99" fillId="0" borderId="68"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6" fillId="0" borderId="64" xfId="0" applyFont="1" applyFill="1" applyBorder="1" applyAlignment="1" applyProtection="1">
      <alignment horizontal="center" vertical="center"/>
      <protection hidden="1"/>
    </xf>
    <xf numFmtId="0" fontId="96" fillId="0" borderId="65" xfId="0" applyFont="1" applyFill="1" applyBorder="1" applyAlignment="1" applyProtection="1">
      <alignment horizontal="center" vertical="center"/>
      <protection hidden="1"/>
    </xf>
    <xf numFmtId="0" fontId="96" fillId="0" borderId="66" xfId="0" applyFont="1" applyFill="1" applyBorder="1" applyAlignment="1" applyProtection="1">
      <alignment horizontal="center" vertical="center"/>
      <protection hidden="1"/>
    </xf>
    <xf numFmtId="0" fontId="99" fillId="32" borderId="19" xfId="0" applyFont="1" applyFill="1" applyBorder="1" applyAlignment="1" applyProtection="1">
      <alignment horizontal="right" vertical="center" indent="1"/>
      <protection hidden="1"/>
    </xf>
    <xf numFmtId="0" fontId="99"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100"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1" fillId="0" borderId="0" xfId="0" applyFont="1" applyFill="1" applyBorder="1" applyAlignment="1" applyProtection="1">
      <alignment horizontal="left" vertical="center"/>
      <protection locked="0"/>
    </xf>
    <xf numFmtId="0" fontId="102" fillId="34" borderId="59" xfId="6" applyFont="1" applyFill="1" applyBorder="1" applyAlignment="1" applyProtection="1">
      <alignment horizontal="center"/>
      <protection hidden="1"/>
    </xf>
    <xf numFmtId="0" fontId="102" fillId="0" borderId="58" xfId="6" applyFont="1" applyFill="1" applyBorder="1" applyAlignment="1" applyProtection="1">
      <alignment horizontal="center"/>
      <protection hidden="1"/>
    </xf>
    <xf numFmtId="0" fontId="103" fillId="34" borderId="58" xfId="6" applyFont="1" applyFill="1" applyBorder="1" applyAlignment="1" applyProtection="1">
      <alignment horizontal="center"/>
      <protection hidden="1"/>
    </xf>
    <xf numFmtId="0" fontId="102"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4" fillId="20" borderId="19" xfId="0" applyFont="1" applyFill="1" applyBorder="1" applyAlignment="1" applyProtection="1">
      <alignment horizontal="right" vertical="center"/>
      <protection hidden="1"/>
    </xf>
    <xf numFmtId="0" fontId="94"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24" borderId="2" xfId="0" applyFont="1" applyFill="1" applyBorder="1" applyAlignment="1">
      <alignment horizontal="center"/>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10556</v>
      </c>
      <c r="C2" s="768"/>
      <c r="D2" s="768"/>
      <c r="E2" s="768"/>
      <c r="F2" s="768"/>
      <c r="G2" s="768"/>
      <c r="H2" s="768"/>
      <c r="I2" s="768"/>
      <c r="J2" s="769" t="s">
        <v>10557</v>
      </c>
      <c r="K2" s="770" t="s">
        <v>10558</v>
      </c>
      <c r="L2" s="771" t="s">
        <v>10559</v>
      </c>
      <c r="M2" s="772"/>
    </row>
    <row r="3" spans="1:13"/>
    <row r="4" spans="1:13">
      <c r="B4" s="773" t="str">
        <f>"Hojas interactivas: " &amp;CA.NumHojasIntValidas</f>
        <v>Hojas interactivas: 2</v>
      </c>
      <c r="C4" s="774">
        <v>2</v>
      </c>
      <c r="D4" s="775" t="s">
        <v>10560</v>
      </c>
      <c r="E4" s="776"/>
      <c r="F4" s="776"/>
      <c r="G4" s="776"/>
      <c r="H4" s="776"/>
      <c r="I4" s="776"/>
      <c r="J4" s="776"/>
      <c r="K4" s="777"/>
      <c r="M4" s="765"/>
    </row>
    <row r="5" spans="1:13" ht="17.25" customHeight="1">
      <c r="A5" s="765"/>
      <c r="B5" s="778" t="s">
        <v>3485</v>
      </c>
      <c r="C5" s="701"/>
      <c r="D5" s="873"/>
      <c r="E5" s="874"/>
      <c r="F5" s="874"/>
      <c r="G5" s="874"/>
      <c r="H5" s="874"/>
      <c r="I5" s="874"/>
      <c r="J5" s="874"/>
      <c r="K5" s="875"/>
      <c r="M5" s="765"/>
    </row>
    <row r="6" spans="1:13" ht="17.25" customHeight="1">
      <c r="B6" s="778" t="s">
        <v>3484</v>
      </c>
      <c r="C6" s="701"/>
      <c r="M6" s="765"/>
    </row>
    <row r="7" spans="1:13" ht="17.25" customHeight="1">
      <c r="B7" s="778"/>
      <c r="C7" s="701"/>
      <c r="D7" s="779"/>
      <c r="E7" s="779"/>
      <c r="F7" s="780" t="s">
        <v>10561</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10562</v>
      </c>
      <c r="G10" s="784"/>
      <c r="H10" s="784"/>
      <c r="I10" s="784"/>
      <c r="J10" s="784"/>
      <c r="K10" s="784"/>
    </row>
    <row r="11" spans="1:13" ht="17.25" customHeight="1">
      <c r="B11" s="785"/>
      <c r="D11" s="782"/>
      <c r="E11" s="782"/>
      <c r="F11" s="782"/>
      <c r="G11" s="784"/>
      <c r="H11" s="784"/>
      <c r="I11" s="784"/>
      <c r="J11" s="786" t="s">
        <v>10563</v>
      </c>
      <c r="K11" s="787" t="s">
        <v>10564</v>
      </c>
      <c r="L11" s="701"/>
    </row>
    <row r="12" spans="1:13" ht="17.25" customHeight="1">
      <c r="B12" s="785"/>
    </row>
    <row r="13" spans="1:13" ht="17.25" customHeight="1">
      <c r="B13" s="785"/>
      <c r="D13" s="788"/>
      <c r="E13" s="788"/>
      <c r="F13" s="789" t="s">
        <v>10565</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10566</v>
      </c>
      <c r="E16" s="792"/>
      <c r="F16" s="792"/>
      <c r="G16" s="792"/>
      <c r="H16" s="792"/>
      <c r="I16" s="792"/>
      <c r="J16" s="792"/>
      <c r="K16" s="792"/>
    </row>
    <row r="17" spans="2:11" ht="17.25" customHeight="1">
      <c r="B17" s="785"/>
      <c r="D17" s="793" t="b">
        <v>1</v>
      </c>
      <c r="E17" s="793" t="s">
        <v>10520</v>
      </c>
      <c r="F17" s="793"/>
      <c r="G17" s="793" t="b">
        <v>0</v>
      </c>
      <c r="H17" s="793" t="s">
        <v>10521</v>
      </c>
      <c r="I17" s="793"/>
    </row>
    <row r="18" spans="2:11" ht="17.25" customHeight="1">
      <c r="B18" s="785"/>
      <c r="D18" s="793" t="b">
        <v>0</v>
      </c>
      <c r="E18" s="793" t="s">
        <v>10522</v>
      </c>
      <c r="F18" s="793"/>
      <c r="J18" s="794"/>
      <c r="K18" s="794"/>
    </row>
    <row r="19" spans="2:11" ht="17.25" customHeight="1">
      <c r="B19" s="785"/>
      <c r="D19" s="793" t="b">
        <v>1</v>
      </c>
      <c r="E19" s="793" t="s">
        <v>10523</v>
      </c>
      <c r="F19" s="793"/>
      <c r="G19" s="795" t="s">
        <v>555</v>
      </c>
      <c r="H19" s="796"/>
      <c r="I19" s="797" t="s">
        <v>10567</v>
      </c>
      <c r="J19" s="798"/>
      <c r="K19" s="799"/>
    </row>
    <row r="20" spans="2:11" ht="17.25" customHeight="1">
      <c r="B20" s="785"/>
      <c r="D20" s="793" t="b">
        <v>0</v>
      </c>
      <c r="E20" s="793" t="s">
        <v>10524</v>
      </c>
      <c r="F20" s="793"/>
      <c r="G20" s="876" t="s">
        <v>10525</v>
      </c>
      <c r="H20" s="877"/>
      <c r="I20" s="877"/>
      <c r="J20" s="877"/>
      <c r="K20" s="878"/>
    </row>
    <row r="21" spans="2:11" ht="17.25" customHeight="1">
      <c r="B21" s="785"/>
      <c r="D21" s="793" t="b">
        <v>0</v>
      </c>
      <c r="E21" s="793" t="s">
        <v>10568</v>
      </c>
      <c r="F21" s="793"/>
      <c r="G21" s="701"/>
      <c r="H21" s="701"/>
      <c r="I21" s="701"/>
      <c r="J21" s="701"/>
      <c r="K21" s="701"/>
    </row>
    <row r="22" spans="2:11" ht="17.25" customHeight="1">
      <c r="B22" s="785"/>
      <c r="D22" s="800" t="s">
        <v>10569</v>
      </c>
      <c r="E22" s="801"/>
      <c r="F22" s="801"/>
      <c r="G22" s="879" t="s">
        <v>10570</v>
      </c>
      <c r="H22" s="880"/>
      <c r="I22" s="880"/>
      <c r="J22" s="880"/>
      <c r="K22" s="881"/>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10571</v>
      </c>
    </row>
    <row r="27" spans="2:11"/>
    <row r="28" spans="2:11">
      <c r="B28" s="767" t="s">
        <v>10572</v>
      </c>
      <c r="C28" s="768"/>
      <c r="D28" s="768"/>
      <c r="E28" s="768"/>
      <c r="F28" s="768"/>
      <c r="G28" s="768"/>
      <c r="H28" s="768"/>
      <c r="I28" s="768"/>
      <c r="J28" s="768"/>
      <c r="K28" s="768"/>
    </row>
    <row r="29" spans="2:11"/>
    <row r="30" spans="2:11" ht="19.5" customHeight="1">
      <c r="B30" s="805"/>
      <c r="C30" s="779"/>
      <c r="D30" s="806" t="s">
        <v>10573</v>
      </c>
      <c r="E30" s="779"/>
      <c r="F30" s="779"/>
      <c r="G30" s="779"/>
      <c r="H30" s="779"/>
      <c r="I30" s="779"/>
      <c r="J30" s="779"/>
      <c r="K30" s="779"/>
    </row>
    <row r="31" spans="2:11"/>
    <row r="32" spans="2:11" ht="19.5" customHeight="1">
      <c r="B32" s="788"/>
      <c r="C32" s="788"/>
      <c r="D32" s="807" t="s">
        <v>10574</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10541</v>
      </c>
      <c r="C2" s="387"/>
    </row>
    <row r="4" spans="2:3">
      <c r="B4" s="759" t="s">
        <v>10542</v>
      </c>
      <c r="C4" s="760" t="b">
        <v>1</v>
      </c>
    </row>
    <row r="5" spans="2:3">
      <c r="B5" s="761" t="s">
        <v>2216</v>
      </c>
      <c r="C5" s="760" t="s">
        <v>10543</v>
      </c>
    </row>
    <row r="6" spans="2:3">
      <c r="B6" s="761" t="s">
        <v>10544</v>
      </c>
      <c r="C6" s="762" t="s">
        <v>10545</v>
      </c>
    </row>
    <row r="8" spans="2:3">
      <c r="B8" s="402" t="s">
        <v>10546</v>
      </c>
      <c r="C8" s="387"/>
    </row>
    <row r="10" spans="2:3">
      <c r="B10" s="763" t="s">
        <v>555</v>
      </c>
      <c r="C10" s="764" t="s">
        <v>555</v>
      </c>
    </row>
    <row r="11" spans="2:3" ht="45" customHeight="1">
      <c r="B11" s="882" t="s">
        <v>555</v>
      </c>
      <c r="C11" s="883"/>
    </row>
    <row r="13" spans="2:3">
      <c r="B13" s="402" t="s">
        <v>10547</v>
      </c>
      <c r="C13" s="387"/>
    </row>
    <row r="14" spans="2:3">
      <c r="B14" s="701" t="s">
        <v>555</v>
      </c>
    </row>
    <row r="15" spans="2:3">
      <c r="B15" s="758" t="s">
        <v>10548</v>
      </c>
      <c r="C15" s="758" t="s">
        <v>10549</v>
      </c>
    </row>
    <row r="16" spans="2:3">
      <c r="B16" s="756" t="s">
        <v>10550</v>
      </c>
      <c r="C16" s="701" t="s">
        <v>10551</v>
      </c>
    </row>
    <row r="17" spans="2:4">
      <c r="B17" s="756" t="s">
        <v>10552</v>
      </c>
      <c r="C17" s="701" t="s">
        <v>10553</v>
      </c>
      <c r="D17" s="757"/>
    </row>
    <row r="18" spans="2:4">
      <c r="B18" s="701" t="s">
        <v>555</v>
      </c>
    </row>
    <row r="19" spans="2:4">
      <c r="B19" s="453" t="s">
        <v>10554</v>
      </c>
      <c r="C19" s="453" t="s">
        <v>10555</v>
      </c>
    </row>
    <row r="20" spans="2:4">
      <c r="B20" s="756" t="s">
        <v>4513</v>
      </c>
      <c r="C20" s="756" t="s">
        <v>4515</v>
      </c>
    </row>
    <row r="21" spans="2:4">
      <c r="B21" s="756" t="s">
        <v>4514</v>
      </c>
      <c r="C21" s="756" t="s">
        <v>4516</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H5" sqref="H5"/>
    </sheetView>
    <sheetView tabSelected="1" workbookViewId="1">
      <selection activeCell="A22" sqref="A22"/>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13.140625" style="460" bestFit="1"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3844</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4474</v>
      </c>
      <c r="C4" s="637" t="s">
        <v>3268</v>
      </c>
      <c r="D4" s="638"/>
      <c r="F4" s="459"/>
      <c r="G4" s="459"/>
      <c r="H4" s="459"/>
      <c r="I4" s="459"/>
      <c r="J4" s="459"/>
      <c r="K4" s="459"/>
      <c r="L4" s="459"/>
    </row>
    <row r="5" spans="1:54" s="460" customFormat="1" ht="15" customHeight="1">
      <c r="B5" s="917" t="s">
        <v>3269</v>
      </c>
      <c r="C5" s="918"/>
      <c r="D5" s="507">
        <f ca="1">TODAY()</f>
        <v>42270</v>
      </c>
      <c r="E5" s="563"/>
      <c r="F5" s="461"/>
      <c r="G5" s="462" t="s">
        <v>1676</v>
      </c>
      <c r="H5" s="463" t="s">
        <v>1670</v>
      </c>
      <c r="J5" s="646" t="s">
        <v>3307</v>
      </c>
      <c r="K5" s="646" t="s">
        <v>3305</v>
      </c>
      <c r="L5" s="646" t="s">
        <v>3306</v>
      </c>
      <c r="M5" s="458"/>
      <c r="N5" s="458"/>
      <c r="O5" s="458"/>
      <c r="P5" s="458"/>
      <c r="Q5" s="458"/>
      <c r="R5" s="458"/>
      <c r="S5" s="458"/>
    </row>
    <row r="6" spans="1:54" s="460" customFormat="1" ht="15" customHeight="1">
      <c r="B6" s="895" t="s">
        <v>3270</v>
      </c>
      <c r="C6" s="919"/>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20" t="s">
        <v>1641</v>
      </c>
      <c r="C7" s="919"/>
      <c r="D7" s="509" t="s">
        <v>1643</v>
      </c>
      <c r="E7" s="563"/>
      <c r="G7" s="466"/>
      <c r="M7" s="458"/>
      <c r="N7" s="458"/>
      <c r="O7" s="458"/>
      <c r="P7" s="458"/>
      <c r="Q7" s="458"/>
      <c r="R7" s="458"/>
      <c r="S7" s="458"/>
    </row>
    <row r="8" spans="1:54" s="460" customFormat="1" ht="15" customHeight="1">
      <c r="B8" s="895" t="s">
        <v>506</v>
      </c>
      <c r="C8" s="919"/>
      <c r="D8" s="510" t="s">
        <v>509</v>
      </c>
      <c r="E8" s="563"/>
      <c r="F8" s="691"/>
      <c r="G8" s="466"/>
      <c r="M8" s="458"/>
      <c r="N8" s="458"/>
      <c r="O8" s="458"/>
      <c r="P8" s="458"/>
      <c r="Q8" s="458"/>
      <c r="R8" s="458"/>
      <c r="S8" s="458"/>
    </row>
    <row r="9" spans="1:54" s="460" customFormat="1" ht="15" customHeight="1">
      <c r="B9" s="921" t="s">
        <v>3272</v>
      </c>
      <c r="C9" s="919"/>
      <c r="D9" s="511" t="s">
        <v>1694</v>
      </c>
      <c r="E9" s="707"/>
      <c r="G9" s="466"/>
      <c r="M9" s="458"/>
      <c r="N9" s="458"/>
      <c r="O9" s="458"/>
      <c r="P9" s="458"/>
      <c r="Q9" s="458"/>
      <c r="R9" s="458"/>
      <c r="S9" s="458"/>
    </row>
    <row r="10" spans="1:54" s="460" customFormat="1" ht="15" customHeight="1">
      <c r="B10" s="895" t="s">
        <v>3273</v>
      </c>
      <c r="C10" s="919"/>
      <c r="D10" s="510">
        <v>2015</v>
      </c>
      <c r="E10" s="563"/>
      <c r="G10" s="466"/>
      <c r="M10" s="458"/>
      <c r="N10" s="458"/>
      <c r="O10" s="458"/>
      <c r="P10" s="458"/>
      <c r="Q10" s="458"/>
      <c r="R10" s="458"/>
      <c r="S10" s="458"/>
    </row>
    <row r="11" spans="1:54" s="460" customFormat="1" ht="15" customHeight="1">
      <c r="B11" s="922" t="s">
        <v>2253</v>
      </c>
      <c r="C11" s="919"/>
      <c r="D11" s="511" t="s">
        <v>2320</v>
      </c>
      <c r="E11" s="563"/>
      <c r="G11" s="466"/>
      <c r="M11" s="458"/>
      <c r="N11" s="458"/>
      <c r="O11" s="458"/>
      <c r="P11" s="458"/>
      <c r="Q11" s="458"/>
      <c r="R11" s="458"/>
      <c r="S11" s="458"/>
    </row>
    <row r="12" spans="1:54" s="460" customFormat="1" ht="15" customHeight="1">
      <c r="B12" s="895" t="s">
        <v>3274</v>
      </c>
      <c r="C12" s="919"/>
      <c r="D12" s="512" t="s">
        <v>445</v>
      </c>
      <c r="E12" s="563"/>
      <c r="G12" s="466"/>
      <c r="L12" s="460" t="s">
        <v>5088</v>
      </c>
      <c r="M12" s="458"/>
      <c r="N12" s="458"/>
      <c r="O12" s="458"/>
      <c r="P12" s="458"/>
      <c r="Q12" s="458"/>
      <c r="R12" s="458"/>
      <c r="S12" s="458"/>
    </row>
    <row r="13" spans="1:54" ht="15" customHeight="1">
      <c r="B13" s="922" t="s">
        <v>18</v>
      </c>
      <c r="C13" s="919"/>
      <c r="D13" s="513">
        <v>0.1</v>
      </c>
      <c r="G13" s="467" t="s">
        <v>21</v>
      </c>
      <c r="H13" s="468">
        <f ca="1">PorcentajeMinimoEnganche</f>
        <v>0.1</v>
      </c>
      <c r="J13" s="469">
        <f>+PorcentajeMaximoEnganche</f>
        <v>0.83333333333333337</v>
      </c>
      <c r="L13" s="458">
        <f>CapturaValorFactura</f>
        <v>150000</v>
      </c>
    </row>
    <row r="14" spans="1:54" ht="15" customHeight="1">
      <c r="B14" s="909" t="s">
        <v>19</v>
      </c>
      <c r="C14" s="919"/>
      <c r="D14" s="514">
        <f>CapturaPorcentajeEnganche * CapturaValorFactura</f>
        <v>15000</v>
      </c>
      <c r="H14" s="470">
        <f ca="1">CapturaValorFactura*PorcentajeMinimoEnganche</f>
        <v>15000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922" t="s">
        <v>3276</v>
      </c>
      <c r="C15" s="925"/>
      <c r="D15" s="515">
        <v>2.5000000000000001E-2</v>
      </c>
    </row>
    <row r="16" spans="1:54" s="460" customFormat="1" ht="15" customHeight="1">
      <c r="B16" s="895" t="s">
        <v>3803</v>
      </c>
      <c r="C16" s="896"/>
      <c r="D16" s="510" t="s">
        <v>1656</v>
      </c>
      <c r="E16" s="563"/>
      <c r="G16" s="466"/>
      <c r="M16" s="458"/>
      <c r="N16" s="458"/>
      <c r="O16" s="458"/>
      <c r="P16" s="458"/>
      <c r="Q16" s="458"/>
      <c r="R16" s="458"/>
      <c r="S16" s="458"/>
    </row>
    <row r="17" spans="1:19" s="460" customFormat="1" ht="15" customHeight="1">
      <c r="B17" s="931" t="s">
        <v>5078</v>
      </c>
      <c r="C17" s="932"/>
      <c r="D17" s="666" t="s">
        <v>5084</v>
      </c>
      <c r="E17" s="563"/>
      <c r="G17" s="466"/>
      <c r="M17" s="458"/>
      <c r="N17" s="458"/>
      <c r="O17" s="458"/>
      <c r="P17" s="458"/>
      <c r="Q17" s="458"/>
      <c r="R17" s="458"/>
      <c r="S17" s="458"/>
    </row>
    <row r="18" spans="1:19" s="460" customFormat="1" ht="15" customHeight="1">
      <c r="B18" s="923" t="s">
        <v>5077</v>
      </c>
      <c r="C18" s="924"/>
      <c r="D18" s="667">
        <v>6000</v>
      </c>
      <c r="E18" s="563"/>
      <c r="G18" s="466"/>
      <c r="K18" s="460">
        <f>CapturaPorcentajeEnganche * CapturaValorFactura</f>
        <v>15000</v>
      </c>
      <c r="M18" s="458"/>
      <c r="N18" s="458"/>
      <c r="O18" s="458"/>
      <c r="P18" s="458"/>
      <c r="Q18" s="458"/>
      <c r="R18" s="458"/>
      <c r="S18" s="458"/>
    </row>
    <row r="19" spans="1:19" s="460" customFormat="1" ht="15" customHeight="1">
      <c r="B19" s="928" t="s">
        <v>3820</v>
      </c>
      <c r="C19" s="929"/>
      <c r="D19" s="930"/>
      <c r="E19" s="563"/>
      <c r="G19" s="466"/>
      <c r="M19" s="458"/>
      <c r="N19" s="458"/>
      <c r="O19" s="458"/>
      <c r="P19" s="458"/>
      <c r="Q19" s="458"/>
      <c r="R19" s="458"/>
      <c r="S19" s="458"/>
    </row>
    <row r="20" spans="1:19" s="460" customFormat="1" ht="15" hidden="1" customHeight="1">
      <c r="B20" s="935" t="s">
        <v>4284</v>
      </c>
      <c r="C20" s="936"/>
      <c r="D20" s="516" t="s">
        <v>1636</v>
      </c>
      <c r="E20" s="563"/>
      <c r="M20" s="458"/>
      <c r="N20" s="458"/>
      <c r="O20" s="458"/>
      <c r="P20" s="458"/>
      <c r="Q20" s="458"/>
      <c r="R20" s="458"/>
      <c r="S20" s="458"/>
    </row>
    <row r="21" spans="1:19" s="460" customFormat="1" ht="15" customHeight="1">
      <c r="B21" s="909" t="s">
        <v>5115</v>
      </c>
      <c r="C21" s="910"/>
      <c r="D21" s="517" t="s">
        <v>1635</v>
      </c>
      <c r="E21" s="563"/>
      <c r="M21" s="458"/>
      <c r="N21" s="458"/>
      <c r="O21" s="458"/>
      <c r="P21" s="458"/>
      <c r="Q21" s="458"/>
      <c r="R21" s="458"/>
      <c r="S21" s="458"/>
    </row>
    <row r="22" spans="1:19" s="460" customFormat="1" ht="15" customHeight="1" thickBot="1">
      <c r="B22" s="908" t="s">
        <v>5118</v>
      </c>
      <c r="C22" s="911"/>
      <c r="D22" s="516" t="s">
        <v>1635</v>
      </c>
      <c r="E22" s="563"/>
      <c r="G22" s="472"/>
      <c r="M22" s="458"/>
      <c r="N22" s="458"/>
      <c r="O22" s="458"/>
      <c r="P22" s="458"/>
      <c r="Q22" s="458"/>
      <c r="R22" s="458"/>
      <c r="S22" s="458"/>
    </row>
    <row r="23" spans="1:19" s="460" customFormat="1" ht="17.25" hidden="1" thickBot="1">
      <c r="A23" s="458"/>
      <c r="B23" s="926" t="s">
        <v>5116</v>
      </c>
      <c r="C23" s="927"/>
      <c r="D23" s="518" t="s">
        <v>1636</v>
      </c>
      <c r="E23" s="563"/>
      <c r="F23" s="458"/>
      <c r="G23" s="458"/>
      <c r="L23" s="458"/>
      <c r="M23" s="458"/>
      <c r="N23" s="458"/>
      <c r="O23" s="458"/>
      <c r="P23" s="458"/>
      <c r="Q23" s="458"/>
      <c r="R23" s="458"/>
      <c r="S23" s="458"/>
    </row>
    <row r="24" spans="1:19" ht="20.100000000000001" customHeight="1" thickBot="1">
      <c r="B24" s="893" t="s">
        <v>4519</v>
      </c>
      <c r="C24" s="894"/>
      <c r="D24" s="894"/>
    </row>
    <row r="25" spans="1:19" ht="15" customHeight="1">
      <c r="B25" s="912" t="s">
        <v>1687</v>
      </c>
      <c r="C25" s="913"/>
      <c r="D25" s="473">
        <f ca="1">MontoEnganche</f>
        <v>15000</v>
      </c>
      <c r="J25" s="460">
        <v>37500</v>
      </c>
    </row>
    <row r="26" spans="1:19" ht="15" customHeight="1">
      <c r="B26" s="895" t="s">
        <v>3804</v>
      </c>
      <c r="C26" s="896"/>
      <c r="D26" s="474" t="str">
        <f ca="1">MontoSeguroDeContado</f>
        <v>$9,380.66</v>
      </c>
      <c r="J26" s="460" t="s">
        <v>5058</v>
      </c>
    </row>
    <row r="27" spans="1:19">
      <c r="B27" s="895" t="s">
        <v>3275</v>
      </c>
      <c r="C27" s="896"/>
      <c r="D27" s="474">
        <f ca="1">MontoComisionPorAperturaConIva</f>
        <v>4088.9999999999995</v>
      </c>
      <c r="J27" s="460">
        <v>3810.836725108371</v>
      </c>
    </row>
    <row r="28" spans="1:19">
      <c r="B28" s="933" t="s">
        <v>3277</v>
      </c>
      <c r="C28" s="934"/>
      <c r="D28" s="475">
        <f ca="1">+D27+D26+D25</f>
        <v>28469.66</v>
      </c>
      <c r="J28" s="460">
        <v>41310.836725108369</v>
      </c>
    </row>
    <row r="29" spans="1:19" ht="5.0999999999999996" customHeight="1">
      <c r="B29" s="476"/>
      <c r="C29" s="477"/>
      <c r="D29" s="478"/>
    </row>
    <row r="30" spans="1:19" ht="15" customHeight="1">
      <c r="B30" s="895" t="s">
        <v>3279</v>
      </c>
      <c r="C30" s="896"/>
      <c r="D30" s="474">
        <f ca="1">MontoFinanciarAuto</f>
        <v>135000</v>
      </c>
      <c r="J30" s="460">
        <v>112500</v>
      </c>
    </row>
    <row r="31" spans="1:19" ht="15" customHeight="1">
      <c r="B31" s="908" t="s">
        <v>3805</v>
      </c>
      <c r="C31" s="896"/>
      <c r="D31" s="474">
        <f ca="1">MontoFinanciarSeguros</f>
        <v>0</v>
      </c>
      <c r="G31" s="479"/>
      <c r="J31" s="460">
        <v>18908.162934771415</v>
      </c>
    </row>
    <row r="32" spans="1:19" ht="15" customHeight="1">
      <c r="B32" s="908" t="s">
        <v>5079</v>
      </c>
      <c r="C32" s="896"/>
      <c r="D32" s="474">
        <f>MontoGtiaExt</f>
        <v>6000</v>
      </c>
      <c r="G32" s="479"/>
    </row>
    <row r="33" spans="2:11" ht="15" customHeight="1" thickBot="1">
      <c r="B33" s="897" t="s">
        <v>3280</v>
      </c>
      <c r="C33" s="898"/>
      <c r="D33" s="480">
        <f ca="1">MontoFinanciarTotal</f>
        <v>141000</v>
      </c>
    </row>
    <row r="34" spans="2:11" ht="19.5" customHeight="1" thickBot="1">
      <c r="B34" s="893" t="str">
        <f>"Pago " &amp; SELECCION_FRECUENCIA &amp; " Estimado con I.V.A. Incluido"</f>
        <v>Pago Catorcenal Estimado con I.V.A. Incluido</v>
      </c>
      <c r="C34" s="894"/>
      <c r="D34" s="894"/>
    </row>
    <row r="35" spans="2:11" ht="15" customHeight="1">
      <c r="B35" s="481" t="s">
        <v>503</v>
      </c>
      <c r="C35" s="482" t="s">
        <v>1681</v>
      </c>
      <c r="D35" s="483" t="s">
        <v>3278</v>
      </c>
    </row>
    <row r="36" spans="2:11" ht="15" customHeight="1">
      <c r="B36" s="484">
        <f>IF(Calculos!K17="","",Calculos!K17)</f>
        <v>12</v>
      </c>
      <c r="C36" s="485">
        <f>IF(Calculos!L17="","",Calculos!L17)</f>
        <v>0.129</v>
      </c>
      <c r="D36" s="486">
        <f>IF(Calculos!M17="","",Calculos!M17)</f>
        <v>12178.72</v>
      </c>
    </row>
    <row r="37" spans="2:11" ht="15" customHeight="1">
      <c r="B37" s="487">
        <f>IF(Calculos!K18="","",Calculos!K18)</f>
        <v>24</v>
      </c>
      <c r="C37" s="488">
        <f>IF(Calculos!L18="","",Calculos!L18)</f>
        <v>0.129</v>
      </c>
      <c r="D37" s="489">
        <f>IF(Calculos!M18="","",Calculos!M18)</f>
        <v>6291.75</v>
      </c>
    </row>
    <row r="38" spans="2:11" ht="15" customHeight="1">
      <c r="B38" s="484">
        <f>IF(Calculos!K19="","",Calculos!K19)</f>
        <v>36</v>
      </c>
      <c r="C38" s="485">
        <f>IF(Calculos!L19="","",Calculos!L19)</f>
        <v>0.129</v>
      </c>
      <c r="D38" s="486">
        <f>IF(Calculos!M19="","",Calculos!M19)</f>
        <v>4332.32</v>
      </c>
    </row>
    <row r="39" spans="2:11" ht="15" customHeight="1">
      <c r="B39" s="487">
        <f>IF(Calculos!K20="","",Calculos!K20)</f>
        <v>48</v>
      </c>
      <c r="C39" s="488">
        <f>IF(Calculos!L20="","",Calculos!L20)</f>
        <v>0.129</v>
      </c>
      <c r="D39" s="489">
        <f>IF(Calculos!M20="","",Calculos!M20)</f>
        <v>3354.76</v>
      </c>
    </row>
    <row r="40" spans="2:11" ht="15" customHeight="1" thickBot="1">
      <c r="B40" s="490">
        <f>IF(Calculos!K21="","",Calculos!K21)</f>
        <v>60</v>
      </c>
      <c r="C40" s="491">
        <f>IF(Calculos!L21="","",Calculos!L21)</f>
        <v>0.13200000000000001</v>
      </c>
      <c r="D40" s="492">
        <f>IF(Calculos!M21="","",Calculos!M21)</f>
        <v>2780.23</v>
      </c>
    </row>
    <row r="41" spans="2:11" s="493" customFormat="1" ht="15" customHeight="1" thickBot="1">
      <c r="E41" s="563"/>
      <c r="H41" s="494"/>
      <c r="I41" s="494"/>
      <c r="J41" s="494"/>
      <c r="K41" s="494"/>
    </row>
    <row r="42" spans="2:11" ht="12" customHeight="1">
      <c r="B42" s="899" t="str">
        <f ca="1">LEYENDA_DIAS_INTERESES_PRIMER_PAGO</f>
        <v/>
      </c>
      <c r="C42" s="900"/>
      <c r="D42" s="901"/>
    </row>
    <row r="43" spans="2:11" ht="30" customHeight="1">
      <c r="B43" s="902" t="str">
        <f ca="1">+Leyenda.Seguro.1</f>
        <v>* Costo del Seguro Banorte por el primer año por $9,380.66, incluye Indeminización Valor Factura Primer Año, Reparación en Agencia y Auto Sustituto en el pago a la firma del contrato.</v>
      </c>
      <c r="C43" s="903"/>
      <c r="D43" s="904"/>
    </row>
    <row r="44" spans="2:11" ht="30" customHeight="1">
      <c r="B44" s="890" t="str">
        <f ca="1">+Leyenda_coberturas_adicionales_cotizacion</f>
        <v>Incluye la(s) siguiente(s) cobertura(s) adicional(es):</v>
      </c>
      <c r="C44" s="891"/>
      <c r="D44" s="892"/>
    </row>
    <row r="45" spans="2:11" ht="24.95" customHeight="1">
      <c r="B45" s="905"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06"/>
      <c r="D45" s="907"/>
    </row>
    <row r="46" spans="2:11" ht="24.95" customHeight="1">
      <c r="B46" s="905"/>
      <c r="C46" s="906"/>
      <c r="D46" s="907"/>
    </row>
    <row r="47" spans="2:11" ht="24.95" customHeight="1">
      <c r="B47" s="905"/>
      <c r="C47" s="906"/>
      <c r="D47" s="907"/>
    </row>
    <row r="48" spans="2:11" ht="24.95" customHeight="1">
      <c r="B48" s="905"/>
      <c r="C48" s="906"/>
      <c r="D48" s="907"/>
    </row>
    <row r="49" spans="2:18" ht="24.95" customHeight="1">
      <c r="B49" s="905"/>
      <c r="C49" s="906"/>
      <c r="D49" s="907"/>
    </row>
    <row r="50" spans="2:18">
      <c r="B50" s="914" t="s">
        <v>4475</v>
      </c>
      <c r="C50" s="915"/>
      <c r="D50" s="916"/>
      <c r="G50" s="458" t="s">
        <v>3845</v>
      </c>
    </row>
    <row r="51" spans="2:18">
      <c r="B51" s="538" t="s">
        <v>4476</v>
      </c>
      <c r="C51" s="495"/>
      <c r="D51" s="496"/>
    </row>
    <row r="52" spans="2:18" ht="15" customHeight="1">
      <c r="B52" s="884" t="s">
        <v>3847</v>
      </c>
      <c r="C52" s="885"/>
      <c r="D52" s="886"/>
    </row>
    <row r="53" spans="2:18">
      <c r="B53" s="884"/>
      <c r="C53" s="885"/>
      <c r="D53" s="886"/>
    </row>
    <row r="54" spans="2:18" ht="17.25" thickBot="1">
      <c r="B54" s="887"/>
      <c r="C54" s="888"/>
      <c r="D54" s="889"/>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3485</v>
      </c>
    </row>
    <row r="206" spans="10:13">
      <c r="J206" s="460" t="s">
        <v>3484</v>
      </c>
    </row>
    <row r="217" spans="12:15">
      <c r="L217" s="458" t="b">
        <v>1</v>
      </c>
      <c r="O217" s="458" t="b">
        <v>1</v>
      </c>
    </row>
    <row r="218" spans="12:15">
      <c r="L218" s="458" t="b">
        <v>0</v>
      </c>
    </row>
    <row r="219" spans="12:15">
      <c r="L219" s="458" t="b">
        <v>1</v>
      </c>
    </row>
    <row r="220" spans="12:15">
      <c r="L220" s="458" t="b">
        <v>1</v>
      </c>
      <c r="O220" s="458" t="s">
        <v>4480</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C13" sqref="C13"/>
    </sheetView>
    <sheetView topLeftCell="A5" workbookViewId="1">
      <selection activeCell="D13" sqref="D13"/>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37" t="s">
        <v>3286</v>
      </c>
      <c r="E6" s="937"/>
      <c r="F6" s="937"/>
      <c r="G6" s="937"/>
      <c r="H6" s="640"/>
      <c r="I6" s="641"/>
    </row>
    <row r="7" spans="1:12" s="460" customFormat="1" ht="17.25" thickBot="1">
      <c r="A7" s="642"/>
      <c r="B7" s="643"/>
      <c r="C7" s="643"/>
      <c r="D7" s="938" t="str">
        <f ca="1">IF(ID_CONDICION_AUTO=1,"Autos Nuevos",IF(ID_CONDICION_AUTO=2,"Autos Seminuevos",""))</f>
        <v>Autos Nuevos</v>
      </c>
      <c r="E7" s="938"/>
      <c r="F7" s="938"/>
      <c r="G7" s="938"/>
      <c r="H7" s="643"/>
      <c r="I7" s="644"/>
    </row>
    <row r="8" spans="1:12" s="460" customFormat="1" ht="17.25" thickBot="1"/>
    <row r="9" spans="1:12" s="460" customFormat="1" ht="15" customHeight="1">
      <c r="A9" s="727" t="s">
        <v>3287</v>
      </c>
      <c r="B9" s="728"/>
      <c r="C9" s="729">
        <f ca="1">ValorFactura</f>
        <v>150000</v>
      </c>
      <c r="D9" s="730"/>
      <c r="E9" s="728"/>
      <c r="F9" s="728"/>
      <c r="G9" s="731" t="s">
        <v>1762</v>
      </c>
      <c r="H9" s="732">
        <f ca="1">CapturaFechaCotizacion</f>
        <v>42270</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3288</v>
      </c>
      <c r="B11" s="735"/>
      <c r="C11" s="736">
        <f ca="1">MontoFinanciarAuto</f>
        <v>135000</v>
      </c>
      <c r="D11" s="738" t="str">
        <f ca="1">Leyenda.Seguro.1_tabla_amortizacion</f>
        <v/>
      </c>
      <c r="E11" s="735"/>
      <c r="F11" s="735"/>
      <c r="G11" s="735"/>
      <c r="H11" s="735"/>
      <c r="I11" s="737"/>
      <c r="L11" s="753"/>
    </row>
    <row r="12" spans="1:12" s="460" customFormat="1" ht="15" customHeight="1">
      <c r="A12" s="734" t="s">
        <v>5101</v>
      </c>
      <c r="B12" s="735"/>
      <c r="C12" s="736">
        <f>MontoGtiaExt</f>
        <v>6000</v>
      </c>
      <c r="D12" s="739">
        <v>11243.62</v>
      </c>
      <c r="E12" s="735"/>
      <c r="F12" s="735"/>
      <c r="G12" s="735"/>
      <c r="H12" s="735"/>
      <c r="I12" s="737"/>
    </row>
    <row r="13" spans="1:12" ht="15" customHeight="1">
      <c r="A13" s="734" t="s">
        <v>10681</v>
      </c>
      <c r="B13" s="735"/>
      <c r="C13" s="870" t="s">
        <v>1670</v>
      </c>
      <c r="D13" s="870" t="s">
        <v>1621</v>
      </c>
      <c r="E13" s="735"/>
      <c r="F13" s="735"/>
      <c r="G13" s="740" t="s">
        <v>3283</v>
      </c>
      <c r="H13" s="741">
        <f ca="1">TasaInteres</f>
        <v>0.129</v>
      </c>
      <c r="I13" s="737"/>
    </row>
    <row r="14" spans="1:12" ht="27.95" customHeight="1">
      <c r="A14" s="939" t="s">
        <v>3291</v>
      </c>
      <c r="B14" s="940"/>
      <c r="C14" s="944" t="s">
        <v>1706</v>
      </c>
      <c r="D14" s="944"/>
      <c r="E14" s="742"/>
      <c r="F14" s="735"/>
      <c r="G14" s="743" t="s">
        <v>1763</v>
      </c>
      <c r="H14" s="744">
        <f ca="1">CAT!CAT</f>
        <v>0.3433129799625172</v>
      </c>
      <c r="I14" s="745" t="s">
        <v>1764</v>
      </c>
    </row>
    <row r="15" spans="1:12" ht="15" customHeight="1">
      <c r="A15" s="826" t="s">
        <v>3289</v>
      </c>
      <c r="B15" s="827"/>
      <c r="C15" s="735" t="str">
        <f>SELECCION_TIPO_PERSONA</f>
        <v>Física</v>
      </c>
      <c r="D15" s="742"/>
      <c r="E15" s="742"/>
      <c r="F15" s="735"/>
      <c r="G15" s="740" t="s">
        <v>1766</v>
      </c>
      <c r="H15" s="746">
        <f ca="1">NumeroDePagos-H16</f>
        <v>0</v>
      </c>
      <c r="I15" s="737"/>
    </row>
    <row r="16" spans="1:12" ht="15" customHeight="1" thickBot="1">
      <c r="A16" s="871" t="s">
        <v>3290</v>
      </c>
      <c r="B16" s="747"/>
      <c r="C16" s="537" t="s">
        <v>3284</v>
      </c>
      <c r="D16" s="748" t="str">
        <f ca="1">Leyenda.Seguro.2</f>
        <v/>
      </c>
      <c r="E16" s="749"/>
      <c r="F16" s="747"/>
      <c r="G16" s="750" t="s">
        <v>1767</v>
      </c>
      <c r="H16" s="751">
        <f ca="1">MIN(COUNTIF(C20:C79,"&lt;&gt;0"),NumeroDePagos)</f>
        <v>52</v>
      </c>
      <c r="I16" s="752"/>
    </row>
    <row r="17" spans="1:9" ht="17.25" thickBot="1">
      <c r="A17" s="726"/>
      <c r="B17" s="724"/>
      <c r="C17" s="724"/>
      <c r="D17" s="724"/>
      <c r="E17" s="725"/>
      <c r="F17" s="724"/>
      <c r="G17" s="724"/>
      <c r="H17" s="724"/>
      <c r="I17" s="724"/>
    </row>
    <row r="18" spans="1:9" s="539" customFormat="1" ht="15" customHeight="1" thickBot="1">
      <c r="A18" s="945" t="s">
        <v>3285</v>
      </c>
      <c r="B18" s="946"/>
      <c r="C18" s="946"/>
      <c r="D18" s="946"/>
      <c r="E18" s="947"/>
      <c r="F18" s="946"/>
      <c r="G18" s="946"/>
      <c r="H18" s="946"/>
      <c r="I18" s="948"/>
    </row>
    <row r="19" spans="1:9" ht="27">
      <c r="A19" s="519" t="s">
        <v>1758</v>
      </c>
      <c r="B19" s="519" t="s">
        <v>1759</v>
      </c>
      <c r="C19" s="519" t="s">
        <v>1699</v>
      </c>
      <c r="D19" s="519" t="s">
        <v>1760</v>
      </c>
      <c r="E19" s="519" t="s">
        <v>1701</v>
      </c>
      <c r="F19" s="519" t="s">
        <v>1761</v>
      </c>
      <c r="G19" s="519" t="s">
        <v>1702</v>
      </c>
      <c r="H19" s="519" t="s">
        <v>10532</v>
      </c>
      <c r="I19" s="519" t="s">
        <v>1703</v>
      </c>
    </row>
    <row r="20" spans="1:9" ht="15" customHeight="1">
      <c r="A20" s="525">
        <v>1</v>
      </c>
      <c r="B20" s="526">
        <f t="shared" ref="B20:B51" ca="1" si="0">INDEX(Fechas_Pago,$A20)</f>
        <v>42284</v>
      </c>
      <c r="C20" s="527">
        <f ca="1">T_Merger!L20</f>
        <v>141000</v>
      </c>
      <c r="D20" s="527">
        <f ca="1">T_Merger!M20</f>
        <v>2346.0914252721923</v>
      </c>
      <c r="E20" s="527">
        <f ca="1">T_Merger!P20</f>
        <v>707.35</v>
      </c>
      <c r="F20" s="527">
        <f ca="1">T_Merger!Q20</f>
        <v>84.882000000000005</v>
      </c>
      <c r="G20" s="527">
        <f ca="1">T_Merger!R20</f>
        <v>3138.32</v>
      </c>
      <c r="H20" s="687">
        <v>0</v>
      </c>
      <c r="I20" s="528">
        <f ca="1">T_Merger!T20</f>
        <v>138653.9085747278</v>
      </c>
    </row>
    <row r="21" spans="1:9" ht="15" customHeight="1">
      <c r="A21" s="529">
        <v>2</v>
      </c>
      <c r="B21" s="530">
        <f t="shared" ca="1" si="0"/>
        <v>42298</v>
      </c>
      <c r="C21" s="531">
        <f ca="1">T_Merger!L21</f>
        <v>138653.9085747278</v>
      </c>
      <c r="D21" s="531">
        <f ca="1">T_Merger!M21</f>
        <v>2359.2733309603218</v>
      </c>
      <c r="E21" s="531">
        <f ca="1">T_Merger!P21</f>
        <v>695.5804413498845</v>
      </c>
      <c r="F21" s="531">
        <f ca="1">T_Merger!Q21</f>
        <v>83.469652961986142</v>
      </c>
      <c r="G21" s="531">
        <f ca="1">T_Merger!R21</f>
        <v>3138.32</v>
      </c>
      <c r="H21" s="688">
        <v>0</v>
      </c>
      <c r="I21" s="532">
        <f ca="1">T_Merger!T21</f>
        <v>136294.63524376746</v>
      </c>
    </row>
    <row r="22" spans="1:9" ht="15" customHeight="1">
      <c r="A22" s="529">
        <v>3</v>
      </c>
      <c r="B22" s="530">
        <f t="shared" ca="1" si="0"/>
        <v>42312</v>
      </c>
      <c r="C22" s="531">
        <f ca="1">T_Merger!L22</f>
        <v>136294.63524376746</v>
      </c>
      <c r="D22" s="531">
        <f ca="1">T_Merger!M22</f>
        <v>2372.529301382544</v>
      </c>
      <c r="E22" s="531">
        <f ca="1">T_Merger!P22</f>
        <v>683.74475347290013</v>
      </c>
      <c r="F22" s="531">
        <f ca="1">T_Merger!Q22</f>
        <v>82.049370416748019</v>
      </c>
      <c r="G22" s="531">
        <f ca="1">T_Merger!R22</f>
        <v>3138.32</v>
      </c>
      <c r="H22" s="688">
        <v>0</v>
      </c>
      <c r="I22" s="532">
        <f ca="1">T_Merger!T22</f>
        <v>133922.10594238492</v>
      </c>
    </row>
    <row r="23" spans="1:9" ht="15" customHeight="1">
      <c r="A23" s="529">
        <v>4</v>
      </c>
      <c r="B23" s="530">
        <f t="shared" ca="1" si="0"/>
        <v>42326</v>
      </c>
      <c r="C23" s="531">
        <f ca="1">T_Merger!L23</f>
        <v>133922.10594238492</v>
      </c>
      <c r="D23" s="531">
        <f ca="1">T_Merger!M23</f>
        <v>2385.8597526839121</v>
      </c>
      <c r="E23" s="531">
        <f ca="1">T_Merger!P23</f>
        <v>671.84256481096429</v>
      </c>
      <c r="F23" s="531">
        <f ca="1">T_Merger!Q23</f>
        <v>80.621107777315714</v>
      </c>
      <c r="G23" s="531">
        <f ca="1">T_Merger!R23</f>
        <v>3138.32</v>
      </c>
      <c r="H23" s="688">
        <v>0</v>
      </c>
      <c r="I23" s="532">
        <f ca="1">T_Merger!T23</f>
        <v>131536.24618970102</v>
      </c>
    </row>
    <row r="24" spans="1:9">
      <c r="A24" s="529">
        <v>5</v>
      </c>
      <c r="B24" s="530">
        <f t="shared" ca="1" si="0"/>
        <v>42340</v>
      </c>
      <c r="C24" s="531">
        <f ca="1">T_Merger!L24</f>
        <v>131536.24618970102</v>
      </c>
      <c r="D24" s="531">
        <f ca="1">T_Merger!M24</f>
        <v>2399.2651033476586</v>
      </c>
      <c r="E24" s="531">
        <f ca="1">T_Merger!P24</f>
        <v>659.87350171833339</v>
      </c>
      <c r="F24" s="531">
        <f ca="1">T_Merger!Q24</f>
        <v>79.184820206200001</v>
      </c>
      <c r="G24" s="531">
        <f ca="1">T_Merger!R24</f>
        <v>3138.32</v>
      </c>
      <c r="H24" s="688">
        <v>0</v>
      </c>
      <c r="I24" s="532">
        <f ca="1">T_Merger!T24</f>
        <v>129136.98108635336</v>
      </c>
    </row>
    <row r="25" spans="1:9">
      <c r="A25" s="529">
        <v>6</v>
      </c>
      <c r="B25" s="530">
        <f t="shared" ca="1" si="0"/>
        <v>42354</v>
      </c>
      <c r="C25" s="531">
        <f ca="1">T_Merger!L25</f>
        <v>129136.98108635336</v>
      </c>
      <c r="D25" s="531">
        <f ca="1">T_Merger!M25</f>
        <v>2412.7457742083348</v>
      </c>
      <c r="E25" s="531">
        <f ca="1">T_Merger!P25</f>
        <v>647.83718844987266</v>
      </c>
      <c r="F25" s="531">
        <f ca="1">T_Merger!Q25</f>
        <v>77.740462613984718</v>
      </c>
      <c r="G25" s="531">
        <f ca="1">T_Merger!R25</f>
        <v>3138.32</v>
      </c>
      <c r="H25" s="688">
        <v>0</v>
      </c>
      <c r="I25" s="532">
        <f ca="1">T_Merger!T25</f>
        <v>126724.23531214503</v>
      </c>
    </row>
    <row r="26" spans="1:9">
      <c r="A26" s="529">
        <v>7</v>
      </c>
      <c r="B26" s="530">
        <f t="shared" ca="1" si="0"/>
        <v>42368</v>
      </c>
      <c r="C26" s="531">
        <f ca="1">T_Merger!L26</f>
        <v>126724.23531214503</v>
      </c>
      <c r="D26" s="531">
        <f ca="1">T_Merger!M26</f>
        <v>2426.3021884650198</v>
      </c>
      <c r="E26" s="531">
        <f ca="1">T_Merger!P26</f>
        <v>635.73324714926093</v>
      </c>
      <c r="F26" s="531">
        <f ca="1">T_Merger!Q26</f>
        <v>76.287989657911311</v>
      </c>
      <c r="G26" s="531">
        <f ca="1">T_Merger!R26</f>
        <v>3138.32</v>
      </c>
      <c r="H26" s="688">
        <v>0</v>
      </c>
      <c r="I26" s="532">
        <f ca="1">T_Merger!T26</f>
        <v>124297.93312368001</v>
      </c>
    </row>
    <row r="27" spans="1:9">
      <c r="A27" s="529">
        <v>8</v>
      </c>
      <c r="B27" s="530">
        <f t="shared" ca="1" si="0"/>
        <v>42382</v>
      </c>
      <c r="C27" s="531">
        <f ca="1">T_Merger!L27</f>
        <v>124297.93312368001</v>
      </c>
      <c r="D27" s="531">
        <f ca="1">T_Merger!M27</f>
        <v>2439.9347716946086</v>
      </c>
      <c r="E27" s="531">
        <f ca="1">T_Merger!P27</f>
        <v>623.561297837128</v>
      </c>
      <c r="F27" s="531">
        <f ca="1">T_Merger!Q27</f>
        <v>74.82735574045536</v>
      </c>
      <c r="G27" s="531">
        <f ca="1">T_Merger!R27</f>
        <v>3138.32</v>
      </c>
      <c r="H27" s="688">
        <v>0</v>
      </c>
      <c r="I27" s="532">
        <f ca="1">T_Merger!T27</f>
        <v>121857.9983519854</v>
      </c>
    </row>
    <row r="28" spans="1:9">
      <c r="A28" s="529">
        <v>9</v>
      </c>
      <c r="B28" s="530">
        <f t="shared" ca="1" si="0"/>
        <v>42396</v>
      </c>
      <c r="C28" s="531">
        <f ca="1">T_Merger!L28</f>
        <v>121857.9983519854</v>
      </c>
      <c r="D28" s="531">
        <f ca="1">T_Merger!M28</f>
        <v>2453.6439518651705</v>
      </c>
      <c r="E28" s="531">
        <f ca="1">T_Merger!P28</f>
        <v>611.32095839912677</v>
      </c>
      <c r="F28" s="531">
        <f ca="1">T_Merger!Q28</f>
        <v>73.358515007895207</v>
      </c>
      <c r="G28" s="531">
        <f ca="1">T_Merger!R28</f>
        <v>3138.32</v>
      </c>
      <c r="H28" s="688">
        <v>0</v>
      </c>
      <c r="I28" s="532">
        <f ca="1">T_Merger!T28</f>
        <v>119404.35440012022</v>
      </c>
    </row>
    <row r="29" spans="1:9">
      <c r="A29" s="529">
        <v>10</v>
      </c>
      <c r="B29" s="530">
        <f t="shared" ca="1" si="0"/>
        <v>42410</v>
      </c>
      <c r="C29" s="531">
        <f ca="1">T_Merger!L29</f>
        <v>119404.35440012022</v>
      </c>
      <c r="D29" s="531">
        <f ca="1">T_Merger!M29</f>
        <v>2467.4301593493833</v>
      </c>
      <c r="E29" s="531">
        <f ca="1">T_Merger!P29</f>
        <v>599.01184457393651</v>
      </c>
      <c r="F29" s="531">
        <f ca="1">T_Merger!Q29</f>
        <v>71.881421348872379</v>
      </c>
      <c r="G29" s="531">
        <f ca="1">T_Merger!R29</f>
        <v>3138.32</v>
      </c>
      <c r="H29" s="688">
        <v>0</v>
      </c>
      <c r="I29" s="532">
        <f ca="1">T_Merger!T29</f>
        <v>116936.92424077084</v>
      </c>
    </row>
    <row r="30" spans="1:9">
      <c r="A30" s="529">
        <v>11</v>
      </c>
      <c r="B30" s="530">
        <f t="shared" ca="1" si="0"/>
        <v>42424</v>
      </c>
      <c r="C30" s="531">
        <f ca="1">T_Merger!L30</f>
        <v>116936.92424077084</v>
      </c>
      <c r="D30" s="531">
        <f ca="1">T_Merger!M30</f>
        <v>2481.2938269380479</v>
      </c>
      <c r="E30" s="531">
        <f ca="1">T_Merger!P30</f>
        <v>586.63356994120034</v>
      </c>
      <c r="F30" s="531">
        <f ca="1">T_Merger!Q30</f>
        <v>70.396028392944032</v>
      </c>
      <c r="G30" s="531">
        <f ca="1">T_Merger!R30</f>
        <v>3138.32</v>
      </c>
      <c r="H30" s="688">
        <v>0</v>
      </c>
      <c r="I30" s="532">
        <f ca="1">T_Merger!T30</f>
        <v>114455.63041383278</v>
      </c>
    </row>
    <row r="31" spans="1:9">
      <c r="A31" s="533">
        <v>12</v>
      </c>
      <c r="B31" s="534">
        <f t="shared" ca="1" si="0"/>
        <v>42438</v>
      </c>
      <c r="C31" s="535">
        <f ca="1">T_Merger!L31</f>
        <v>114455.63041383278</v>
      </c>
      <c r="D31" s="535">
        <f ca="1">T_Merger!M31</f>
        <v>2495.2353898536703</v>
      </c>
      <c r="E31" s="535">
        <f ca="1">T_Merger!P31</f>
        <v>574.18574590939443</v>
      </c>
      <c r="F31" s="535">
        <f ca="1">T_Merger!Q31</f>
        <v>68.902289509127328</v>
      </c>
      <c r="G31" s="535">
        <f ca="1">T_Merger!R31</f>
        <v>3138.32</v>
      </c>
      <c r="H31" s="689">
        <v>0</v>
      </c>
      <c r="I31" s="536">
        <f ca="1">T_Merger!T31</f>
        <v>111960.39502397912</v>
      </c>
    </row>
    <row r="32" spans="1:9">
      <c r="A32" s="529">
        <v>13</v>
      </c>
      <c r="B32" s="530">
        <f t="shared" ca="1" si="0"/>
        <v>42452</v>
      </c>
      <c r="C32" s="531">
        <f ca="1">T_Merger!L32</f>
        <v>111960.39502397912</v>
      </c>
      <c r="D32" s="531">
        <f ca="1">T_Merger!M32</f>
        <v>2509.2552857641281</v>
      </c>
      <c r="E32" s="531">
        <f ca="1">T_Merger!P32</f>
        <v>561.66798170362858</v>
      </c>
      <c r="F32" s="531">
        <f ca="1">T_Merger!Q32</f>
        <v>67.400157804435423</v>
      </c>
      <c r="G32" s="531">
        <f ca="1">T_Merger!R32</f>
        <v>3138.32</v>
      </c>
      <c r="H32" s="688">
        <v>0</v>
      </c>
      <c r="I32" s="532">
        <f ca="1">T_Merger!T32</f>
        <v>109451.13973821499</v>
      </c>
    </row>
    <row r="33" spans="1:9">
      <c r="A33" s="529">
        <v>14</v>
      </c>
      <c r="B33" s="530">
        <f t="shared" ca="1" si="0"/>
        <v>42466</v>
      </c>
      <c r="C33" s="531">
        <f ca="1">T_Merger!L33</f>
        <v>109451.13973821499</v>
      </c>
      <c r="D33" s="531">
        <f ca="1">T_Merger!M33</f>
        <v>2523.3539547964083</v>
      </c>
      <c r="E33" s="531">
        <f ca="1">T_Merger!P33</f>
        <v>549.07988435337859</v>
      </c>
      <c r="F33" s="531">
        <f ca="1">T_Merger!Q33</f>
        <v>65.889586122405433</v>
      </c>
      <c r="G33" s="531">
        <f ca="1">T_Merger!R33</f>
        <v>3138.32</v>
      </c>
      <c r="H33" s="688">
        <v>0</v>
      </c>
      <c r="I33" s="532">
        <f ca="1">T_Merger!T33</f>
        <v>106927.78578341859</v>
      </c>
    </row>
    <row r="34" spans="1:9">
      <c r="A34" s="529">
        <v>15</v>
      </c>
      <c r="B34" s="530">
        <f t="shared" ca="1" si="0"/>
        <v>42480</v>
      </c>
      <c r="C34" s="531">
        <f ca="1">T_Merger!L34</f>
        <v>106927.78578341859</v>
      </c>
      <c r="D34" s="531">
        <f ca="1">T_Merger!M34</f>
        <v>2537.5318395504246</v>
      </c>
      <c r="E34" s="531">
        <f ca="1">T_Merger!P34</f>
        <v>536.42105868014983</v>
      </c>
      <c r="F34" s="531">
        <f ca="1">T_Merger!Q34</f>
        <v>64.370527041617976</v>
      </c>
      <c r="G34" s="531">
        <f ca="1">T_Merger!R34</f>
        <v>3138.32</v>
      </c>
      <c r="H34" s="688">
        <v>0</v>
      </c>
      <c r="I34" s="532">
        <f ca="1">T_Merger!T34</f>
        <v>104390.25394386816</v>
      </c>
    </row>
    <row r="35" spans="1:9">
      <c r="A35" s="529">
        <v>16</v>
      </c>
      <c r="B35" s="530">
        <f t="shared" ca="1" si="0"/>
        <v>42494</v>
      </c>
      <c r="C35" s="531">
        <f ca="1">T_Merger!L35</f>
        <v>104390.25394386816</v>
      </c>
      <c r="D35" s="531">
        <f ca="1">T_Merger!M35</f>
        <v>2551.7893851129115</v>
      </c>
      <c r="E35" s="531">
        <f ca="1">T_Merger!P35</f>
        <v>523.69110728507189</v>
      </c>
      <c r="F35" s="531">
        <f ca="1">T_Merger!Q35</f>
        <v>62.842932874208628</v>
      </c>
      <c r="G35" s="531">
        <f ca="1">T_Merger!R35</f>
        <v>3138.32</v>
      </c>
      <c r="H35" s="688">
        <v>0</v>
      </c>
      <c r="I35" s="532">
        <f ca="1">T_Merger!T35</f>
        <v>101838.46455875525</v>
      </c>
    </row>
    <row r="36" spans="1:9">
      <c r="A36" s="529">
        <v>17</v>
      </c>
      <c r="B36" s="530">
        <f t="shared" ca="1" si="0"/>
        <v>42508</v>
      </c>
      <c r="C36" s="531">
        <f ca="1">T_Merger!L36</f>
        <v>101838.46455875525</v>
      </c>
      <c r="D36" s="531">
        <f ca="1">T_Merger!M36</f>
        <v>2566.1270390713994</v>
      </c>
      <c r="E36" s="531">
        <f ca="1">T_Merger!P36</f>
        <v>510.88963053642215</v>
      </c>
      <c r="F36" s="531">
        <f ca="1">T_Merger!Q36</f>
        <v>61.306755664370655</v>
      </c>
      <c r="G36" s="531">
        <f ca="1">T_Merger!R36</f>
        <v>3138.32</v>
      </c>
      <c r="H36" s="688">
        <v>0</v>
      </c>
      <c r="I36" s="532">
        <f ca="1">T_Merger!T36</f>
        <v>99272.337519683846</v>
      </c>
    </row>
    <row r="37" spans="1:9">
      <c r="A37" s="529">
        <v>18</v>
      </c>
      <c r="B37" s="530">
        <f t="shared" ca="1" si="0"/>
        <v>42522</v>
      </c>
      <c r="C37" s="531">
        <f ca="1">T_Merger!L37</f>
        <v>99272.337519683846</v>
      </c>
      <c r="D37" s="531">
        <f ca="1">T_Merger!M37</f>
        <v>2580.5452515282618</v>
      </c>
      <c r="E37" s="531">
        <f ca="1">T_Merger!P37</f>
        <v>498.01622655708059</v>
      </c>
      <c r="F37" s="531">
        <f ca="1">T_Merger!Q37</f>
        <v>59.761947186849667</v>
      </c>
      <c r="G37" s="531">
        <f ca="1">T_Merger!R37</f>
        <v>3138.32</v>
      </c>
      <c r="H37" s="688">
        <v>0</v>
      </c>
      <c r="I37" s="532">
        <f ca="1">T_Merger!T37</f>
        <v>96691.792268155579</v>
      </c>
    </row>
    <row r="38" spans="1:9">
      <c r="A38" s="529">
        <v>19</v>
      </c>
      <c r="B38" s="530">
        <f t="shared" ca="1" si="0"/>
        <v>42536</v>
      </c>
      <c r="C38" s="531">
        <f ca="1">T_Merger!L38</f>
        <v>96691.792268155579</v>
      </c>
      <c r="D38" s="531">
        <f ca="1">T_Merger!M38</f>
        <v>2595.0444751148489</v>
      </c>
      <c r="E38" s="531">
        <f ca="1">T_Merger!P38</f>
        <v>485.07049121191386</v>
      </c>
      <c r="F38" s="531">
        <f ca="1">T_Merger!Q38</f>
        <v>58.208458945429662</v>
      </c>
      <c r="G38" s="531">
        <f ca="1">T_Merger!R38</f>
        <v>3138.32</v>
      </c>
      <c r="H38" s="688">
        <v>0</v>
      </c>
      <c r="I38" s="532">
        <f ca="1">T_Merger!T38</f>
        <v>94096.747793040733</v>
      </c>
    </row>
    <row r="39" spans="1:9">
      <c r="A39" s="529">
        <v>20</v>
      </c>
      <c r="B39" s="530">
        <f t="shared" ca="1" si="0"/>
        <v>42550</v>
      </c>
      <c r="C39" s="531">
        <f ca="1">T_Merger!L39</f>
        <v>94096.747793040733</v>
      </c>
      <c r="D39" s="531">
        <f ca="1">T_Merger!M39</f>
        <v>2609.6251650056938</v>
      </c>
      <c r="E39" s="531">
        <f ca="1">T_Merger!P39</f>
        <v>472.0520180950877</v>
      </c>
      <c r="F39" s="531">
        <f ca="1">T_Merger!Q39</f>
        <v>56.64624217141052</v>
      </c>
      <c r="G39" s="531">
        <f ca="1">T_Merger!R39</f>
        <v>3138.32</v>
      </c>
      <c r="H39" s="688">
        <v>0</v>
      </c>
      <c r="I39" s="532">
        <f ca="1">T_Merger!T39</f>
        <v>91487.122628035038</v>
      </c>
    </row>
    <row r="40" spans="1:9">
      <c r="A40" s="529">
        <v>21</v>
      </c>
      <c r="B40" s="530">
        <f t="shared" ca="1" si="0"/>
        <v>42564</v>
      </c>
      <c r="C40" s="531">
        <f ca="1">T_Merger!L40</f>
        <v>91487.122628035038</v>
      </c>
      <c r="D40" s="531">
        <f ca="1">T_Merger!M40</f>
        <v>2624.2877789328058</v>
      </c>
      <c r="E40" s="531">
        <f ca="1">T_Merger!P40</f>
        <v>458.96039851730916</v>
      </c>
      <c r="F40" s="531">
        <f ca="1">T_Merger!Q40</f>
        <v>55.075247822077095</v>
      </c>
      <c r="G40" s="531">
        <f ca="1">T_Merger!R40</f>
        <v>3138.32</v>
      </c>
      <c r="H40" s="688">
        <v>0</v>
      </c>
      <c r="I40" s="532">
        <f ca="1">T_Merger!T40</f>
        <v>88862.834849102233</v>
      </c>
    </row>
    <row r="41" spans="1:9">
      <c r="A41" s="529">
        <v>22</v>
      </c>
      <c r="B41" s="530">
        <f t="shared" ca="1" si="0"/>
        <v>42578</v>
      </c>
      <c r="C41" s="531">
        <f ca="1">T_Merger!L41</f>
        <v>88862.834849102233</v>
      </c>
      <c r="D41" s="531">
        <f ca="1">T_Merger!M41</f>
        <v>2639.0327772000364</v>
      </c>
      <c r="E41" s="531">
        <f ca="1">T_Merger!P41</f>
        <v>445.79522149299623</v>
      </c>
      <c r="F41" s="531">
        <f ca="1">T_Merger!Q41</f>
        <v>53.495426579159549</v>
      </c>
      <c r="G41" s="531">
        <f ca="1">T_Merger!R41</f>
        <v>3138.32</v>
      </c>
      <c r="H41" s="688">
        <v>0</v>
      </c>
      <c r="I41" s="532">
        <f ca="1">T_Merger!T41</f>
        <v>86223.802071902202</v>
      </c>
    </row>
    <row r="42" spans="1:9">
      <c r="A42" s="529">
        <v>23</v>
      </c>
      <c r="B42" s="530">
        <f t="shared" ca="1" si="0"/>
        <v>42592</v>
      </c>
      <c r="C42" s="531">
        <f ca="1">T_Merger!L42</f>
        <v>86223.802071902202</v>
      </c>
      <c r="D42" s="531">
        <f ca="1">T_Merger!M42</f>
        <v>2653.8606226975307</v>
      </c>
      <c r="E42" s="720">
        <f ca="1">T_Merger!P42</f>
        <v>432.55607372737609</v>
      </c>
      <c r="F42" s="531">
        <f ca="1">T_Merger!Q42</f>
        <v>51.90672884728513</v>
      </c>
      <c r="G42" s="531">
        <f ca="1">T_Merger!R42</f>
        <v>3138.32</v>
      </c>
      <c r="H42" s="688">
        <v>0</v>
      </c>
      <c r="I42" s="532">
        <f ca="1">T_Merger!T42</f>
        <v>83569.941449204678</v>
      </c>
    </row>
    <row r="43" spans="1:9">
      <c r="A43" s="533">
        <v>24</v>
      </c>
      <c r="B43" s="534">
        <f t="shared" ca="1" si="0"/>
        <v>42606</v>
      </c>
      <c r="C43" s="535">
        <f ca="1">T_Merger!L43</f>
        <v>83569.941449204678</v>
      </c>
      <c r="D43" s="535">
        <f ca="1">T_Merger!M43</f>
        <v>2668.7717809162609</v>
      </c>
      <c r="E43" s="721">
        <f ca="1">T_Merger!P43</f>
        <v>419.24253960351012</v>
      </c>
      <c r="F43" s="535">
        <f ca="1">T_Merger!Q43</f>
        <v>50.309104752421213</v>
      </c>
      <c r="G43" s="535">
        <f ca="1">T_Merger!R43</f>
        <v>3138.32</v>
      </c>
      <c r="H43" s="689">
        <v>0</v>
      </c>
      <c r="I43" s="536">
        <f ca="1">T_Merger!T43</f>
        <v>80901.169668288421</v>
      </c>
    </row>
    <row r="44" spans="1:9">
      <c r="A44" s="529">
        <v>25</v>
      </c>
      <c r="B44" s="530">
        <f t="shared" ca="1" si="0"/>
        <v>42620</v>
      </c>
      <c r="C44" s="531">
        <f ca="1">T_Merger!L44</f>
        <v>80901.169668288421</v>
      </c>
      <c r="D44" s="531">
        <f ca="1">T_Merger!M44</f>
        <v>2683.7667199626358</v>
      </c>
      <c r="E44" s="722">
        <f ca="1">T_Merger!P44</f>
        <v>405.85420116924689</v>
      </c>
      <c r="F44" s="531">
        <f ca="1">T_Merger!Q44</f>
        <v>48.702504140309628</v>
      </c>
      <c r="G44" s="531">
        <f ca="1">T_Merger!R44</f>
        <v>3138.32</v>
      </c>
      <c r="H44" s="688">
        <v>0</v>
      </c>
      <c r="I44" s="532">
        <f ca="1">T_Merger!T44</f>
        <v>78217.402948325791</v>
      </c>
    </row>
    <row r="45" spans="1:9">
      <c r="A45" s="529">
        <v>26</v>
      </c>
      <c r="B45" s="530">
        <f t="shared" ca="1" si="0"/>
        <v>42634</v>
      </c>
      <c r="C45" s="531">
        <f ca="1">T_Merger!L45</f>
        <v>78217.402948325791</v>
      </c>
      <c r="D45" s="531">
        <f ca="1">T_Merger!M45</f>
        <v>2698.845910573199</v>
      </c>
      <c r="E45" s="722">
        <f ca="1">T_Merger!P45</f>
        <v>392.39063812410103</v>
      </c>
      <c r="F45" s="531">
        <f ca="1">T_Merger!Q45</f>
        <v>47.086876574892123</v>
      </c>
      <c r="G45" s="531">
        <f ca="1">T_Merger!R45</f>
        <v>3138.32</v>
      </c>
      <c r="H45" s="688">
        <v>0</v>
      </c>
      <c r="I45" s="532">
        <f ca="1">T_Merger!T45</f>
        <v>75518.557037752587</v>
      </c>
    </row>
    <row r="46" spans="1:9">
      <c r="A46" s="529">
        <v>27</v>
      </c>
      <c r="B46" s="530">
        <f t="shared" ca="1" si="0"/>
        <v>42648</v>
      </c>
      <c r="C46" s="531">
        <f ca="1">T_Merger!L46</f>
        <v>75518.557037752587</v>
      </c>
      <c r="D46" s="531">
        <f ca="1">T_Merger!M46</f>
        <v>2714.0098261294061</v>
      </c>
      <c r="E46" s="722">
        <f ca="1">T_Merger!P46</f>
        <v>378.85142780605884</v>
      </c>
      <c r="F46" s="531">
        <f ca="1">T_Merger!Q46</f>
        <v>45.46217133672706</v>
      </c>
      <c r="G46" s="531">
        <f ca="1">T_Merger!R46</f>
        <v>3138.32</v>
      </c>
      <c r="H46" s="688">
        <v>0</v>
      </c>
      <c r="I46" s="532">
        <f ca="1">T_Merger!T46</f>
        <v>72804.547211623183</v>
      </c>
    </row>
    <row r="47" spans="1:9">
      <c r="A47" s="529">
        <v>28</v>
      </c>
      <c r="B47" s="530">
        <f t="shared" ca="1" si="0"/>
        <v>42662</v>
      </c>
      <c r="C47" s="531">
        <f ca="1">T_Merger!L47</f>
        <v>72804.547211623183</v>
      </c>
      <c r="D47" s="531">
        <f ca="1">T_Merger!M47</f>
        <v>2729.2589426724853</v>
      </c>
      <c r="E47" s="722">
        <f ca="1">T_Merger!P47</f>
        <v>365.23614517830964</v>
      </c>
      <c r="F47" s="531">
        <f ca="1">T_Merger!Q47</f>
        <v>43.828337421397158</v>
      </c>
      <c r="G47" s="531">
        <f ca="1">T_Merger!R47</f>
        <v>3138.32</v>
      </c>
      <c r="H47" s="688">
        <v>0</v>
      </c>
      <c r="I47" s="532">
        <f ca="1">T_Merger!T47</f>
        <v>70075.288268950695</v>
      </c>
    </row>
    <row r="48" spans="1:9">
      <c r="A48" s="529">
        <v>29</v>
      </c>
      <c r="B48" s="530">
        <f t="shared" ca="1" si="0"/>
        <v>42676</v>
      </c>
      <c r="C48" s="531">
        <f ca="1">T_Merger!L48</f>
        <v>70075.288268950695</v>
      </c>
      <c r="D48" s="531">
        <f ca="1">T_Merger!M48</f>
        <v>2744.5937389183814</v>
      </c>
      <c r="E48" s="722">
        <f ca="1">T_Merger!P48</f>
        <v>351.54436281590267</v>
      </c>
      <c r="F48" s="531">
        <f ca="1">T_Merger!Q48</f>
        <v>42.185323537908317</v>
      </c>
      <c r="G48" s="531">
        <f ca="1">T_Merger!R48</f>
        <v>3138.32</v>
      </c>
      <c r="H48" s="688">
        <v>0</v>
      </c>
      <c r="I48" s="532">
        <f ca="1">T_Merger!T48</f>
        <v>67330.694530032313</v>
      </c>
    </row>
    <row r="49" spans="1:9">
      <c r="A49" s="529">
        <v>30</v>
      </c>
      <c r="B49" s="530">
        <f t="shared" ca="1" si="0"/>
        <v>42690</v>
      </c>
      <c r="C49" s="531">
        <f ca="1">T_Merger!L49</f>
        <v>67330.694530032313</v>
      </c>
      <c r="D49" s="531">
        <f ca="1">T_Merger!M49</f>
        <v>2760.014696272784</v>
      </c>
      <c r="E49" s="722">
        <f ca="1">T_Merger!P49</f>
        <v>337.77565089232877</v>
      </c>
      <c r="F49" s="531">
        <f ca="1">T_Merger!Q49</f>
        <v>40.533078107079454</v>
      </c>
      <c r="G49" s="531">
        <f ca="1">T_Merger!R49</f>
        <v>3138.32</v>
      </c>
      <c r="H49" s="688">
        <v>0</v>
      </c>
      <c r="I49" s="532">
        <f ca="1">T_Merger!T49</f>
        <v>64570.679833759532</v>
      </c>
    </row>
    <row r="50" spans="1:9">
      <c r="A50" s="529">
        <v>31</v>
      </c>
      <c r="B50" s="530">
        <f t="shared" ca="1" si="0"/>
        <v>42704</v>
      </c>
      <c r="C50" s="531">
        <f ca="1">T_Merger!L50</f>
        <v>64570.679833759532</v>
      </c>
      <c r="D50" s="531">
        <f ca="1">T_Merger!M50</f>
        <v>2775.5222988462419</v>
      </c>
      <c r="E50" s="722">
        <f ca="1">T_Merger!P50</f>
        <v>323.929577166027</v>
      </c>
      <c r="F50" s="531">
        <f ca="1">T_Merger!Q50</f>
        <v>38.871549259923242</v>
      </c>
      <c r="G50" s="531">
        <f ca="1">T_Merger!R50</f>
        <v>3138.32</v>
      </c>
      <c r="H50" s="688">
        <v>0</v>
      </c>
      <c r="I50" s="532">
        <f ca="1">T_Merger!T50</f>
        <v>61795.157534913291</v>
      </c>
    </row>
    <row r="51" spans="1:9">
      <c r="A51" s="529">
        <v>32</v>
      </c>
      <c r="B51" s="530">
        <f t="shared" ca="1" si="0"/>
        <v>42718</v>
      </c>
      <c r="C51" s="531">
        <f ca="1">T_Merger!L51</f>
        <v>61795.157534913291</v>
      </c>
      <c r="D51" s="531">
        <f ca="1">T_Merger!M51</f>
        <v>2791.1170334693593</v>
      </c>
      <c r="E51" s="722">
        <f ca="1">T_Merger!P51</f>
        <v>310.00570696681501</v>
      </c>
      <c r="F51" s="531">
        <f ca="1">T_Merger!Q51</f>
        <v>37.2006848360178</v>
      </c>
      <c r="G51" s="531">
        <f ca="1">T_Merger!R51</f>
        <v>3138.32</v>
      </c>
      <c r="H51" s="688">
        <v>0</v>
      </c>
      <c r="I51" s="532">
        <f ca="1">T_Merger!T51</f>
        <v>59004.040501443931</v>
      </c>
    </row>
    <row r="52" spans="1:9">
      <c r="A52" s="529">
        <v>33</v>
      </c>
      <c r="B52" s="530">
        <f t="shared" ref="B52:B79" ca="1" si="1">INDEX(Fechas_Pago,$A52)</f>
        <v>42732</v>
      </c>
      <c r="C52" s="531">
        <f ca="1">T_Merger!L52</f>
        <v>59004.040501443931</v>
      </c>
      <c r="D52" s="531">
        <f ca="1">T_Merger!M52</f>
        <v>2806.7993897080792</v>
      </c>
      <c r="E52" s="722">
        <f ca="1">T_Merger!P52</f>
        <v>296.00360318224375</v>
      </c>
      <c r="F52" s="531">
        <f ca="1">T_Merger!Q52</f>
        <v>35.520432381869249</v>
      </c>
      <c r="G52" s="531">
        <f ca="1">T_Merger!R52</f>
        <v>3138.32</v>
      </c>
      <c r="H52" s="688">
        <v>0</v>
      </c>
      <c r="I52" s="532">
        <f ca="1">T_Merger!T52</f>
        <v>56197.24111173585</v>
      </c>
    </row>
    <row r="53" spans="1:9">
      <c r="A53" s="529">
        <v>34</v>
      </c>
      <c r="B53" s="530">
        <f t="shared" ca="1" si="1"/>
        <v>42746</v>
      </c>
      <c r="C53" s="531">
        <f ca="1">T_Merger!L53</f>
        <v>56197.24111173585</v>
      </c>
      <c r="D53" s="531">
        <f ca="1">T_Merger!M53</f>
        <v>2822.5698598790523</v>
      </c>
      <c r="E53" s="722">
        <f ca="1">T_Merger!P53</f>
        <v>281.92282624387485</v>
      </c>
      <c r="F53" s="531">
        <f ca="1">T_Merger!Q53</f>
        <v>33.830739149264978</v>
      </c>
      <c r="G53" s="531">
        <f ca="1">T_Merger!R53</f>
        <v>3138.32</v>
      </c>
      <c r="H53" s="688">
        <v>0</v>
      </c>
      <c r="I53" s="532">
        <f ca="1">T_Merger!T53</f>
        <v>53374.671251856795</v>
      </c>
    </row>
    <row r="54" spans="1:9">
      <c r="A54" s="529">
        <v>35</v>
      </c>
      <c r="B54" s="530">
        <f t="shared" ca="1" si="1"/>
        <v>42760</v>
      </c>
      <c r="C54" s="531">
        <f ca="1">T_Merger!L54</f>
        <v>53374.671251856795</v>
      </c>
      <c r="D54" s="531">
        <f ca="1">T_Merger!M54</f>
        <v>2838.4289390650929</v>
      </c>
      <c r="E54" s="722">
        <f ca="1">T_Merger!P54</f>
        <v>267.76293411348155</v>
      </c>
      <c r="F54" s="531">
        <f ca="1">T_Merger!Q54</f>
        <v>32.131552093617785</v>
      </c>
      <c r="G54" s="531">
        <f ca="1">T_Merger!R54</f>
        <v>3138.32</v>
      </c>
      <c r="H54" s="688">
        <v>0</v>
      </c>
      <c r="I54" s="532">
        <f ca="1">T_Merger!T54</f>
        <v>50536.242312791699</v>
      </c>
    </row>
    <row r="55" spans="1:9">
      <c r="A55" s="533">
        <v>36</v>
      </c>
      <c r="B55" s="534">
        <f t="shared" ca="1" si="1"/>
        <v>42774</v>
      </c>
      <c r="C55" s="535">
        <f ca="1">T_Merger!L55</f>
        <v>50536.242312791699</v>
      </c>
      <c r="D55" s="535">
        <f ca="1">T_Merger!M55</f>
        <v>2854.3771251307198</v>
      </c>
      <c r="E55" s="721">
        <f ca="1">T_Merger!P55</f>
        <v>253.52348226917169</v>
      </c>
      <c r="F55" s="535">
        <f ca="1">T_Merger!Q55</f>
        <v>30.422817872300602</v>
      </c>
      <c r="G55" s="535">
        <f ca="1">T_Merger!R55</f>
        <v>3138.32</v>
      </c>
      <c r="H55" s="689">
        <v>0</v>
      </c>
      <c r="I55" s="536">
        <f ca="1">T_Merger!T55</f>
        <v>47681.86518766098</v>
      </c>
    </row>
    <row r="56" spans="1:9">
      <c r="A56" s="529">
        <v>37</v>
      </c>
      <c r="B56" s="530">
        <f t="shared" ca="1" si="1"/>
        <v>42788</v>
      </c>
      <c r="C56" s="531">
        <f ca="1">T_Merger!L56</f>
        <v>47681.86518766098</v>
      </c>
      <c r="D56" s="531">
        <f ca="1">T_Merger!M56</f>
        <v>2870.414918737788</v>
      </c>
      <c r="E56" s="722">
        <f ca="1">T_Merger!P56</f>
        <v>239.20402369143255</v>
      </c>
      <c r="F56" s="531">
        <f ca="1">T_Merger!Q56</f>
        <v>28.704482842971906</v>
      </c>
      <c r="G56" s="531">
        <f ca="1">T_Merger!R56</f>
        <v>3138.32</v>
      </c>
      <c r="H56" s="688">
        <v>0</v>
      </c>
      <c r="I56" s="532">
        <f ca="1">T_Merger!T56</f>
        <v>44811.450268923189</v>
      </c>
    </row>
    <row r="57" spans="1:9">
      <c r="A57" s="529">
        <v>38</v>
      </c>
      <c r="B57" s="530">
        <f t="shared" ca="1" si="1"/>
        <v>42802</v>
      </c>
      <c r="C57" s="531">
        <f ca="1">T_Merger!L57</f>
        <v>44811.450268923189</v>
      </c>
      <c r="D57" s="531">
        <f ca="1">T_Merger!M57</f>
        <v>2886.5428233612024</v>
      </c>
      <c r="E57" s="722">
        <f ca="1">T_Merger!P57</f>
        <v>224.80410884909799</v>
      </c>
      <c r="F57" s="531">
        <f ca="1">T_Merger!Q57</f>
        <v>26.976493061891759</v>
      </c>
      <c r="G57" s="531">
        <f ca="1">T_Merger!R57</f>
        <v>3138.32</v>
      </c>
      <c r="H57" s="688">
        <v>0</v>
      </c>
      <c r="I57" s="532">
        <f ca="1">T_Merger!T57</f>
        <v>41924.907445561985</v>
      </c>
    </row>
    <row r="58" spans="1:9">
      <c r="A58" s="529">
        <v>39</v>
      </c>
      <c r="B58" s="530">
        <f t="shared" ca="1" si="1"/>
        <v>42816</v>
      </c>
      <c r="C58" s="531">
        <f ca="1">T_Merger!L58</f>
        <v>41924.907445561985</v>
      </c>
      <c r="D58" s="531">
        <f ca="1">T_Merger!M58</f>
        <v>2902.7613453047279</v>
      </c>
      <c r="E58" s="722">
        <f ca="1">T_Merger!P58</f>
        <v>210.32328568523596</v>
      </c>
      <c r="F58" s="531">
        <f ca="1">T_Merger!Q58</f>
        <v>25.238794282228316</v>
      </c>
      <c r="G58" s="531">
        <f ca="1">T_Merger!R58</f>
        <v>3138.32</v>
      </c>
      <c r="H58" s="688">
        <v>0</v>
      </c>
      <c r="I58" s="532">
        <f ca="1">T_Merger!T58</f>
        <v>39022.146100257254</v>
      </c>
    </row>
    <row r="59" spans="1:9">
      <c r="A59" s="529">
        <v>40</v>
      </c>
      <c r="B59" s="530">
        <f t="shared" ca="1" si="1"/>
        <v>42830</v>
      </c>
      <c r="C59" s="531">
        <f ca="1">T_Merger!L59</f>
        <v>39022.146100257254</v>
      </c>
      <c r="D59" s="531">
        <f ca="1">T_Merger!M59</f>
        <v>2919.0709937168799</v>
      </c>
      <c r="E59" s="722">
        <f ca="1">T_Merger!P59</f>
        <v>195.76109960295724</v>
      </c>
      <c r="F59" s="531">
        <f ca="1">T_Merger!Q59</f>
        <v>23.491331952354869</v>
      </c>
      <c r="G59" s="531">
        <f ca="1">T_Merger!R59</f>
        <v>3138.32</v>
      </c>
      <c r="H59" s="688">
        <v>0</v>
      </c>
      <c r="I59" s="532">
        <f ca="1">T_Merger!T59</f>
        <v>36103.075106540375</v>
      </c>
    </row>
    <row r="60" spans="1:9">
      <c r="A60" s="529">
        <v>41</v>
      </c>
      <c r="B60" s="530">
        <f t="shared" ca="1" si="1"/>
        <v>42844</v>
      </c>
      <c r="C60" s="531">
        <f ca="1">T_Merger!L60</f>
        <v>36103.075106540375</v>
      </c>
      <c r="D60" s="531">
        <f ca="1">T_Merger!M60</f>
        <v>2935.4722806069108</v>
      </c>
      <c r="E60" s="722">
        <f ca="1">T_Merger!P60</f>
        <v>181.1170934511442</v>
      </c>
      <c r="F60" s="531">
        <f ca="1">T_Merger!Q60</f>
        <v>21.734051214137303</v>
      </c>
      <c r="G60" s="531">
        <f ca="1">T_Merger!R60</f>
        <v>3138.32</v>
      </c>
      <c r="H60" s="688">
        <v>0</v>
      </c>
      <c r="I60" s="532">
        <f ca="1">T_Merger!T60</f>
        <v>33167.602825933463</v>
      </c>
    </row>
    <row r="61" spans="1:9">
      <c r="A61" s="529">
        <v>42</v>
      </c>
      <c r="B61" s="530">
        <f t="shared" ca="1" si="1"/>
        <v>42858</v>
      </c>
      <c r="C61" s="531">
        <f ca="1">T_Merger!L61</f>
        <v>33167.602825933463</v>
      </c>
      <c r="D61" s="531">
        <f ca="1">T_Merger!M61</f>
        <v>2951.9657208608805</v>
      </c>
      <c r="E61" s="722">
        <f ca="1">T_Merger!P61</f>
        <v>166.39080751009953</v>
      </c>
      <c r="F61" s="531">
        <f ca="1">T_Merger!Q61</f>
        <v>19.966896901211943</v>
      </c>
      <c r="G61" s="531">
        <f ca="1">T_Merger!R61</f>
        <v>3138.32</v>
      </c>
      <c r="H61" s="688">
        <v>0</v>
      </c>
      <c r="I61" s="532">
        <f ca="1">T_Merger!T61</f>
        <v>30215.637105072583</v>
      </c>
    </row>
    <row r="62" spans="1:9">
      <c r="A62" s="529">
        <v>43</v>
      </c>
      <c r="B62" s="530">
        <f t="shared" ca="1" si="1"/>
        <v>42872</v>
      </c>
      <c r="C62" s="531">
        <f ca="1">T_Merger!L62</f>
        <v>30215.637105072583</v>
      </c>
      <c r="D62" s="531">
        <f ca="1">T_Merger!M62</f>
        <v>2968.5518322578246</v>
      </c>
      <c r="E62" s="722">
        <f ca="1">T_Merger!P62</f>
        <v>151.58177947711414</v>
      </c>
      <c r="F62" s="531">
        <f ca="1">T_Merger!Q62</f>
        <v>18.189813537253695</v>
      </c>
      <c r="G62" s="531">
        <f ca="1">T_Merger!R62</f>
        <v>3138.32</v>
      </c>
      <c r="H62" s="688">
        <v>0</v>
      </c>
      <c r="I62" s="532">
        <f ca="1">T_Merger!T62</f>
        <v>27247.085272814758</v>
      </c>
    </row>
    <row r="63" spans="1:9">
      <c r="A63" s="529">
        <v>44</v>
      </c>
      <c r="B63" s="530">
        <f t="shared" ca="1" si="1"/>
        <v>42886</v>
      </c>
      <c r="C63" s="531">
        <f ca="1">T_Merger!L63</f>
        <v>27247.085272814758</v>
      </c>
      <c r="D63" s="531">
        <f ca="1">T_Merger!M63</f>
        <v>2985.231135486004</v>
      </c>
      <c r="E63" s="722">
        <f ca="1">T_Merger!P63</f>
        <v>136.68954445195402</v>
      </c>
      <c r="F63" s="531">
        <f ca="1">T_Merger!Q63</f>
        <v>16.402745334234481</v>
      </c>
      <c r="G63" s="531">
        <f ca="1">T_Merger!R63</f>
        <v>3138.32</v>
      </c>
      <c r="H63" s="688">
        <v>0</v>
      </c>
      <c r="I63" s="532">
        <f ca="1">T_Merger!T63</f>
        <v>24261.854137328755</v>
      </c>
    </row>
    <row r="64" spans="1:9">
      <c r="A64" s="529">
        <v>45</v>
      </c>
      <c r="B64" s="530">
        <f t="shared" ca="1" si="1"/>
        <v>42900</v>
      </c>
      <c r="C64" s="531">
        <f ca="1">T_Merger!L64</f>
        <v>24261.854137328755</v>
      </c>
      <c r="D64" s="531">
        <f ca="1">T_Merger!M64</f>
        <v>3002.0041541592545</v>
      </c>
      <c r="E64" s="722">
        <f ca="1">T_Merger!P64</f>
        <v>121.71363492226592</v>
      </c>
      <c r="F64" s="531">
        <f ca="1">T_Merger!Q64</f>
        <v>14.605636190671911</v>
      </c>
      <c r="G64" s="531">
        <f ca="1">T_Merger!R64</f>
        <v>3138.32</v>
      </c>
      <c r="H64" s="688">
        <v>0</v>
      </c>
      <c r="I64" s="532">
        <f ca="1">T_Merger!T64</f>
        <v>21259.849983169501</v>
      </c>
    </row>
    <row r="65" spans="1:10">
      <c r="A65" s="529">
        <v>46</v>
      </c>
      <c r="B65" s="530">
        <f t="shared" ca="1" si="1"/>
        <v>42914</v>
      </c>
      <c r="C65" s="531">
        <f ca="1">T_Merger!L65</f>
        <v>21259.849983169501</v>
      </c>
      <c r="D65" s="531">
        <f ca="1">T_Merger!M65</f>
        <v>3018.8714148334238</v>
      </c>
      <c r="E65" s="722">
        <f ca="1">T_Merger!P65</f>
        <v>106.65358074890032</v>
      </c>
      <c r="F65" s="531">
        <f ca="1">T_Merger!Q65</f>
        <v>12.798429689868039</v>
      </c>
      <c r="G65" s="531">
        <f ca="1">T_Merger!R65</f>
        <v>3138.32</v>
      </c>
      <c r="H65" s="688">
        <v>0</v>
      </c>
      <c r="I65" s="532">
        <f ca="1">T_Merger!T65</f>
        <v>18240.978568336075</v>
      </c>
    </row>
    <row r="66" spans="1:10">
      <c r="A66" s="529">
        <v>47</v>
      </c>
      <c r="B66" s="530">
        <f t="shared" ca="1" si="1"/>
        <v>42928</v>
      </c>
      <c r="C66" s="531">
        <f ca="1">T_Merger!L66</f>
        <v>18240.978568336075</v>
      </c>
      <c r="D66" s="531">
        <f ca="1">T_Merger!M66</f>
        <v>3035.8334470229015</v>
      </c>
      <c r="E66" s="722">
        <f ca="1">T_Merger!P66</f>
        <v>91.508909151152636</v>
      </c>
      <c r="F66" s="531">
        <f ca="1">T_Merger!Q66</f>
        <v>10.981069098138317</v>
      </c>
      <c r="G66" s="531">
        <f ca="1">T_Merger!R66</f>
        <v>3138.32</v>
      </c>
      <c r="H66" s="688">
        <v>0</v>
      </c>
      <c r="I66" s="532">
        <f ca="1">T_Merger!T66</f>
        <v>15205.145121313173</v>
      </c>
    </row>
    <row r="67" spans="1:10">
      <c r="A67" s="533">
        <v>48</v>
      </c>
      <c r="B67" s="534">
        <f t="shared" ca="1" si="1"/>
        <v>42942</v>
      </c>
      <c r="C67" s="535">
        <f ca="1">T_Merger!L67</f>
        <v>15205.145121313173</v>
      </c>
      <c r="D67" s="535">
        <f ca="1">T_Merger!M67</f>
        <v>3052.8907832172408</v>
      </c>
      <c r="E67" s="721">
        <f ca="1">T_Merger!P67</f>
        <v>76.279144691921076</v>
      </c>
      <c r="F67" s="535">
        <f ca="1">T_Merger!Q67</f>
        <v>9.1534973630305281</v>
      </c>
      <c r="G67" s="535">
        <f ca="1">T_Merger!R67</f>
        <v>3138.32</v>
      </c>
      <c r="H67" s="689">
        <v>0</v>
      </c>
      <c r="I67" s="536">
        <f ca="1">T_Merger!T67</f>
        <v>12152.254338095932</v>
      </c>
    </row>
    <row r="68" spans="1:10">
      <c r="A68" s="529">
        <v>49</v>
      </c>
      <c r="B68" s="530">
        <f t="shared" ca="1" si="1"/>
        <v>42956</v>
      </c>
      <c r="C68" s="531">
        <f ca="1">T_Merger!L68</f>
        <v>12152.254338095932</v>
      </c>
      <c r="D68" s="531">
        <f ca="1">T_Merger!M68</f>
        <v>3070.043958897877</v>
      </c>
      <c r="E68" s="722">
        <f ca="1">T_Merger!P68</f>
        <v>60.963809262781261</v>
      </c>
      <c r="F68" s="531">
        <f ca="1">T_Merger!Q68</f>
        <v>7.315657111533751</v>
      </c>
      <c r="G68" s="531">
        <f ca="1">T_Merger!R68</f>
        <v>3138.32</v>
      </c>
      <c r="H68" s="688">
        <v>0</v>
      </c>
      <c r="I68" s="532">
        <f ca="1">T_Merger!T68</f>
        <v>9082.2103791980553</v>
      </c>
    </row>
    <row r="69" spans="1:10">
      <c r="A69" s="529">
        <v>50</v>
      </c>
      <c r="B69" s="530">
        <f t="shared" ca="1" si="1"/>
        <v>42970</v>
      </c>
      <c r="C69" s="531">
        <f ca="1">T_Merger!L69</f>
        <v>9082.2103791980553</v>
      </c>
      <c r="D69" s="531">
        <f ca="1">T_Merger!M69</f>
        <v>3087.2935125549379</v>
      </c>
      <c r="E69" s="722">
        <f ca="1">T_Merger!P69</f>
        <v>45.562422068976915</v>
      </c>
      <c r="F69" s="531">
        <f ca="1">T_Merger!Q69</f>
        <v>5.4674906482772299</v>
      </c>
      <c r="G69" s="531">
        <f ca="1">T_Merger!R69</f>
        <v>3138.32</v>
      </c>
      <c r="H69" s="688">
        <v>0</v>
      </c>
      <c r="I69" s="532">
        <f ca="1">T_Merger!T69</f>
        <v>5994.9168666431178</v>
      </c>
    </row>
    <row r="70" spans="1:10">
      <c r="A70" s="529">
        <v>51</v>
      </c>
      <c r="B70" s="530">
        <f t="shared" ca="1" si="1"/>
        <v>42984</v>
      </c>
      <c r="C70" s="531">
        <f ca="1">T_Merger!L70</f>
        <v>5994.9168666431178</v>
      </c>
      <c r="D70" s="531">
        <f ca="1">T_Merger!M70</f>
        <v>3104.639985704147</v>
      </c>
      <c r="E70" s="722">
        <f ca="1">T_Merger!P70</f>
        <v>30.074499614326307</v>
      </c>
      <c r="F70" s="531">
        <f ca="1">T_Merger!Q70</f>
        <v>3.6089399537191564</v>
      </c>
      <c r="G70" s="531">
        <f ca="1">T_Merger!R70</f>
        <v>3138.32</v>
      </c>
      <c r="H70" s="688">
        <v>0</v>
      </c>
      <c r="I70" s="532">
        <f ca="1">T_Merger!T70</f>
        <v>2890.2768809389709</v>
      </c>
    </row>
    <row r="71" spans="1:10">
      <c r="A71" s="529">
        <v>52</v>
      </c>
      <c r="B71" s="530">
        <f t="shared" ca="1" si="1"/>
        <v>42998</v>
      </c>
      <c r="C71" s="531">
        <f ca="1">T_Merger!L71</f>
        <v>2890.2768809389709</v>
      </c>
      <c r="D71" s="531">
        <f ca="1">T_Merger!M71</f>
        <v>2890.2768809389709</v>
      </c>
      <c r="E71" s="722">
        <f ca="1">T_Merger!P71</f>
        <v>14.499555686043836</v>
      </c>
      <c r="F71" s="531">
        <f ca="1">T_Merger!Q71</f>
        <v>1.7399466823252603</v>
      </c>
      <c r="G71" s="531">
        <f ca="1">T_Merger!R71</f>
        <v>2906.52</v>
      </c>
      <c r="H71" s="688">
        <v>0</v>
      </c>
      <c r="I71" s="532">
        <f ca="1">T_Merger!T71</f>
        <v>0</v>
      </c>
    </row>
    <row r="72" spans="1:10" hidden="1">
      <c r="A72" s="529">
        <v>53</v>
      </c>
      <c r="B72" s="530">
        <f t="shared" ca="1" si="1"/>
        <v>43012</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 t="shared" ca="1" si="1"/>
        <v>43026</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 t="shared" ca="1" si="1"/>
        <v>43040</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 t="shared" ca="1" si="1"/>
        <v>43054</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 t="shared" ca="1" si="1"/>
        <v>43068</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 t="shared" ca="1" si="1"/>
        <v>43082</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 t="shared" ca="1" si="1"/>
        <v>43096</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 t="shared" ca="1" si="1"/>
        <v>43110</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140999.99999999997</v>
      </c>
      <c r="E80" s="523">
        <f ca="1">SUM(E20:E79)</f>
        <v>19608.045600168894</v>
      </c>
      <c r="F80" s="523">
        <f ca="1">SUM(F20:F79)</f>
        <v>2352.9654720202675</v>
      </c>
      <c r="G80" s="523">
        <f ca="1">SUM(G20:G79)</f>
        <v>162960.8400000002</v>
      </c>
      <c r="H80" s="523">
        <f>SUM(H20:H79)</f>
        <v>0</v>
      </c>
      <c r="I80" s="524"/>
    </row>
    <row r="81" spans="1:9">
      <c r="A81" s="941" t="s">
        <v>3846</v>
      </c>
      <c r="B81" s="942"/>
      <c r="C81" s="942"/>
      <c r="D81" s="942"/>
      <c r="E81" s="942"/>
      <c r="F81" s="942"/>
      <c r="G81" s="942"/>
      <c r="H81" s="942"/>
      <c r="I81" s="943"/>
    </row>
    <row r="82" spans="1:9" ht="15" customHeight="1">
      <c r="A82" s="884"/>
      <c r="B82" s="885"/>
      <c r="C82" s="885"/>
      <c r="D82" s="885"/>
      <c r="E82" s="885"/>
      <c r="F82" s="885"/>
      <c r="G82" s="885"/>
      <c r="H82" s="885"/>
      <c r="I82" s="886"/>
    </row>
    <row r="83" spans="1:9" ht="23.1" customHeight="1">
      <c r="A83" s="884" t="str">
        <f ca="1">IF(ID_CALCULO_SEGURO&gt;5,"",IF(ID_CALCULO_SEGURO=1,Leyenda_seguro_anual_tabla_amortizacion&amp;Leyenda_coberturas_adicionales_tabla_de_amortizacion))</f>
        <v/>
      </c>
      <c r="B83" s="885"/>
      <c r="C83" s="885"/>
      <c r="D83" s="885"/>
      <c r="E83" s="885"/>
      <c r="F83" s="885"/>
      <c r="G83" s="885"/>
      <c r="H83" s="885"/>
      <c r="I83" s="886"/>
    </row>
    <row r="84" spans="1:9" ht="23.1" customHeight="1">
      <c r="A84" s="884"/>
      <c r="B84" s="885"/>
      <c r="C84" s="885"/>
      <c r="D84" s="885"/>
      <c r="E84" s="885"/>
      <c r="F84" s="885"/>
      <c r="G84" s="885"/>
      <c r="H84" s="885"/>
      <c r="I84" s="886"/>
    </row>
    <row r="85" spans="1:9" ht="23.1" customHeight="1" thickBot="1">
      <c r="A85" s="887"/>
      <c r="B85" s="888"/>
      <c r="C85" s="888"/>
      <c r="D85" s="888"/>
      <c r="E85" s="888"/>
      <c r="F85" s="888"/>
      <c r="G85" s="888"/>
      <c r="H85" s="888"/>
      <c r="I85" s="889"/>
    </row>
  </sheetData>
  <mergeCells count="7">
    <mergeCell ref="D6:G6"/>
    <mergeCell ref="D7:G7"/>
    <mergeCell ref="A14:B14"/>
    <mergeCell ref="A81:I82"/>
    <mergeCell ref="A83:I85"/>
    <mergeCell ref="C14:D14"/>
    <mergeCell ref="A18:I18"/>
  </mergeCells>
  <phoneticPr fontId="24"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J1"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477</v>
      </c>
      <c r="B1" s="12"/>
      <c r="C1" s="12"/>
      <c r="D1" s="12"/>
      <c r="E1" s="12"/>
      <c r="F1" s="12"/>
      <c r="G1" s="12"/>
      <c r="H1" s="12"/>
      <c r="I1" s="84"/>
      <c r="J1" s="12"/>
      <c r="K1" s="12"/>
      <c r="L1" s="12"/>
      <c r="M1" s="12"/>
    </row>
    <row r="2" spans="1:24" ht="15.75" thickTop="1">
      <c r="E2" s="129"/>
    </row>
    <row r="3" spans="1:24" ht="18" thickBot="1">
      <c r="A3" s="259" t="s">
        <v>488</v>
      </c>
      <c r="B3" s="259"/>
      <c r="C3" s="259"/>
      <c r="E3" s="259" t="s">
        <v>489</v>
      </c>
      <c r="F3" s="259"/>
      <c r="G3" s="259"/>
      <c r="H3" s="259"/>
      <c r="I3" s="260"/>
      <c r="K3" s="259" t="s">
        <v>10</v>
      </c>
      <c r="L3" s="259"/>
      <c r="M3" s="259"/>
      <c r="N3" s="701"/>
      <c r="O3" s="259" t="s">
        <v>10627</v>
      </c>
      <c r="P3" s="259"/>
      <c r="Q3" s="259"/>
      <c r="R3" s="259"/>
      <c r="S3" s="259"/>
      <c r="T3" s="869" t="s">
        <v>555</v>
      </c>
      <c r="U3" s="259" t="s">
        <v>10687</v>
      </c>
      <c r="V3" s="259"/>
      <c r="W3" s="259"/>
      <c r="X3" s="259"/>
    </row>
    <row r="4" spans="1:24" ht="16.5" thickTop="1" thickBot="1">
      <c r="E4" s="129"/>
    </row>
    <row r="5" spans="1:24">
      <c r="A5" s="251"/>
      <c r="B5" s="953" t="s">
        <v>1752</v>
      </c>
      <c r="C5" s="953"/>
      <c r="D5" t="s">
        <v>487</v>
      </c>
      <c r="E5" s="177" t="s">
        <v>2323</v>
      </c>
      <c r="F5" s="142" t="s">
        <v>1638</v>
      </c>
      <c r="K5" s="954" t="s">
        <v>478</v>
      </c>
      <c r="L5" s="955"/>
      <c r="M5" s="80" t="s">
        <v>1697</v>
      </c>
      <c r="O5" s="814" t="s">
        <v>10598</v>
      </c>
      <c r="P5" s="815" t="s">
        <v>10601</v>
      </c>
      <c r="U5" s="872" t="s">
        <v>1676</v>
      </c>
      <c r="X5" s="758" t="s">
        <v>10677</v>
      </c>
    </row>
    <row r="6" spans="1:24">
      <c r="A6" s="45" t="s">
        <v>479</v>
      </c>
      <c r="B6" s="45" t="s">
        <v>480</v>
      </c>
      <c r="C6" s="45" t="s">
        <v>1751</v>
      </c>
      <c r="E6" s="33" t="s">
        <v>493</v>
      </c>
      <c r="F6" s="137">
        <f ca="1">ID_CONDICION_AUTO</f>
        <v>1</v>
      </c>
      <c r="K6" s="61"/>
      <c r="L6" s="18"/>
      <c r="M6" s="62"/>
      <c r="O6" s="809" t="str">
        <f>SELECCION_PRODUCTO</f>
        <v>AutoNómina</v>
      </c>
      <c r="P6" s="816" t="str">
        <f>DGET(C_PRODUCTO,P5,$O$5:$O$6)</f>
        <v>AEN</v>
      </c>
      <c r="X6" s="868">
        <f t="array" ref="X6">SUM(IF(COMBO_FRECUENCIA&lt;&gt;0,1))</f>
        <v>5</v>
      </c>
    </row>
    <row r="7" spans="1:24">
      <c r="A7" s="240" t="str">
        <f>SELECCION_TIPO_PERSONA</f>
        <v>Física</v>
      </c>
      <c r="B7" s="34" t="s">
        <v>1741</v>
      </c>
      <c r="C7" s="692">
        <f ca="1">VLOOKUP(SELECCION_TIPO_PERSONA,C_TIPO_PERSONA_DESC,2,0)</f>
        <v>1</v>
      </c>
      <c r="E7" s="35" t="s">
        <v>494</v>
      </c>
      <c r="F7" s="201" t="str">
        <f ca="1">VLOOKUP(ID_CONDICION_AUTO,C_CONDICION_AUTO,2,0)</f>
        <v>Nuevo</v>
      </c>
      <c r="K7" s="951" t="s">
        <v>1687</v>
      </c>
      <c r="L7" s="952"/>
      <c r="M7" s="235">
        <f ca="1">MontoEnganche</f>
        <v>15000</v>
      </c>
      <c r="U7" s="758" t="s">
        <v>10602</v>
      </c>
      <c r="V7" s="864" t="s">
        <v>10603</v>
      </c>
      <c r="W7" s="867" t="s">
        <v>555</v>
      </c>
      <c r="X7" s="977" t="s">
        <v>10676</v>
      </c>
    </row>
    <row r="8" spans="1:24">
      <c r="A8" s="241" t="str">
        <f>SELECCION_IVA</f>
        <v>No Frontera</v>
      </c>
      <c r="B8" s="38" t="s">
        <v>1742</v>
      </c>
      <c r="C8" s="252">
        <f ca="1">VLOOKUP(SELECCION_IVA,C_IVA_DESC,2,0)</f>
        <v>1</v>
      </c>
      <c r="E8" s="35" t="s">
        <v>10624</v>
      </c>
      <c r="F8" s="77" t="b">
        <f ca="1">VLOOKUP(ID_CONDICION_AUTO,C_CONDICION_AUTO,4,0)</f>
        <v>1</v>
      </c>
      <c r="K8" s="951" t="s">
        <v>1690</v>
      </c>
      <c r="L8" s="952"/>
      <c r="M8" s="235" t="str">
        <f ca="1">MontoSeguroDeContado</f>
        <v>$9,380.66</v>
      </c>
      <c r="O8" s="814" t="s">
        <v>10607</v>
      </c>
      <c r="P8" s="815" t="s">
        <v>10601</v>
      </c>
      <c r="Q8" s="829" t="s">
        <v>3819</v>
      </c>
      <c r="U8" s="848" t="str">
        <f>'C. Comunes'!B5</f>
        <v>Mensual</v>
      </c>
      <c r="V8" s="848" t="str">
        <f>'C. Comunes'!B5</f>
        <v>Mensual</v>
      </c>
      <c r="X8" s="868" t="str">
        <f>INDEX(U8:V8,, MATCH(PROD.Código,$U$7:$V$7,0))</f>
        <v>Mensual</v>
      </c>
    </row>
    <row r="9" spans="1:24">
      <c r="A9" s="241" t="str">
        <f>SELECCION_ESTADO</f>
        <v>Aguascalientes</v>
      </c>
      <c r="B9" s="38" t="s">
        <v>1743</v>
      </c>
      <c r="C9" s="693">
        <f ca="1">VLOOKUP(SELECCION_ESTADO,C_ESTADO_DESC,2,0)</f>
        <v>1</v>
      </c>
      <c r="E9" s="821" t="s">
        <v>2322</v>
      </c>
      <c r="F9" s="822" t="b">
        <f ca="1">NOT(CondicionAutoEsNuevo?)</f>
        <v>0</v>
      </c>
      <c r="K9" s="951" t="s">
        <v>1688</v>
      </c>
      <c r="L9" s="952"/>
      <c r="M9" s="235">
        <f ca="1">MontoComisionPorAperturaConIva</f>
        <v>4088.9999999999995</v>
      </c>
      <c r="O9" s="809" t="str">
        <f>SELECCION_TIPO_TARIFA</f>
        <v>Tradicional</v>
      </c>
      <c r="P9" s="816" t="str">
        <f>DGET(C_TIPO_TARIFA,P8,$O$8:$O$9)</f>
        <v>T.T.TRAD</v>
      </c>
      <c r="Q9" s="817">
        <f>DGET(C_TIPO_TARIFA,Q8,$O$8:$O$9)</f>
        <v>2.5000000000000001E-2</v>
      </c>
      <c r="U9" s="848"/>
      <c r="V9" s="848" t="str">
        <f>'C. Comunes'!B6</f>
        <v>Quincenal</v>
      </c>
      <c r="X9" s="868" t="str">
        <f>INDEX(U9:V9,, MATCH(PROD.Código,$U$7:$V$7,0))</f>
        <v>Quincenal</v>
      </c>
    </row>
    <row r="10" spans="1:24">
      <c r="A10" s="242" t="str">
        <f>SELECCION_AUTO</f>
        <v>NJ1028</v>
      </c>
      <c r="B10" s="237" t="s">
        <v>1744</v>
      </c>
      <c r="C10" s="253">
        <f ca="1">ID_AUTO</f>
        <v>700</v>
      </c>
      <c r="E10" s="824"/>
      <c r="F10" s="825"/>
      <c r="G10" s="701"/>
      <c r="H10" s="701"/>
      <c r="I10" s="818"/>
      <c r="K10" s="951" t="s">
        <v>1689</v>
      </c>
      <c r="L10" s="952"/>
      <c r="M10" s="235">
        <f ca="1">AportacionAdicional</f>
        <v>0</v>
      </c>
      <c r="U10" s="848"/>
      <c r="V10" s="848" t="str">
        <f>'C. Comunes'!B7</f>
        <v>Catorcenal</v>
      </c>
      <c r="X10" s="868" t="str">
        <f>INDEX(U10:V10,, MATCH(PROD.Código,$U$7:$V$7,0))</f>
        <v>Catorcenal</v>
      </c>
    </row>
    <row r="11" spans="1:24">
      <c r="A11" s="241" t="str">
        <f>SELECCION_CONDICION_AUTO</f>
        <v>Nuevo</v>
      </c>
      <c r="B11" s="238" t="s">
        <v>2</v>
      </c>
      <c r="C11" s="693">
        <f ca="1">VLOOKUP(SELECCION_CONDICION_AUTO,C_CONDICION_AUTO_DESC,2,0)</f>
        <v>1</v>
      </c>
      <c r="E11" s="33" t="s">
        <v>20</v>
      </c>
      <c r="F11" s="823">
        <f ca="1">C.Porcentaje_Mínimo_Enganche</f>
        <v>0.1</v>
      </c>
      <c r="K11" s="949" t="s">
        <v>1691</v>
      </c>
      <c r="L11" s="950"/>
      <c r="M11" s="236">
        <f ca="1">SUM(M7:M10)</f>
        <v>19089</v>
      </c>
      <c r="O11" s="814" t="s">
        <v>10614</v>
      </c>
      <c r="P11" s="814" t="s">
        <v>10607</v>
      </c>
      <c r="Q11" s="829" t="s">
        <v>10620</v>
      </c>
      <c r="U11" s="848"/>
      <c r="V11" s="848" t="str">
        <f>'C. Comunes'!B8</f>
        <v>Decenal</v>
      </c>
      <c r="X11" s="868" t="str">
        <f>INDEX(U11:V11,, MATCH(PROD.Código,$U$7:$V$7,0))</f>
        <v>Decenal</v>
      </c>
    </row>
    <row r="12" spans="1:24">
      <c r="A12" s="241">
        <f>SELECCION_MODELO</f>
        <v>2015</v>
      </c>
      <c r="B12" s="238" t="s">
        <v>2197</v>
      </c>
      <c r="C12" s="693">
        <f ca="1">VLOOKUP(SELECCION_MODELO,C_MODELO_AÑO_DESC,2,0)</f>
        <v>2</v>
      </c>
      <c r="E12" s="39" t="s">
        <v>3310</v>
      </c>
      <c r="F12" s="341">
        <f>1-(Monto_Mínimo_a_Financiar/CapturaValorFactura)</f>
        <v>0.83333333333333337</v>
      </c>
      <c r="G12" s="18"/>
      <c r="H12" s="820"/>
      <c r="I12" s="818"/>
      <c r="K12" s="61"/>
      <c r="L12" s="18"/>
      <c r="M12" s="62"/>
      <c r="O12" s="818" t="str">
        <f ca="1">CondicionAuto_Descripcion</f>
        <v>Nuevo</v>
      </c>
      <c r="P12" s="818" t="str">
        <f>TTAR.Código</f>
        <v>T.T.TRAD</v>
      </c>
      <c r="Q12" s="819">
        <f ca="1">DGET(C_CONDICION_AUTO_TIPO_TARIFA,Q11,$O$11:$P$12)</f>
        <v>0.1</v>
      </c>
      <c r="U12" s="848"/>
      <c r="V12" s="848" t="str">
        <f>'C. Comunes'!B9</f>
        <v>Semanal</v>
      </c>
      <c r="X12" s="868" t="str">
        <f>INDEX(U12:V12,, MATCH(PROD.Código,$U$7:$V$7,0))</f>
        <v>Semanal</v>
      </c>
    </row>
    <row r="13" spans="1:24">
      <c r="A13" s="241" t="str">
        <f>SELECCION_CALCULO_SEGURO</f>
        <v>Anual Contado</v>
      </c>
      <c r="B13" s="38" t="s">
        <v>4281</v>
      </c>
      <c r="C13" s="693">
        <f ca="1">VLOOKUP(SELECCION_CALCULO_SEGURO,C_CALCULO_SEGURO_DESC,2,0)</f>
        <v>6</v>
      </c>
      <c r="K13" s="951" t="s">
        <v>1685</v>
      </c>
      <c r="L13" s="952"/>
      <c r="M13" s="235">
        <f ca="1">MontoFinanciarAuto</f>
        <v>135000</v>
      </c>
    </row>
    <row r="14" spans="1:24">
      <c r="A14" s="241" t="str">
        <f>SELECCION_GTIAEXT</f>
        <v>Financiado</v>
      </c>
      <c r="B14" s="38" t="s">
        <v>5089</v>
      </c>
      <c r="C14" s="252"/>
      <c r="E14" s="177" t="s">
        <v>2194</v>
      </c>
      <c r="F14" s="142" t="s">
        <v>1638</v>
      </c>
      <c r="K14" s="951" t="s">
        <v>1686</v>
      </c>
      <c r="L14" s="952"/>
      <c r="M14" s="235">
        <f ca="1">MontoFinanciarSeguros</f>
        <v>0</v>
      </c>
      <c r="O14" s="814" t="s">
        <v>10614</v>
      </c>
      <c r="P14" s="829" t="s">
        <v>10615</v>
      </c>
      <c r="U14" s="872" t="s">
        <v>1641</v>
      </c>
      <c r="V14" s="867"/>
      <c r="X14" s="758" t="s">
        <v>10677</v>
      </c>
    </row>
    <row r="15" spans="1:24">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c r="U15" s="867"/>
      <c r="V15" s="867"/>
      <c r="X15" s="868">
        <f t="array" ref="X15">SUM(IF(COMBO_TIPO_PERSONA&lt;&gt;0,1))</f>
        <v>1</v>
      </c>
    </row>
    <row r="16" spans="1:24">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c r="U16" s="758" t="s">
        <v>10602</v>
      </c>
      <c r="V16" s="864" t="s">
        <v>10603</v>
      </c>
      <c r="W16" s="867" t="s">
        <v>555</v>
      </c>
      <c r="X16" s="977" t="s">
        <v>10676</v>
      </c>
    </row>
    <row r="17" spans="1:24">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12178.72</v>
      </c>
      <c r="P17" s="829" t="s">
        <v>10616</v>
      </c>
      <c r="U17" s="868" t="str">
        <f>'C. Seguros'!B31</f>
        <v>Física</v>
      </c>
      <c r="V17" s="868" t="str">
        <f>'C. Seguros'!B31</f>
        <v>Física</v>
      </c>
      <c r="X17" s="868" t="str">
        <f>INDEX(U17:V17,,MATCH(PROD.Código,$U$16:$V$16,0))</f>
        <v>Física</v>
      </c>
    </row>
    <row r="18" spans="1:24">
      <c r="A18" s="241" t="str">
        <f>SELECCION_SERVICIO_PREMIUM</f>
        <v>Si</v>
      </c>
      <c r="B18" s="38" t="s">
        <v>3816</v>
      </c>
      <c r="C18" s="252">
        <f ca="1">VLOOKUP(SELECCION_SERVICIO_PREMIUM,C_SI_NO_DESC,2,0)</f>
        <v>1</v>
      </c>
      <c r="E18" s="35" t="s">
        <v>2265</v>
      </c>
      <c r="F18" s="38" t="b">
        <f ca="1" xml:space="preserve"> ModeloAñosAntiguedad &gt; 0</f>
        <v>0</v>
      </c>
      <c r="K18" s="232">
        <v>24</v>
      </c>
      <c r="L18" s="69">
        <v>0.129</v>
      </c>
      <c r="M18" s="63">
        <v>6291.75</v>
      </c>
      <c r="P18" s="452" t="b">
        <f ca="1">PorcentajeEnganche &gt;= TR.EngancheRequerido</f>
        <v>0</v>
      </c>
      <c r="U18" s="868" t="str">
        <f>'C. Seguros'!B32</f>
        <v>Física con Act. Empresarial</v>
      </c>
      <c r="V18" s="868"/>
      <c r="X18" s="868">
        <f>INDEX(U18:V18,,MATCH(PROD.Código,$U$16:$V$16,0))</f>
        <v>0</v>
      </c>
    </row>
    <row r="19" spans="1:24">
      <c r="A19" s="241" t="str">
        <f>SELECCION_PLAZO</f>
        <v>24 Meses</v>
      </c>
      <c r="B19" s="38" t="s">
        <v>1748</v>
      </c>
      <c r="C19" s="252">
        <f ca="1">VLOOKUP(SELECCION_PLAZO,C_PLAZO_DESC,2,0)</f>
        <v>5</v>
      </c>
      <c r="E19" s="155" t="s">
        <v>2339</v>
      </c>
      <c r="F19" s="77">
        <f ca="1">GetCatalogValue(ID_MODELO,"IdCondicionModelo",C_MODELO_AÑO)</f>
        <v>1</v>
      </c>
      <c r="K19" s="232">
        <v>36</v>
      </c>
      <c r="L19" s="69">
        <v>0.129</v>
      </c>
      <c r="M19" s="63">
        <v>4332.32</v>
      </c>
      <c r="U19" s="868" t="str">
        <f>'C. Seguros'!B33</f>
        <v>Moral</v>
      </c>
      <c r="V19" s="868"/>
      <c r="X19" s="868">
        <f>INDEX(U19:V19,,MATCH(PROD.Código,$U$16:$V$16,0))</f>
        <v>0</v>
      </c>
    </row>
    <row r="20" spans="1:24">
      <c r="A20" s="241" t="str">
        <f>SELECCION_FRECUENCIA</f>
        <v>Catorcenal</v>
      </c>
      <c r="B20" s="239" t="s">
        <v>1749</v>
      </c>
      <c r="C20" s="254">
        <f ca="1">VLOOKUP(SELECCION_FRECUENCIA,C_FRECUENCIA_DESC,2,0)</f>
        <v>3</v>
      </c>
      <c r="E20" s="81" t="s">
        <v>2338</v>
      </c>
      <c r="F20" s="144" t="str">
        <f ca="1">GetCatalogValue(ID_CONDICION_MODELO,"Descripción",C_CONDICION_MODELO)</f>
        <v>Reciente</v>
      </c>
      <c r="K20" s="232">
        <v>48</v>
      </c>
      <c r="L20" s="69">
        <v>0.129</v>
      </c>
      <c r="M20" s="63">
        <v>3354.76</v>
      </c>
      <c r="O20" s="814" t="s">
        <v>10607</v>
      </c>
      <c r="P20" s="814" t="s">
        <v>10614</v>
      </c>
      <c r="Q20" s="814" t="s">
        <v>10623</v>
      </c>
      <c r="R20" s="814" t="s">
        <v>10613</v>
      </c>
      <c r="S20" s="829" t="s">
        <v>10617</v>
      </c>
    </row>
    <row r="21" spans="1:24" ht="15.75" thickBot="1">
      <c r="A21" s="250" t="str">
        <f>Seleccion_Abono_Anticipado</f>
        <v>Reduce plazo y pago</v>
      </c>
      <c r="B21" s="40" t="s">
        <v>1750</v>
      </c>
      <c r="C21" s="255">
        <f ca="1">VLOOKUP(Seleccion_Abono_Anticipado,C_OPCION_ABONO_ANTICIPADO_DESC,2,0)</f>
        <v>1</v>
      </c>
      <c r="K21" s="338">
        <v>60</v>
      </c>
      <c r="L21" s="231">
        <v>0.13200000000000001</v>
      </c>
      <c r="M21" s="64">
        <v>2780.23</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24">
      <c r="A22" s="243" t="str">
        <f>SELECCION_MARCA</f>
        <v>Yuejin</v>
      </c>
      <c r="B22" s="247" t="s">
        <v>2216</v>
      </c>
      <c r="C22" s="127"/>
      <c r="E22" s="177" t="s">
        <v>549</v>
      </c>
      <c r="F22" s="142" t="s">
        <v>1638</v>
      </c>
      <c r="G22" s="150" t="s">
        <v>2340</v>
      </c>
      <c r="H22" s="150" t="s">
        <v>2341</v>
      </c>
      <c r="I22" s="154"/>
    </row>
    <row r="23" spans="1:24">
      <c r="A23" s="243">
        <f ca="1">CapturaFechaCotizacion</f>
        <v>42270</v>
      </c>
      <c r="B23" s="248" t="s">
        <v>1756</v>
      </c>
      <c r="C23" s="95"/>
      <c r="E23" s="33" t="s">
        <v>2279</v>
      </c>
      <c r="F23" s="189" t="str">
        <f>CONCATENATE(SELECCION_MARCA,", ",SELECCION_AUTO)</f>
        <v>Yuejin, NJ1028</v>
      </c>
      <c r="G23" s="192"/>
      <c r="H23" s="185"/>
      <c r="I23" s="137"/>
      <c r="O23" s="814" t="s">
        <v>494</v>
      </c>
      <c r="P23" s="829" t="s">
        <v>1666</v>
      </c>
      <c r="Q23" s="829" t="s">
        <v>1667</v>
      </c>
    </row>
    <row r="24" spans="1:24">
      <c r="A24" s="244">
        <f>CapturaValorFactura</f>
        <v>150000</v>
      </c>
      <c r="B24" s="248" t="s">
        <v>490</v>
      </c>
      <c r="C24" s="95"/>
      <c r="E24" s="35"/>
      <c r="F24" s="186"/>
      <c r="G24" s="193"/>
      <c r="H24" s="186"/>
      <c r="I24" s="77"/>
      <c r="O24" s="828" t="str">
        <f>SELECCION_FRECUENCIA</f>
        <v>Catorcenal</v>
      </c>
      <c r="P24" s="828">
        <f>DGET(C_FRECUENCIA,P23,$O$23:$O$24)</f>
        <v>14</v>
      </c>
      <c r="Q24" s="828">
        <f>DGET(C_FRECUENCIA,Q23,$O$23:$O$24)</f>
        <v>26</v>
      </c>
    </row>
    <row r="25" spans="1:24">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24">
      <c r="A26" s="245">
        <f>CapturaPorcentajeComisionApertura</f>
        <v>2.5000000000000001E-2</v>
      </c>
      <c r="B26" s="248" t="s">
        <v>1754</v>
      </c>
      <c r="C26" s="95"/>
      <c r="E26" s="35"/>
      <c r="F26" s="18"/>
      <c r="G26" s="35">
        <f>GetIdFromDesc(AutoCadenaCompleta,G27)</f>
        <v>700</v>
      </c>
      <c r="H26" s="36" t="e">
        <f>GetIdFromDesc(AutoCadenaCompleta,H27)</f>
        <v>#VALUE!</v>
      </c>
      <c r="I26" s="77" t="s">
        <v>2280</v>
      </c>
    </row>
    <row r="27" spans="1:24">
      <c r="A27" s="246">
        <f>CapturaAportacionAdicional</f>
        <v>0</v>
      </c>
      <c r="B27" s="249" t="s">
        <v>1753</v>
      </c>
      <c r="C27" s="128"/>
      <c r="E27" s="35"/>
      <c r="F27" s="36"/>
      <c r="G27" s="171" t="s">
        <v>2215</v>
      </c>
      <c r="H27" s="159" t="s">
        <v>473</v>
      </c>
      <c r="I27" s="160" t="s">
        <v>2261</v>
      </c>
    </row>
    <row r="28" spans="1:24">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24">
      <c r="E29" s="35" t="s">
        <v>2262</v>
      </c>
      <c r="F29" s="190">
        <f ca="1">CHOOSE(ID_CONDICION_MODELO,G29,H29)</f>
        <v>2</v>
      </c>
      <c r="G29" s="151">
        <f ca="1">GetCatalogValue(ID_AUTO,G30,INDIRECT(G27))</f>
        <v>2</v>
      </c>
      <c r="H29" s="152" t="e">
        <f ca="1">GetCatalogValue(ID_AUTO,H30,INDIRECT(H27))</f>
        <v>#VALUE!</v>
      </c>
      <c r="I29" s="77"/>
    </row>
    <row r="30" spans="1:24" ht="18" thickBot="1">
      <c r="A30" s="259" t="s">
        <v>11</v>
      </c>
      <c r="B30" s="259"/>
      <c r="E30" s="35"/>
      <c r="F30" s="36"/>
      <c r="G30" s="171" t="s">
        <v>1789</v>
      </c>
      <c r="H30" s="159" t="s">
        <v>1789</v>
      </c>
      <c r="I30" s="160" t="s">
        <v>2263</v>
      </c>
    </row>
    <row r="31" spans="1:24" ht="15.75" thickTop="1">
      <c r="E31" s="39" t="s">
        <v>3818</v>
      </c>
      <c r="F31" s="136" t="b">
        <f ca="1">ID_TIPO_AUTO = _3.5T</f>
        <v>0</v>
      </c>
      <c r="G31" s="448"/>
      <c r="H31" s="449"/>
      <c r="I31" s="450"/>
    </row>
    <row r="32" spans="1:24">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3809</v>
      </c>
    </row>
    <row r="39" spans="1:9">
      <c r="A39" s="39" t="s">
        <v>2457</v>
      </c>
      <c r="B39" s="265" t="s">
        <v>2454</v>
      </c>
      <c r="E39" s="35"/>
      <c r="F39" s="440"/>
      <c r="G39" s="441" t="b">
        <f ca="1">NOT(CondicionAutoEs3.5T?)</f>
        <v>1</v>
      </c>
      <c r="H39" s="442" t="b">
        <f ca="1">G39</f>
        <v>1</v>
      </c>
      <c r="I39" s="77" t="s">
        <v>3807</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3808</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5112</v>
      </c>
      <c r="B45" s="349" t="s">
        <v>5111</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5113</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10590</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3</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3797</v>
      </c>
      <c r="B64" s="349"/>
      <c r="E64" s="177" t="s">
        <v>2266</v>
      </c>
      <c r="F64" s="142" t="s">
        <v>1638</v>
      </c>
      <c r="G64" s="409" t="s">
        <v>2531</v>
      </c>
      <c r="H64" s="150" t="s">
        <v>2329</v>
      </c>
      <c r="I64" s="154"/>
    </row>
    <row r="65" spans="1:9">
      <c r="A65" s="35" t="s">
        <v>3798</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3795</v>
      </c>
      <c r="B66" s="38" t="s">
        <v>3793</v>
      </c>
      <c r="E66" s="35"/>
      <c r="F66" s="36"/>
      <c r="G66" s="162">
        <f ca="1">GetCatalogValue(ID_AUTO,"CuotaAutoConIva",INDIRECT(G27))</f>
        <v>4.8639700000000001E-2</v>
      </c>
      <c r="H66" s="186"/>
      <c r="I66" s="163" t="s">
        <v>2267</v>
      </c>
    </row>
    <row r="67" spans="1:9">
      <c r="A67" s="437" t="s">
        <v>3796</v>
      </c>
      <c r="B67" s="38" t="s">
        <v>3794</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3792</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3795</v>
      </c>
      <c r="B72" s="38" t="s">
        <v>3793</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3796</v>
      </c>
      <c r="B73" s="38" t="s">
        <v>3794</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3799</v>
      </c>
      <c r="B81" s="34" t="b">
        <f ca="1">CondicionAutoEsNuevo?</f>
        <v>1</v>
      </c>
      <c r="E81" s="35"/>
      <c r="F81" s="147"/>
      <c r="G81" s="164" t="b">
        <f ca="1">GetCatalogValue(ID_INCREMENTO_RC,"Aplica",C_ADIC_INCREMENTO_RC)</f>
        <v>0</v>
      </c>
      <c r="H81" s="202"/>
      <c r="I81" s="165" t="s">
        <v>2271</v>
      </c>
      <c r="K81" s="705"/>
    </row>
    <row r="82" spans="1:11">
      <c r="A82" s="438" t="s">
        <v>3800</v>
      </c>
      <c r="B82" s="38" t="b">
        <f ca="1">CondicionAutoEs3.5T?</f>
        <v>0</v>
      </c>
      <c r="E82" s="35"/>
      <c r="F82" s="18"/>
      <c r="G82" s="167" t="str">
        <f ca="1">GetCatalogValue(ID_INCREMENTO_RC,"Tarifa",C_ADIC_INCREMENTO_RC)</f>
        <v>N/A</v>
      </c>
      <c r="H82" s="188"/>
      <c r="I82" s="163" t="s">
        <v>2270</v>
      </c>
    </row>
    <row r="83" spans="1:11">
      <c r="A83" s="437" t="s">
        <v>3795</v>
      </c>
      <c r="B83" s="38" t="s">
        <v>3802</v>
      </c>
      <c r="E83" s="35" t="s">
        <v>3810</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3796</v>
      </c>
      <c r="B84" s="38" t="s">
        <v>3801</v>
      </c>
      <c r="E84" s="35"/>
      <c r="F84" s="147"/>
      <c r="G84" s="443" t="b">
        <f ca="1">GetCatalogValue(ID_SERVICIO_PREMIUM,"Valor",C_SI_NO)</f>
        <v>1</v>
      </c>
      <c r="H84" s="202"/>
      <c r="I84" s="445" t="s">
        <v>2271</v>
      </c>
    </row>
    <row r="85" spans="1:11">
      <c r="A85" s="439" t="s">
        <v>3796</v>
      </c>
      <c r="B85" s="40" t="s">
        <v>3794</v>
      </c>
      <c r="E85" s="35"/>
      <c r="F85" s="18"/>
      <c r="G85" s="447">
        <f ca="1">G86*G87</f>
        <v>336.67839999999967</v>
      </c>
      <c r="I85" s="446" t="s">
        <v>3815</v>
      </c>
    </row>
    <row r="86" spans="1:11">
      <c r="A86" s="143" t="s">
        <v>4</v>
      </c>
      <c r="B86" s="268" t="str">
        <f ca="1">IF(B81,IF(B82,B83,B84),B85)</f>
        <v>COMBO_Indem_Valor_Factura</v>
      </c>
      <c r="E86" s="35"/>
      <c r="F86" s="37"/>
      <c r="G86" s="444">
        <f ca="1">VLOOKUP(ID_AUTO,C_AUTO,17)</f>
        <v>336.67839999999967</v>
      </c>
      <c r="H86" s="188"/>
      <c r="I86" s="446" t="s">
        <v>3811</v>
      </c>
    </row>
    <row r="87" spans="1:11">
      <c r="E87" s="35"/>
      <c r="G87" s="444">
        <f ca="1">MIN(G88,G89)</f>
        <v>1</v>
      </c>
      <c r="H87" s="18"/>
      <c r="I87" s="446" t="s">
        <v>3812</v>
      </c>
    </row>
    <row r="88" spans="1:11">
      <c r="E88" s="35"/>
      <c r="G88" s="444">
        <f ca="1">MultianualFactorAuto</f>
        <v>1</v>
      </c>
      <c r="I88" s="446" t="s">
        <v>3813</v>
      </c>
    </row>
    <row r="89" spans="1:11">
      <c r="A89" s="213" t="s">
        <v>3817</v>
      </c>
      <c r="B89" s="34"/>
      <c r="E89" s="35"/>
      <c r="G89" s="444">
        <f ca="1">VLOOKUP(VLOOKUP("Factor 24 Meses",C_FACTOR_MULTIANUAL_DESC,2),C_FACTOR_MULTIANUAL,4)</f>
        <v>1.9689000000000001</v>
      </c>
      <c r="I89" s="446" t="s">
        <v>3814</v>
      </c>
    </row>
    <row r="90" spans="1:11">
      <c r="A90" s="35" t="s">
        <v>3798</v>
      </c>
      <c r="B90" s="38" t="b">
        <f ca="1">NOT(CondicionAutoEs3.5T?)</f>
        <v>1</v>
      </c>
      <c r="E90" s="35"/>
      <c r="F90" s="37"/>
      <c r="G90" s="35"/>
      <c r="H90" s="18"/>
      <c r="I90" s="77"/>
    </row>
    <row r="91" spans="1:11">
      <c r="A91" s="437" t="s">
        <v>3795</v>
      </c>
      <c r="B91" s="38" t="s">
        <v>3793</v>
      </c>
      <c r="E91" s="35" t="s">
        <v>2273</v>
      </c>
      <c r="F91" s="37">
        <f ca="1">( ((DañosPrimaBase + DañosIncrementoRC ) * EstadoFactorDescuento) + DañosMontoRcUsa + DañosAutoSustituto ) * MultianualFactorAuto</f>
        <v>7341.3222673600003</v>
      </c>
      <c r="G91" s="35"/>
      <c r="H91" s="18"/>
      <c r="I91" s="77"/>
    </row>
    <row r="92" spans="1:11">
      <c r="A92" s="437" t="s">
        <v>3796</v>
      </c>
      <c r="B92" s="38" t="s">
        <v>3794</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5076</v>
      </c>
      <c r="B96" s="34"/>
      <c r="E96" s="177" t="s">
        <v>1641</v>
      </c>
      <c r="F96" s="142" t="s">
        <v>1638</v>
      </c>
      <c r="G96" s="18"/>
      <c r="H96" s="18"/>
      <c r="I96" s="36"/>
    </row>
    <row r="97" spans="1:9">
      <c r="A97" s="33" t="s">
        <v>10527</v>
      </c>
      <c r="B97" s="34" t="b">
        <f ca="1">AND(CondicionAutoEsNuevo?,NOT(Tipo_Persona.Descripción="Moral"))</f>
        <v>1</v>
      </c>
      <c r="E97" s="33" t="s">
        <v>493</v>
      </c>
      <c r="F97" s="137">
        <f ca="1">ID_TIPO_PERSONA</f>
        <v>1</v>
      </c>
      <c r="G97" s="18"/>
      <c r="H97" s="18"/>
      <c r="I97" s="36"/>
    </row>
    <row r="98" spans="1:9">
      <c r="A98" s="437" t="s">
        <v>3795</v>
      </c>
      <c r="B98" s="38" t="s">
        <v>5087</v>
      </c>
      <c r="E98" s="35" t="s">
        <v>494</v>
      </c>
      <c r="F98" s="77" t="str">
        <f ca="1">GetCatalogValue(ID_TIPO_PERSONA,"Descripción",C_TIPO_PERSONA)</f>
        <v>Física</v>
      </c>
      <c r="G98" s="18"/>
      <c r="H98" s="18"/>
      <c r="I98" s="36"/>
    </row>
    <row r="99" spans="1:9">
      <c r="A99" s="437" t="s">
        <v>3796</v>
      </c>
      <c r="B99" s="38" t="s">
        <v>5086</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5090</v>
      </c>
      <c r="F120" s="142" t="s">
        <v>1638</v>
      </c>
      <c r="L120" s="14"/>
    </row>
    <row r="121" spans="1:13">
      <c r="A121" s="41"/>
      <c r="B121" s="41"/>
      <c r="E121" s="33" t="s">
        <v>2271</v>
      </c>
      <c r="F121" s="34" t="b">
        <f>SELECCION_GTIAEXT="Financiado"</f>
        <v>1</v>
      </c>
      <c r="I121"/>
    </row>
    <row r="122" spans="1:13">
      <c r="A122" s="41"/>
      <c r="B122" s="41"/>
      <c r="E122" s="39" t="s">
        <v>5091</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3311</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4088.9999999999995</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24</v>
      </c>
      <c r="G140" s="411" t="s">
        <v>5124</v>
      </c>
      <c r="K140" s="41"/>
      <c r="L140" s="41"/>
      <c r="M140" s="41"/>
    </row>
    <row r="141" spans="1:13">
      <c r="E141" s="35" t="s">
        <v>1677</v>
      </c>
      <c r="F141" s="77">
        <f ca="1">GetCatalogValue(ID_FRECUENCIA,"PeriodosPorAño",C_FRECUENCIA)</f>
        <v>26</v>
      </c>
      <c r="K141" s="41"/>
      <c r="L141" s="41"/>
      <c r="M141" s="41"/>
    </row>
    <row r="142" spans="1:13">
      <c r="E142" s="81" t="s">
        <v>1698</v>
      </c>
      <c r="F142" s="78">
        <f ca="1" xml:space="preserve"> PlazoEnMeses / CONST_MESES_EN_AÑO * PeriodosPorAño</f>
        <v>52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6291.7527869023525</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6291.7527869023525</v>
      </c>
    </row>
    <row r="150" spans="5:9">
      <c r="E150" s="213" t="s">
        <v>476</v>
      </c>
      <c r="F150" s="148"/>
      <c r="G150" s="413" t="s">
        <v>3294</v>
      </c>
      <c r="H150">
        <f ca="1">IF(OR(ID_AUTO_SUST=1,ID_INCREMENTO_RC&gt;0,ID_INDEMN_AÑO1&gt;1,ID_SERVICIO_PREMIUM=1),1,0)</f>
        <v>1</v>
      </c>
      <c r="I150" s="413" t="s">
        <v>4280</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3297</v>
      </c>
    </row>
    <row r="152" spans="5:9">
      <c r="E152" s="228" t="s">
        <v>1768</v>
      </c>
      <c r="F152" s="75" t="str">
        <f ca="1">TEXT(MontoFinanciarSeguros,"$#,##0.00")</f>
        <v>$0.00</v>
      </c>
      <c r="I152"/>
    </row>
    <row r="153" spans="5:9">
      <c r="E153" s="228" t="s">
        <v>1769</v>
      </c>
      <c r="F153" s="257" t="s">
        <v>4279</v>
      </c>
      <c r="G153" s="257" t="s">
        <v>3806</v>
      </c>
      <c r="H153" s="416" t="s">
        <v>3295</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3296</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4"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4" customWidth="1"/>
    <col min="12" max="13" width="18.42578125" style="844" customWidth="1"/>
    <col min="14" max="14" width="1.85546875" customWidth="1"/>
    <col min="15" max="16" width="18.42578125" customWidth="1"/>
    <col min="17" max="17" width="1.85546875" style="844" customWidth="1"/>
    <col min="18" max="19" width="18.42578125" style="844" customWidth="1"/>
    <col min="20" max="20" width="1.85546875" style="843" customWidth="1"/>
    <col min="21" max="22" width="18.42578125" style="843" customWidth="1"/>
  </cols>
  <sheetData>
    <row r="1" spans="1:22" ht="20.25" thickBot="1">
      <c r="A1" s="12" t="s">
        <v>10665</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10634</v>
      </c>
      <c r="B3" s="831"/>
      <c r="C3" s="831"/>
      <c r="D3" s="87"/>
      <c r="E3" s="852" t="s">
        <v>10647</v>
      </c>
      <c r="F3" s="853"/>
      <c r="G3" s="854"/>
      <c r="H3" s="87"/>
      <c r="I3" s="850" t="s">
        <v>10660</v>
      </c>
      <c r="J3" s="851"/>
      <c r="K3" s="851"/>
      <c r="L3" s="851"/>
      <c r="M3" s="851"/>
      <c r="N3" s="851"/>
      <c r="O3" s="851"/>
      <c r="P3" s="851"/>
      <c r="Q3" s="851"/>
      <c r="R3" s="851"/>
      <c r="S3" s="851"/>
      <c r="T3" s="851"/>
      <c r="U3" s="851"/>
      <c r="V3" s="851"/>
    </row>
    <row r="4" spans="1:22">
      <c r="A4" s="833" t="s">
        <v>10635</v>
      </c>
      <c r="B4" s="87">
        <f ca="1">CapturaFechaCotizacion</f>
        <v>42270</v>
      </c>
      <c r="C4" s="87"/>
      <c r="D4" s="828"/>
      <c r="E4" s="828"/>
      <c r="H4" s="828"/>
    </row>
    <row r="5" spans="1:22">
      <c r="A5" s="844" t="s">
        <v>10598</v>
      </c>
      <c r="B5" s="845" t="str">
        <f>PROD.Código</f>
        <v>AEN</v>
      </c>
      <c r="C5" s="845"/>
      <c r="D5" s="845"/>
      <c r="E5" s="855" t="s">
        <v>10645</v>
      </c>
      <c r="F5" s="839" t="str">
        <f ca="1">IF( INDEX(_Dias_Interes_Pago,1) &gt; _Días_por_Periodo,"El monto de su primer pago será mayor que el resto, ya que incluye más días de interés.","")</f>
        <v/>
      </c>
      <c r="G5" s="111"/>
    </row>
    <row r="6" spans="1:22">
      <c r="A6" s="701" t="s">
        <v>1676</v>
      </c>
      <c r="B6" s="845" t="str">
        <f>SELECCION_FRECUENCIA</f>
        <v>Catorcenal</v>
      </c>
      <c r="C6" s="845"/>
      <c r="D6" s="845"/>
    </row>
    <row r="7" spans="1:22">
      <c r="A7" s="843" t="s">
        <v>10649</v>
      </c>
      <c r="B7" s="845">
        <f>FREC.DiasPorPeriodo</f>
        <v>14</v>
      </c>
      <c r="C7" s="845"/>
    </row>
    <row r="8" spans="1:22">
      <c r="I8" s="834" t="s">
        <v>501</v>
      </c>
      <c r="J8" s="835"/>
      <c r="L8" s="834"/>
      <c r="M8" s="835"/>
      <c r="O8" s="834"/>
      <c r="P8" s="835"/>
      <c r="R8" s="834"/>
      <c r="S8" s="835"/>
    </row>
    <row r="9" spans="1:22">
      <c r="A9" s="834" t="s">
        <v>501</v>
      </c>
      <c r="B9" s="835"/>
      <c r="C9" s="835"/>
      <c r="I9" s="188" t="s">
        <v>10637</v>
      </c>
      <c r="J9" s="186">
        <v>25</v>
      </c>
      <c r="L9" s="844" t="s">
        <v>10666</v>
      </c>
      <c r="M9" s="845">
        <v>30</v>
      </c>
      <c r="O9" s="844" t="s">
        <v>10666</v>
      </c>
      <c r="P9" s="845">
        <v>15</v>
      </c>
      <c r="R9" s="844" t="s">
        <v>10666</v>
      </c>
      <c r="S9" s="845">
        <v>10</v>
      </c>
    </row>
    <row r="10" spans="1:22">
      <c r="A10" s="844" t="s">
        <v>10668</v>
      </c>
      <c r="B10" s="828" t="s">
        <v>10642</v>
      </c>
      <c r="C10" s="845"/>
      <c r="I10" s="188" t="s">
        <v>10638</v>
      </c>
      <c r="J10" s="186">
        <v>30</v>
      </c>
      <c r="P10" s="844"/>
    </row>
    <row r="11" spans="1:22">
      <c r="A11" s="844" t="s">
        <v>10669</v>
      </c>
      <c r="B11" s="828" t="s">
        <v>10633</v>
      </c>
      <c r="C11" s="845"/>
      <c r="I11" s="188" t="s">
        <v>10639</v>
      </c>
      <c r="J11" s="186">
        <v>31</v>
      </c>
      <c r="O11" s="844"/>
      <c r="P11" s="844"/>
    </row>
    <row r="12" spans="1:22">
      <c r="I12" s="188" t="s">
        <v>10640</v>
      </c>
      <c r="J12" s="186">
        <v>3</v>
      </c>
      <c r="O12" s="844"/>
      <c r="P12" s="844"/>
    </row>
    <row r="13" spans="1:22">
      <c r="A13" s="869" t="s">
        <v>10685</v>
      </c>
      <c r="I13" s="188" t="s">
        <v>10641</v>
      </c>
      <c r="J13" s="186">
        <v>16</v>
      </c>
      <c r="O13" s="844"/>
      <c r="P13" s="844"/>
    </row>
    <row r="14" spans="1:22">
      <c r="A14" s="847" t="s">
        <v>10598</v>
      </c>
      <c r="B14" s="847" t="s">
        <v>1676</v>
      </c>
      <c r="C14" s="861" t="s">
        <v>10655</v>
      </c>
      <c r="I14" s="120"/>
      <c r="O14" s="844"/>
      <c r="P14" s="844"/>
    </row>
    <row r="15" spans="1:22">
      <c r="A15" s="816" t="s">
        <v>10602</v>
      </c>
      <c r="B15" s="816" t="s">
        <v>1668</v>
      </c>
      <c r="C15" s="816" t="s">
        <v>10672</v>
      </c>
      <c r="I15" s="858" t="s">
        <v>489</v>
      </c>
      <c r="J15" s="387"/>
      <c r="O15" s="844"/>
      <c r="P15" s="844"/>
    </row>
    <row r="16" spans="1:22">
      <c r="A16" s="816" t="s">
        <v>10603</v>
      </c>
      <c r="B16" s="816" t="s">
        <v>1668</v>
      </c>
      <c r="C16" s="816" t="s">
        <v>1668</v>
      </c>
      <c r="I16" s="701" t="s">
        <v>10636</v>
      </c>
      <c r="J16" s="410">
        <f ca="1">DAY(_Fecha_Cotización)</f>
        <v>23</v>
      </c>
    </row>
    <row r="17" spans="1:22">
      <c r="A17" s="865" t="s">
        <v>10670</v>
      </c>
      <c r="B17" s="816" t="s">
        <v>1669</v>
      </c>
      <c r="C17" s="816" t="s">
        <v>1669</v>
      </c>
      <c r="H17" s="411"/>
    </row>
    <row r="18" spans="1:22">
      <c r="A18" s="865" t="s">
        <v>10670</v>
      </c>
      <c r="B18" s="816" t="s">
        <v>1670</v>
      </c>
      <c r="C18" s="816" t="s">
        <v>10656</v>
      </c>
      <c r="E18" s="866" t="s">
        <v>10671</v>
      </c>
    </row>
    <row r="19" spans="1:22" ht="30">
      <c r="A19" s="865" t="s">
        <v>10670</v>
      </c>
      <c r="B19" s="816" t="s">
        <v>1671</v>
      </c>
      <c r="C19" s="816" t="s">
        <v>1671</v>
      </c>
      <c r="E19" s="856" t="s">
        <v>10632</v>
      </c>
      <c r="F19" s="857" t="str">
        <f>_Etiqueta_Fechas_Pago</f>
        <v>Fechas Pago</v>
      </c>
      <c r="G19" s="856" t="str">
        <f>_Etiqueta_Duración_Intereses</f>
        <v>Duración Intereses</v>
      </c>
      <c r="H19" s="188"/>
      <c r="I19" s="830" t="s">
        <v>10673</v>
      </c>
      <c r="J19" s="830" t="s">
        <v>10674</v>
      </c>
      <c r="L19" s="830" t="s">
        <v>10650</v>
      </c>
      <c r="M19" s="830" t="s">
        <v>10651</v>
      </c>
      <c r="N19" s="844"/>
      <c r="O19" s="830" t="s">
        <v>10661</v>
      </c>
      <c r="P19" s="830" t="s">
        <v>10662</v>
      </c>
      <c r="R19" s="830" t="s">
        <v>10663</v>
      </c>
      <c r="S19" s="830" t="s">
        <v>10664</v>
      </c>
      <c r="T19" s="844"/>
      <c r="U19" s="830" t="s">
        <v>10657</v>
      </c>
      <c r="V19" s="830" t="s">
        <v>10658</v>
      </c>
    </row>
    <row r="20" spans="1:22">
      <c r="A20" s="865" t="s">
        <v>10670</v>
      </c>
      <c r="B20" s="816" t="s">
        <v>1672</v>
      </c>
      <c r="C20" s="816" t="s">
        <v>10656</v>
      </c>
      <c r="E20" s="116">
        <f t="shared" ref="E20:E51" si="0">_Días_por_Periodo</f>
        <v>14</v>
      </c>
      <c r="F20" s="838">
        <f ca="1">INDEX(_Datos 20:20,,MATCH(_Búsqueda_Fechas_Pago, _Datos _Headers,0))</f>
        <v>42284</v>
      </c>
      <c r="G20" s="828">
        <f ca="1">INDEX(_Datos 20:20,,MATCH(_Búsqueda_Duración, _Datos _Headers,0))</f>
        <v>14</v>
      </c>
      <c r="I20" s="83">
        <f ca="1">IF(DIA_COTIZACIÓN&lt;CONST_CORTE_2,EOMONTH(B4,0)+CONST_CORTE_1,EOMONTH(B4,0)+CONST_CORTE_2)</f>
        <v>42293</v>
      </c>
      <c r="J20" s="846">
        <f ca="1">I20 - _Fecha_Cotización</f>
        <v>23</v>
      </c>
      <c r="L20" s="860">
        <f ca="1">EOMONTH(_Fecha_Cotización + 1,0)</f>
        <v>42277</v>
      </c>
      <c r="M20" s="859">
        <f>_DPP _Mensual_AEN</f>
        <v>30</v>
      </c>
      <c r="O20" s="860">
        <f ca="1">IF(DAY(_Fecha_Cotización + 1) &lt;= _DPP _Quincenal,
DATE(YEAR(_Fecha_Cotización + 1),MONTH( _Fecha_Cotización + 1), _DPP _Quincenal ),
EOMONTH( _Fecha_Cotización + 1,0))</f>
        <v>42277</v>
      </c>
      <c r="P20" s="859">
        <f>_DPP _Quincenal</f>
        <v>15</v>
      </c>
      <c r="R20" s="860">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59">
        <f>_DPP _Decenal</f>
        <v>10</v>
      </c>
      <c r="U20" s="860">
        <f ca="1">_Fecha_Cotización + _Días_por_Periodo</f>
        <v>42284</v>
      </c>
      <c r="V20" s="859">
        <f ca="1">U20 - _Fecha_Cotización</f>
        <v>14</v>
      </c>
    </row>
    <row r="21" spans="1:22">
      <c r="E21" s="116">
        <f t="shared" si="0"/>
        <v>14</v>
      </c>
      <c r="F21" s="838">
        <f ca="1">INDEX(_Datos 21:21,,MATCH(_Búsqueda_Fechas_Pago, _Datos _Headers,0))</f>
        <v>42298</v>
      </c>
      <c r="G21" s="828">
        <f ca="1">INDEX(_Datos 21:21,,MATCH(_Búsqueda_Duración, _Datos _Headers,0))</f>
        <v>14</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42298</v>
      </c>
      <c r="V21" s="32">
        <f ca="1">U21 - U20</f>
        <v>14</v>
      </c>
    </row>
    <row r="22" spans="1:22">
      <c r="A22" s="849" t="s">
        <v>489</v>
      </c>
      <c r="B22" s="387"/>
      <c r="C22" s="387"/>
      <c r="E22" s="116">
        <f t="shared" si="0"/>
        <v>14</v>
      </c>
      <c r="F22" s="838">
        <f ca="1">INDEX(_Datos 22:22,,MATCH(_Búsqueda_Fechas_Pago, _Datos _Headers,0))</f>
        <v>42312</v>
      </c>
      <c r="G22" s="828">
        <f ca="1">INDEX(_Datos 22:22,,MATCH(_Búsqueda_Duración, _Datos _Headers,0))</f>
        <v>14</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3"/>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42312</v>
      </c>
      <c r="V22" s="32">
        <f t="shared" ref="V22:V79" ca="1" si="4">U22 - U21</f>
        <v>14</v>
      </c>
    </row>
    <row r="23" spans="1:22">
      <c r="C23" s="98"/>
      <c r="E23" s="116">
        <f t="shared" si="0"/>
        <v>14</v>
      </c>
      <c r="F23" s="838">
        <f ca="1">INDEX(_Datos 23:23,,MATCH(_Búsqueda_Fechas_Pago, _Datos _Headers,0))</f>
        <v>42326</v>
      </c>
      <c r="G23" s="828">
        <f ca="1">INDEX(_Datos 23:23,,MATCH(_Búsqueda_Duración, _Datos _Headers,0))</f>
        <v>14</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4"/>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42326</v>
      </c>
      <c r="V23" s="32">
        <f t="shared" ca="1" si="4"/>
        <v>14</v>
      </c>
    </row>
    <row r="24" spans="1:22">
      <c r="A24" s="869" t="s">
        <v>10686</v>
      </c>
      <c r="E24" s="116">
        <f t="shared" si="0"/>
        <v>14</v>
      </c>
      <c r="F24" s="838">
        <f ca="1">INDEX(_Datos 24:24,,MATCH(_Búsqueda_Fechas_Pago, _Datos _Headers,0))</f>
        <v>42340</v>
      </c>
      <c r="G24" s="828">
        <f ca="1">INDEX(_Datos 24:24,,MATCH(_Búsqueda_Duración, _Datos _Headers,0))</f>
        <v>14</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4"/>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42340</v>
      </c>
      <c r="V24" s="32">
        <f t="shared" ca="1" si="4"/>
        <v>14</v>
      </c>
    </row>
    <row r="25" spans="1:22">
      <c r="A25" s="864" t="s">
        <v>10598</v>
      </c>
      <c r="B25" s="864" t="s">
        <v>1676</v>
      </c>
      <c r="C25" s="863" t="s">
        <v>10655</v>
      </c>
      <c r="E25" s="116">
        <f t="shared" si="0"/>
        <v>14</v>
      </c>
      <c r="F25" s="838">
        <f ca="1">INDEX(_Datos 25:25,,MATCH(_Búsqueda_Fechas_Pago, _Datos _Headers,0))</f>
        <v>42354</v>
      </c>
      <c r="G25" s="828">
        <f ca="1">INDEX(_Datos 25:25,,MATCH(_Búsqueda_Duración, _Datos _Headers,0))</f>
        <v>14</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4"/>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42354</v>
      </c>
      <c r="V25" s="32">
        <f t="shared" ca="1" si="4"/>
        <v>14</v>
      </c>
    </row>
    <row r="26" spans="1:22">
      <c r="A26" s="845" t="str">
        <f>IF(_Frecuencia = "Mensual", _Producto, "")</f>
        <v/>
      </c>
      <c r="B26" s="845" t="str">
        <f>_Frecuencia</f>
        <v>Catorcenal</v>
      </c>
      <c r="C26" s="862" t="str">
        <f>DGET(_C_FRECUENCIA_ALGORITMO,C25,A25:B26)</f>
        <v>Simple</v>
      </c>
      <c r="E26" s="116">
        <f t="shared" si="0"/>
        <v>14</v>
      </c>
      <c r="F26" s="838">
        <f ca="1">INDEX(_Datos 26:26,,MATCH(_Búsqueda_Fechas_Pago, _Datos _Headers,0))</f>
        <v>42368</v>
      </c>
      <c r="G26" s="828">
        <f ca="1">INDEX(_Datos 26:26,,MATCH(_Búsqueda_Duración, _Datos _Headers,0))</f>
        <v>14</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4"/>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42368</v>
      </c>
      <c r="V26" s="32">
        <f t="shared" ca="1" si="4"/>
        <v>14</v>
      </c>
    </row>
    <row r="27" spans="1:22">
      <c r="E27" s="116">
        <f t="shared" si="0"/>
        <v>14</v>
      </c>
      <c r="F27" s="838">
        <f ca="1">INDEX(_Datos 27:27,,MATCH(_Búsqueda_Fechas_Pago, _Datos _Headers,0))</f>
        <v>42382</v>
      </c>
      <c r="G27" s="828">
        <f ca="1">INDEX(_Datos 27:27,,MATCH(_Búsqueda_Duración, _Datos _Headers,0))</f>
        <v>14</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4"/>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42382</v>
      </c>
      <c r="V27" s="32">
        <f t="shared" ca="1" si="4"/>
        <v>14</v>
      </c>
    </row>
    <row r="28" spans="1:22">
      <c r="A28" s="701" t="s">
        <v>10643</v>
      </c>
      <c r="B28" s="836" t="str">
        <f>CONCATENATE(_Etiqueta_Fechas_Pago, " ", _Algoritmo)</f>
        <v>Fechas Pago Simple</v>
      </c>
      <c r="E28" s="116">
        <f t="shared" si="0"/>
        <v>14</v>
      </c>
      <c r="F28" s="838">
        <f ca="1">INDEX(_Datos 28:28,,MATCH(_Búsqueda_Fechas_Pago, _Datos _Headers,0))</f>
        <v>42396</v>
      </c>
      <c r="G28" s="828">
        <f ca="1">INDEX(_Datos 28:28,,MATCH(_Búsqueda_Duración, _Datos _Headers,0))</f>
        <v>14</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4"/>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42396</v>
      </c>
      <c r="V28" s="32">
        <f t="shared" ca="1" si="4"/>
        <v>14</v>
      </c>
    </row>
    <row r="29" spans="1:22">
      <c r="A29" s="701" t="s">
        <v>10644</v>
      </c>
      <c r="B29" s="836" t="str">
        <f>CONCATENATE(_Etiqueta_Duración_Intereses, " ", _Algoritmo)</f>
        <v>Duración Intereses Simple</v>
      </c>
      <c r="E29" s="116">
        <f t="shared" si="0"/>
        <v>14</v>
      </c>
      <c r="F29" s="838">
        <f ca="1">INDEX(_Datos 29:29,,MATCH(_Búsqueda_Fechas_Pago, _Datos _Headers,0))</f>
        <v>42410</v>
      </c>
      <c r="G29" s="828">
        <f ca="1">INDEX(_Datos 29:29,,MATCH(_Búsqueda_Duración, _Datos _Headers,0))</f>
        <v>14</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4"/>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42410</v>
      </c>
      <c r="V29" s="32">
        <f t="shared" ca="1" si="4"/>
        <v>14</v>
      </c>
    </row>
    <row r="30" spans="1:22">
      <c r="A30" s="14"/>
      <c r="E30" s="116">
        <f t="shared" si="0"/>
        <v>14</v>
      </c>
      <c r="F30" s="838">
        <f ca="1">INDEX(_Datos 30:30,,MATCH(_Búsqueda_Fechas_Pago, _Datos _Headers,0))</f>
        <v>42424</v>
      </c>
      <c r="G30" s="828">
        <f ca="1">INDEX(_Datos 30:30,,MATCH(_Búsqueda_Duración, _Datos _Headers,0))</f>
        <v>14</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4"/>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42424</v>
      </c>
      <c r="V30" s="32">
        <f t="shared" ca="1" si="4"/>
        <v>14</v>
      </c>
    </row>
    <row r="31" spans="1:22">
      <c r="A31" s="14"/>
      <c r="E31" s="116">
        <f t="shared" si="0"/>
        <v>14</v>
      </c>
      <c r="F31" s="838">
        <f ca="1">INDEX(_Datos 31:31,,MATCH(_Búsqueda_Fechas_Pago, _Datos _Headers,0))</f>
        <v>42438</v>
      </c>
      <c r="G31" s="828">
        <f ca="1">INDEX(_Datos 31:31,,MATCH(_Búsqueda_Duración, _Datos _Headers,0))</f>
        <v>14</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4"/>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42438</v>
      </c>
      <c r="V31" s="32">
        <f t="shared" ca="1" si="4"/>
        <v>14</v>
      </c>
    </row>
    <row r="32" spans="1:22">
      <c r="A32" s="14"/>
      <c r="E32" s="116">
        <f t="shared" si="0"/>
        <v>14</v>
      </c>
      <c r="F32" s="838">
        <f ca="1">INDEX(_Datos 32:32,,MATCH(_Búsqueda_Fechas_Pago, _Datos _Headers,0))</f>
        <v>42452</v>
      </c>
      <c r="G32" s="828">
        <f ca="1">INDEX(_Datos 32:32,,MATCH(_Búsqueda_Duración, _Datos _Headers,0))</f>
        <v>14</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4"/>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42452</v>
      </c>
      <c r="V32" s="32">
        <f t="shared" ca="1" si="4"/>
        <v>14</v>
      </c>
    </row>
    <row r="33" spans="1:22">
      <c r="A33" s="14"/>
      <c r="E33" s="116">
        <f t="shared" si="0"/>
        <v>14</v>
      </c>
      <c r="F33" s="838">
        <f ca="1">INDEX(_Datos 33:33,,MATCH(_Búsqueda_Fechas_Pago, _Datos _Headers,0))</f>
        <v>42466</v>
      </c>
      <c r="G33" s="828">
        <f ca="1">INDEX(_Datos 33:33,,MATCH(_Búsqueda_Duración, _Datos _Headers,0))</f>
        <v>14</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4"/>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42466</v>
      </c>
      <c r="V33" s="32">
        <f t="shared" ca="1" si="4"/>
        <v>14</v>
      </c>
    </row>
    <row r="34" spans="1:22">
      <c r="A34" s="14"/>
      <c r="E34" s="116">
        <f t="shared" si="0"/>
        <v>14</v>
      </c>
      <c r="F34" s="838">
        <f ca="1">INDEX(_Datos 34:34,,MATCH(_Búsqueda_Fechas_Pago, _Datos _Headers,0))</f>
        <v>42480</v>
      </c>
      <c r="G34" s="828">
        <f ca="1">INDEX(_Datos 34:34,,MATCH(_Búsqueda_Duración, _Datos _Headers,0))</f>
        <v>14</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4"/>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42480</v>
      </c>
      <c r="V34" s="32">
        <f t="shared" ca="1" si="4"/>
        <v>14</v>
      </c>
    </row>
    <row r="35" spans="1:22">
      <c r="A35" s="14"/>
      <c r="E35" s="116">
        <f t="shared" si="0"/>
        <v>14</v>
      </c>
      <c r="F35" s="838">
        <f ca="1">INDEX(_Datos 35:35,,MATCH(_Búsqueda_Fechas_Pago, _Datos _Headers,0))</f>
        <v>42494</v>
      </c>
      <c r="G35" s="828">
        <f ca="1">INDEX(_Datos 35:35,,MATCH(_Búsqueda_Duración, _Datos _Headers,0))</f>
        <v>14</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4"/>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42494</v>
      </c>
      <c r="V35" s="32">
        <f t="shared" ca="1" si="4"/>
        <v>14</v>
      </c>
    </row>
    <row r="36" spans="1:22">
      <c r="A36" s="14"/>
      <c r="E36" s="116">
        <f t="shared" si="0"/>
        <v>14</v>
      </c>
      <c r="F36" s="838">
        <f ca="1">INDEX(_Datos 36:36,,MATCH(_Búsqueda_Fechas_Pago, _Datos _Headers,0))</f>
        <v>42508</v>
      </c>
      <c r="G36" s="828">
        <f ca="1">INDEX(_Datos 36:36,,MATCH(_Búsqueda_Duración, _Datos _Headers,0))</f>
        <v>14</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4"/>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42508</v>
      </c>
      <c r="V36" s="32">
        <f t="shared" ca="1" si="4"/>
        <v>14</v>
      </c>
    </row>
    <row r="37" spans="1:22">
      <c r="A37" s="14"/>
      <c r="E37" s="116">
        <f t="shared" si="0"/>
        <v>14</v>
      </c>
      <c r="F37" s="838">
        <f ca="1">INDEX(_Datos 37:37,,MATCH(_Búsqueda_Fechas_Pago, _Datos _Headers,0))</f>
        <v>42522</v>
      </c>
      <c r="G37" s="828">
        <f ca="1">INDEX(_Datos 37:37,,MATCH(_Búsqueda_Duración, _Datos _Headers,0))</f>
        <v>14</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4"/>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42522</v>
      </c>
      <c r="V37" s="32">
        <f t="shared" ca="1" si="4"/>
        <v>14</v>
      </c>
    </row>
    <row r="38" spans="1:22">
      <c r="A38" s="14"/>
      <c r="E38" s="116">
        <f t="shared" si="0"/>
        <v>14</v>
      </c>
      <c r="F38" s="838">
        <f ca="1">INDEX(_Datos 38:38,,MATCH(_Búsqueda_Fechas_Pago, _Datos _Headers,0))</f>
        <v>42536</v>
      </c>
      <c r="G38" s="828">
        <f ca="1">INDEX(_Datos 38:38,,MATCH(_Búsqueda_Duración, _Datos _Headers,0))</f>
        <v>14</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4"/>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42536</v>
      </c>
      <c r="V38" s="32">
        <f t="shared" ca="1" si="4"/>
        <v>14</v>
      </c>
    </row>
    <row r="39" spans="1:22">
      <c r="A39" s="14"/>
      <c r="E39" s="116">
        <f t="shared" si="0"/>
        <v>14</v>
      </c>
      <c r="F39" s="838">
        <f ca="1">INDEX(_Datos 39:39,,MATCH(_Búsqueda_Fechas_Pago, _Datos _Headers,0))</f>
        <v>42550</v>
      </c>
      <c r="G39" s="828">
        <f ca="1">INDEX(_Datos 39:39,,MATCH(_Búsqueda_Duración, _Datos _Headers,0))</f>
        <v>14</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4"/>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42550</v>
      </c>
      <c r="V39" s="32">
        <f t="shared" ca="1" si="4"/>
        <v>14</v>
      </c>
    </row>
    <row r="40" spans="1:22">
      <c r="A40" s="14"/>
      <c r="E40" s="116">
        <f t="shared" si="0"/>
        <v>14</v>
      </c>
      <c r="F40" s="838">
        <f ca="1">INDEX(_Datos 40:40,,MATCH(_Búsqueda_Fechas_Pago, _Datos _Headers,0))</f>
        <v>42564</v>
      </c>
      <c r="G40" s="828">
        <f ca="1">INDEX(_Datos 40:40,,MATCH(_Búsqueda_Duración, _Datos _Headers,0))</f>
        <v>14</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4"/>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42564</v>
      </c>
      <c r="V40" s="32">
        <f t="shared" ca="1" si="4"/>
        <v>14</v>
      </c>
    </row>
    <row r="41" spans="1:22">
      <c r="A41" s="14"/>
      <c r="E41" s="116">
        <f t="shared" si="0"/>
        <v>14</v>
      </c>
      <c r="F41" s="838">
        <f ca="1">INDEX(_Datos 41:41,,MATCH(_Búsqueda_Fechas_Pago, _Datos _Headers,0))</f>
        <v>42578</v>
      </c>
      <c r="G41" s="828">
        <f ca="1">INDEX(_Datos 41:41,,MATCH(_Búsqueda_Duración, _Datos _Headers,0))</f>
        <v>14</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4"/>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42578</v>
      </c>
      <c r="V41" s="32">
        <f t="shared" ca="1" si="4"/>
        <v>14</v>
      </c>
    </row>
    <row r="42" spans="1:22">
      <c r="A42" s="14"/>
      <c r="E42" s="116">
        <f t="shared" si="0"/>
        <v>14</v>
      </c>
      <c r="F42" s="838">
        <f ca="1">INDEX(_Datos 42:42,,MATCH(_Búsqueda_Fechas_Pago, _Datos _Headers,0))</f>
        <v>42592</v>
      </c>
      <c r="G42" s="828">
        <f ca="1">INDEX(_Datos 42:42,,MATCH(_Búsqueda_Duración, _Datos _Headers,0))</f>
        <v>14</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4"/>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42592</v>
      </c>
      <c r="V42" s="32">
        <f t="shared" ca="1" si="4"/>
        <v>14</v>
      </c>
    </row>
    <row r="43" spans="1:22">
      <c r="A43" s="14"/>
      <c r="E43" s="116">
        <f t="shared" si="0"/>
        <v>14</v>
      </c>
      <c r="F43" s="838">
        <f ca="1">INDEX(_Datos 43:43,,MATCH(_Búsqueda_Fechas_Pago, _Datos _Headers,0))</f>
        <v>42606</v>
      </c>
      <c r="G43" s="828">
        <f ca="1">INDEX(_Datos 43:43,,MATCH(_Búsqueda_Duración, _Datos _Headers,0))</f>
        <v>14</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4"/>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42606</v>
      </c>
      <c r="V43" s="32">
        <f t="shared" ca="1" si="4"/>
        <v>14</v>
      </c>
    </row>
    <row r="44" spans="1:22">
      <c r="A44" s="14"/>
      <c r="E44" s="116">
        <f t="shared" si="0"/>
        <v>14</v>
      </c>
      <c r="F44" s="838">
        <f ca="1">INDEX(_Datos 44:44,,MATCH(_Búsqueda_Fechas_Pago, _Datos _Headers,0))</f>
        <v>42620</v>
      </c>
      <c r="G44" s="828">
        <f ca="1">INDEX(_Datos 44:44,,MATCH(_Búsqueda_Duración, _Datos _Headers,0))</f>
        <v>14</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4"/>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42620</v>
      </c>
      <c r="V44" s="32">
        <f t="shared" ca="1" si="4"/>
        <v>14</v>
      </c>
    </row>
    <row r="45" spans="1:22">
      <c r="A45" s="14"/>
      <c r="E45" s="116">
        <f t="shared" si="0"/>
        <v>14</v>
      </c>
      <c r="F45" s="838">
        <f ca="1">INDEX(_Datos 45:45,,MATCH(_Búsqueda_Fechas_Pago, _Datos _Headers,0))</f>
        <v>42634</v>
      </c>
      <c r="G45" s="828">
        <f ca="1">INDEX(_Datos 45:45,,MATCH(_Búsqueda_Duración, _Datos _Headers,0))</f>
        <v>14</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4"/>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42634</v>
      </c>
      <c r="V45" s="32">
        <f t="shared" ca="1" si="4"/>
        <v>14</v>
      </c>
    </row>
    <row r="46" spans="1:22">
      <c r="A46" s="14"/>
      <c r="E46" s="116">
        <f t="shared" si="0"/>
        <v>14</v>
      </c>
      <c r="F46" s="838">
        <f ca="1">INDEX(_Datos 46:46,,MATCH(_Búsqueda_Fechas_Pago, _Datos _Headers,0))</f>
        <v>42648</v>
      </c>
      <c r="G46" s="828">
        <f ca="1">INDEX(_Datos 46:46,,MATCH(_Búsqueda_Duración, _Datos _Headers,0))</f>
        <v>14</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4"/>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42648</v>
      </c>
      <c r="V46" s="32">
        <f t="shared" ca="1" si="4"/>
        <v>14</v>
      </c>
    </row>
    <row r="47" spans="1:22">
      <c r="A47" s="14"/>
      <c r="E47" s="116">
        <f t="shared" si="0"/>
        <v>14</v>
      </c>
      <c r="F47" s="838">
        <f ca="1">INDEX(_Datos 47:47,,MATCH(_Búsqueda_Fechas_Pago, _Datos _Headers,0))</f>
        <v>42662</v>
      </c>
      <c r="G47" s="828">
        <f ca="1">INDEX(_Datos 47:47,,MATCH(_Búsqueda_Duración, _Datos _Headers,0))</f>
        <v>14</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4"/>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42662</v>
      </c>
      <c r="V47" s="32">
        <f t="shared" ca="1" si="4"/>
        <v>14</v>
      </c>
    </row>
    <row r="48" spans="1:22">
      <c r="A48" s="14"/>
      <c r="E48" s="116">
        <f t="shared" si="0"/>
        <v>14</v>
      </c>
      <c r="F48" s="838">
        <f ca="1">INDEX(_Datos 48:48,,MATCH(_Búsqueda_Fechas_Pago, _Datos _Headers,0))</f>
        <v>42676</v>
      </c>
      <c r="G48" s="828">
        <f ca="1">INDEX(_Datos 48:48,,MATCH(_Búsqueda_Duración, _Datos _Headers,0))</f>
        <v>14</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4"/>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42676</v>
      </c>
      <c r="V48" s="32">
        <f t="shared" ca="1" si="4"/>
        <v>14</v>
      </c>
    </row>
    <row r="49" spans="1:22">
      <c r="A49" s="14"/>
      <c r="E49" s="116">
        <f t="shared" si="0"/>
        <v>14</v>
      </c>
      <c r="F49" s="838">
        <f ca="1">INDEX(_Datos 49:49,,MATCH(_Búsqueda_Fechas_Pago, _Datos _Headers,0))</f>
        <v>42690</v>
      </c>
      <c r="G49" s="828">
        <f ca="1">INDEX(_Datos 49:49,,MATCH(_Búsqueda_Duración, _Datos _Headers,0))</f>
        <v>14</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4"/>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42690</v>
      </c>
      <c r="V49" s="32">
        <f t="shared" ca="1" si="4"/>
        <v>14</v>
      </c>
    </row>
    <row r="50" spans="1:22">
      <c r="A50" s="14"/>
      <c r="E50" s="116">
        <f t="shared" si="0"/>
        <v>14</v>
      </c>
      <c r="F50" s="838">
        <f ca="1">INDEX(_Datos 50:50,,MATCH(_Búsqueda_Fechas_Pago, _Datos _Headers,0))</f>
        <v>42704</v>
      </c>
      <c r="G50" s="828">
        <f ca="1">INDEX(_Datos 50:50,,MATCH(_Búsqueda_Duración, _Datos _Headers,0))</f>
        <v>14</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4"/>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42704</v>
      </c>
      <c r="V50" s="32">
        <f t="shared" ca="1" si="4"/>
        <v>14</v>
      </c>
    </row>
    <row r="51" spans="1:22">
      <c r="A51" s="14"/>
      <c r="E51" s="116">
        <f t="shared" si="0"/>
        <v>14</v>
      </c>
      <c r="F51" s="838">
        <f ca="1">INDEX(_Datos 51:51,,MATCH(_Búsqueda_Fechas_Pago, _Datos _Headers,0))</f>
        <v>42718</v>
      </c>
      <c r="G51" s="828">
        <f ca="1">INDEX(_Datos 51:51,,MATCH(_Búsqueda_Duración, _Datos _Headers,0))</f>
        <v>14</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4"/>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42718</v>
      </c>
      <c r="V51" s="32">
        <f t="shared" ca="1" si="4"/>
        <v>14</v>
      </c>
    </row>
    <row r="52" spans="1:22">
      <c r="A52" s="14"/>
      <c r="E52" s="116">
        <f t="shared" ref="E52:E79" si="5">_Días_por_Periodo</f>
        <v>14</v>
      </c>
      <c r="F52" s="838">
        <f ca="1">INDEX(_Datos 52:52,,MATCH(_Búsqueda_Fechas_Pago, _Datos _Headers,0))</f>
        <v>42732</v>
      </c>
      <c r="G52" s="828">
        <f ca="1">INDEX(_Datos 52:52,,MATCH(_Búsqueda_Duración, _Datos _Headers,0))</f>
        <v>14</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4"/>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42732</v>
      </c>
      <c r="V52" s="32">
        <f t="shared" ca="1" si="4"/>
        <v>14</v>
      </c>
    </row>
    <row r="53" spans="1:22">
      <c r="A53" s="14"/>
      <c r="E53" s="116">
        <f t="shared" si="5"/>
        <v>14</v>
      </c>
      <c r="F53" s="838">
        <f ca="1">INDEX(_Datos 53:53,,MATCH(_Búsqueda_Fechas_Pago, _Datos _Headers,0))</f>
        <v>42746</v>
      </c>
      <c r="G53" s="828">
        <f ca="1">INDEX(_Datos 53:53,,MATCH(_Búsqueda_Duración, _Datos _Headers,0))</f>
        <v>14</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4"/>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42746</v>
      </c>
      <c r="V53" s="32">
        <f t="shared" ca="1" si="4"/>
        <v>14</v>
      </c>
    </row>
    <row r="54" spans="1:22">
      <c r="A54" s="14"/>
      <c r="E54" s="116">
        <f t="shared" si="5"/>
        <v>14</v>
      </c>
      <c r="F54" s="838">
        <f ca="1">INDEX(_Datos 54:54,,MATCH(_Búsqueda_Fechas_Pago, _Datos _Headers,0))</f>
        <v>42760</v>
      </c>
      <c r="G54" s="828">
        <f ca="1">INDEX(_Datos 54:54,,MATCH(_Búsqueda_Duración, _Datos _Headers,0))</f>
        <v>14</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4"/>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42760</v>
      </c>
      <c r="V54" s="32">
        <f t="shared" ca="1" si="4"/>
        <v>14</v>
      </c>
    </row>
    <row r="55" spans="1:22">
      <c r="A55" s="14"/>
      <c r="E55" s="116">
        <f t="shared" si="5"/>
        <v>14</v>
      </c>
      <c r="F55" s="838">
        <f ca="1">INDEX(_Datos 55:55,,MATCH(_Búsqueda_Fechas_Pago, _Datos _Headers,0))</f>
        <v>42774</v>
      </c>
      <c r="G55" s="828">
        <f ca="1">INDEX(_Datos 55:55,,MATCH(_Búsqueda_Duración, _Datos _Headers,0))</f>
        <v>14</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4"/>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42774</v>
      </c>
      <c r="V55" s="32">
        <f t="shared" ca="1" si="4"/>
        <v>14</v>
      </c>
    </row>
    <row r="56" spans="1:22">
      <c r="A56" s="14"/>
      <c r="E56" s="116">
        <f t="shared" si="5"/>
        <v>14</v>
      </c>
      <c r="F56" s="838">
        <f ca="1">INDEX(_Datos 56:56,,MATCH(_Búsqueda_Fechas_Pago, _Datos _Headers,0))</f>
        <v>42788</v>
      </c>
      <c r="G56" s="828">
        <f ca="1">INDEX(_Datos 56:56,,MATCH(_Búsqueda_Duración, _Datos _Headers,0))</f>
        <v>14</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4"/>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42788</v>
      </c>
      <c r="V56" s="32">
        <f t="shared" ca="1" si="4"/>
        <v>14</v>
      </c>
    </row>
    <row r="57" spans="1:22">
      <c r="A57" s="14"/>
      <c r="E57" s="116">
        <f t="shared" si="5"/>
        <v>14</v>
      </c>
      <c r="F57" s="838">
        <f ca="1">INDEX(_Datos 57:57,,MATCH(_Búsqueda_Fechas_Pago, _Datos _Headers,0))</f>
        <v>42802</v>
      </c>
      <c r="G57" s="828">
        <f ca="1">INDEX(_Datos 57:57,,MATCH(_Búsqueda_Duración, _Datos _Headers,0))</f>
        <v>14</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4"/>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42802</v>
      </c>
      <c r="V57" s="32">
        <f t="shared" ca="1" si="4"/>
        <v>14</v>
      </c>
    </row>
    <row r="58" spans="1:22">
      <c r="A58" s="14"/>
      <c r="E58" s="116">
        <f t="shared" si="5"/>
        <v>14</v>
      </c>
      <c r="F58" s="838">
        <f ca="1">INDEX(_Datos 58:58,,MATCH(_Búsqueda_Fechas_Pago, _Datos _Headers,0))</f>
        <v>42816</v>
      </c>
      <c r="G58" s="828">
        <f ca="1">INDEX(_Datos 58:58,,MATCH(_Búsqueda_Duración, _Datos _Headers,0))</f>
        <v>14</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4"/>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42816</v>
      </c>
      <c r="V58" s="32">
        <f t="shared" ca="1" si="4"/>
        <v>14</v>
      </c>
    </row>
    <row r="59" spans="1:22">
      <c r="A59" s="14"/>
      <c r="E59" s="116">
        <f t="shared" si="5"/>
        <v>14</v>
      </c>
      <c r="F59" s="838">
        <f ca="1">INDEX(_Datos 59:59,,MATCH(_Búsqueda_Fechas_Pago, _Datos _Headers,0))</f>
        <v>42830</v>
      </c>
      <c r="G59" s="828">
        <f ca="1">INDEX(_Datos 59:59,,MATCH(_Búsqueda_Duración, _Datos _Headers,0))</f>
        <v>14</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4"/>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42830</v>
      </c>
      <c r="V59" s="32">
        <f t="shared" ca="1" si="4"/>
        <v>14</v>
      </c>
    </row>
    <row r="60" spans="1:22">
      <c r="A60" s="14"/>
      <c r="E60" s="116">
        <f t="shared" si="5"/>
        <v>14</v>
      </c>
      <c r="F60" s="838">
        <f ca="1">INDEX(_Datos 60:60,,MATCH(_Búsqueda_Fechas_Pago, _Datos _Headers,0))</f>
        <v>42844</v>
      </c>
      <c r="G60" s="828">
        <f ca="1">INDEX(_Datos 60:60,,MATCH(_Búsqueda_Duración, _Datos _Headers,0))</f>
        <v>14</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4"/>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42844</v>
      </c>
      <c r="V60" s="32">
        <f t="shared" ca="1" si="4"/>
        <v>14</v>
      </c>
    </row>
    <row r="61" spans="1:22">
      <c r="A61" s="14"/>
      <c r="E61" s="116">
        <f t="shared" si="5"/>
        <v>14</v>
      </c>
      <c r="F61" s="838">
        <f ca="1">INDEX(_Datos 61:61,,MATCH(_Búsqueda_Fechas_Pago, _Datos _Headers,0))</f>
        <v>42858</v>
      </c>
      <c r="G61" s="828">
        <f ca="1">INDEX(_Datos 61:61,,MATCH(_Búsqueda_Duración, _Datos _Headers,0))</f>
        <v>14</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4"/>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42858</v>
      </c>
      <c r="V61" s="32">
        <f t="shared" ca="1" si="4"/>
        <v>14</v>
      </c>
    </row>
    <row r="62" spans="1:22">
      <c r="A62" s="14"/>
      <c r="E62" s="116">
        <f t="shared" si="5"/>
        <v>14</v>
      </c>
      <c r="F62" s="838">
        <f ca="1">INDEX(_Datos 62:62,,MATCH(_Búsqueda_Fechas_Pago, _Datos _Headers,0))</f>
        <v>42872</v>
      </c>
      <c r="G62" s="828">
        <f ca="1">INDEX(_Datos 62:62,,MATCH(_Búsqueda_Duración, _Datos _Headers,0))</f>
        <v>14</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4"/>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42872</v>
      </c>
      <c r="V62" s="32">
        <f t="shared" ca="1" si="4"/>
        <v>14</v>
      </c>
    </row>
    <row r="63" spans="1:22">
      <c r="A63" s="14"/>
      <c r="E63" s="116">
        <f t="shared" si="5"/>
        <v>14</v>
      </c>
      <c r="F63" s="838">
        <f ca="1">INDEX(_Datos 63:63,,MATCH(_Búsqueda_Fechas_Pago, _Datos _Headers,0))</f>
        <v>42886</v>
      </c>
      <c r="G63" s="828">
        <f ca="1">INDEX(_Datos 63:63,,MATCH(_Búsqueda_Duración, _Datos _Headers,0))</f>
        <v>14</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4"/>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42886</v>
      </c>
      <c r="V63" s="32">
        <f t="shared" ca="1" si="4"/>
        <v>14</v>
      </c>
    </row>
    <row r="64" spans="1:22">
      <c r="A64" s="14"/>
      <c r="E64" s="116">
        <f t="shared" si="5"/>
        <v>14</v>
      </c>
      <c r="F64" s="838">
        <f ca="1">INDEX(_Datos 64:64,,MATCH(_Búsqueda_Fechas_Pago, _Datos _Headers,0))</f>
        <v>42900</v>
      </c>
      <c r="G64" s="828">
        <f ca="1">INDEX(_Datos 64:64,,MATCH(_Búsqueda_Duración, _Datos _Headers,0))</f>
        <v>14</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4"/>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42900</v>
      </c>
      <c r="V64" s="32">
        <f t="shared" ca="1" si="4"/>
        <v>14</v>
      </c>
    </row>
    <row r="65" spans="1:22">
      <c r="A65" s="14"/>
      <c r="E65" s="116">
        <f t="shared" si="5"/>
        <v>14</v>
      </c>
      <c r="F65" s="838">
        <f ca="1">INDEX(_Datos 65:65,,MATCH(_Búsqueda_Fechas_Pago, _Datos _Headers,0))</f>
        <v>42914</v>
      </c>
      <c r="G65" s="828">
        <f ca="1">INDEX(_Datos 65:65,,MATCH(_Búsqueda_Duración, _Datos _Headers,0))</f>
        <v>14</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4"/>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42914</v>
      </c>
      <c r="V65" s="32">
        <f t="shared" ca="1" si="4"/>
        <v>14</v>
      </c>
    </row>
    <row r="66" spans="1:22">
      <c r="A66" s="14"/>
      <c r="E66" s="116">
        <f t="shared" si="5"/>
        <v>14</v>
      </c>
      <c r="F66" s="838">
        <f ca="1">INDEX(_Datos 66:66,,MATCH(_Búsqueda_Fechas_Pago, _Datos _Headers,0))</f>
        <v>42928</v>
      </c>
      <c r="G66" s="828">
        <f ca="1">INDEX(_Datos 66:66,,MATCH(_Búsqueda_Duración, _Datos _Headers,0))</f>
        <v>14</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4"/>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42928</v>
      </c>
      <c r="V66" s="32">
        <f t="shared" ca="1" si="4"/>
        <v>14</v>
      </c>
    </row>
    <row r="67" spans="1:22">
      <c r="A67" s="14"/>
      <c r="E67" s="116">
        <f t="shared" si="5"/>
        <v>14</v>
      </c>
      <c r="F67" s="838">
        <f ca="1">INDEX(_Datos 67:67,,MATCH(_Búsqueda_Fechas_Pago, _Datos _Headers,0))</f>
        <v>42942</v>
      </c>
      <c r="G67" s="828">
        <f ca="1">INDEX(_Datos 67:67,,MATCH(_Búsqueda_Duración, _Datos _Headers,0))</f>
        <v>14</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4"/>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42942</v>
      </c>
      <c r="V67" s="32">
        <f t="shared" ca="1" si="4"/>
        <v>14</v>
      </c>
    </row>
    <row r="68" spans="1:22">
      <c r="A68" s="14"/>
      <c r="E68" s="116">
        <f t="shared" si="5"/>
        <v>14</v>
      </c>
      <c r="F68" s="838">
        <f ca="1">INDEX(_Datos 68:68,,MATCH(_Búsqueda_Fechas_Pago, _Datos _Headers,0))</f>
        <v>42956</v>
      </c>
      <c r="G68" s="828">
        <f ca="1">INDEX(_Datos 68:68,,MATCH(_Búsqueda_Duración, _Datos _Headers,0))</f>
        <v>14</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4"/>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42956</v>
      </c>
      <c r="V68" s="32">
        <f t="shared" ca="1" si="4"/>
        <v>14</v>
      </c>
    </row>
    <row r="69" spans="1:22">
      <c r="A69" s="14"/>
      <c r="E69" s="116">
        <f t="shared" si="5"/>
        <v>14</v>
      </c>
      <c r="F69" s="838">
        <f ca="1">INDEX(_Datos 69:69,,MATCH(_Búsqueda_Fechas_Pago, _Datos _Headers,0))</f>
        <v>42970</v>
      </c>
      <c r="G69" s="828">
        <f ca="1">INDEX(_Datos 69:69,,MATCH(_Búsqueda_Duración, _Datos _Headers,0))</f>
        <v>14</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4"/>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42970</v>
      </c>
      <c r="V69" s="32">
        <f t="shared" ca="1" si="4"/>
        <v>14</v>
      </c>
    </row>
    <row r="70" spans="1:22">
      <c r="A70" s="14"/>
      <c r="E70" s="116">
        <f t="shared" si="5"/>
        <v>14</v>
      </c>
      <c r="F70" s="838">
        <f ca="1">INDEX(_Datos 70:70,,MATCH(_Búsqueda_Fechas_Pago, _Datos _Headers,0))</f>
        <v>42984</v>
      </c>
      <c r="G70" s="828">
        <f ca="1">INDEX(_Datos 70:70,,MATCH(_Búsqueda_Duración, _Datos _Headers,0))</f>
        <v>14</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4"/>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42984</v>
      </c>
      <c r="V70" s="32">
        <f t="shared" ca="1" si="4"/>
        <v>14</v>
      </c>
    </row>
    <row r="71" spans="1:22">
      <c r="A71" s="14"/>
      <c r="E71" s="116">
        <f t="shared" si="5"/>
        <v>14</v>
      </c>
      <c r="F71" s="838">
        <f ca="1">INDEX(_Datos 71:71,,MATCH(_Búsqueda_Fechas_Pago, _Datos _Headers,0))</f>
        <v>42998</v>
      </c>
      <c r="G71" s="828">
        <f ca="1">INDEX(_Datos 71:71,,MATCH(_Búsqueda_Duración, _Datos _Headers,0))</f>
        <v>14</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4"/>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42998</v>
      </c>
      <c r="V71" s="32">
        <f t="shared" ca="1" si="4"/>
        <v>14</v>
      </c>
    </row>
    <row r="72" spans="1:22">
      <c r="A72" s="14"/>
      <c r="E72" s="116">
        <f t="shared" si="5"/>
        <v>14</v>
      </c>
      <c r="F72" s="838">
        <f ca="1">INDEX(_Datos 72:72,,MATCH(_Búsqueda_Fechas_Pago, _Datos _Headers,0))</f>
        <v>43012</v>
      </c>
      <c r="G72" s="828">
        <f ca="1">INDEX(_Datos 72:72,,MATCH(_Búsqueda_Duración, _Datos _Headers,0))</f>
        <v>14</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4"/>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43012</v>
      </c>
      <c r="V72" s="32">
        <f t="shared" ca="1" si="4"/>
        <v>14</v>
      </c>
    </row>
    <row r="73" spans="1:22">
      <c r="A73" s="14"/>
      <c r="E73" s="116">
        <f t="shared" si="5"/>
        <v>14</v>
      </c>
      <c r="F73" s="838">
        <f ca="1">INDEX(_Datos 73:73,,MATCH(_Búsqueda_Fechas_Pago, _Datos _Headers,0))</f>
        <v>43026</v>
      </c>
      <c r="G73" s="828">
        <f ca="1">INDEX(_Datos 73:73,,MATCH(_Búsqueda_Duración, _Datos _Headers,0))</f>
        <v>14</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4"/>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43026</v>
      </c>
      <c r="V73" s="32">
        <f t="shared" ca="1" si="4"/>
        <v>14</v>
      </c>
    </row>
    <row r="74" spans="1:22">
      <c r="A74" s="14"/>
      <c r="E74" s="116">
        <f t="shared" si="5"/>
        <v>14</v>
      </c>
      <c r="F74" s="838">
        <f ca="1">INDEX(_Datos 74:74,,MATCH(_Búsqueda_Fechas_Pago, _Datos _Headers,0))</f>
        <v>43040</v>
      </c>
      <c r="G74" s="828">
        <f ca="1">INDEX(_Datos 74:74,,MATCH(_Búsqueda_Duración, _Datos _Headers,0))</f>
        <v>14</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4"/>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43040</v>
      </c>
      <c r="V74" s="32">
        <f t="shared" ca="1" si="4"/>
        <v>14</v>
      </c>
    </row>
    <row r="75" spans="1:22">
      <c r="A75" s="14"/>
      <c r="E75" s="116">
        <f t="shared" si="5"/>
        <v>14</v>
      </c>
      <c r="F75" s="838">
        <f ca="1">INDEX(_Datos 75:75,,MATCH(_Búsqueda_Fechas_Pago, _Datos _Headers,0))</f>
        <v>43054</v>
      </c>
      <c r="G75" s="828">
        <f ca="1">INDEX(_Datos 75:75,,MATCH(_Búsqueda_Duración, _Datos _Headers,0))</f>
        <v>14</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4"/>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43054</v>
      </c>
      <c r="V75" s="32">
        <f t="shared" ca="1" si="4"/>
        <v>14</v>
      </c>
    </row>
    <row r="76" spans="1:22">
      <c r="A76" s="14"/>
      <c r="E76" s="116">
        <f t="shared" si="5"/>
        <v>14</v>
      </c>
      <c r="F76" s="838">
        <f ca="1">INDEX(_Datos 76:76,,MATCH(_Búsqueda_Fechas_Pago, _Datos _Headers,0))</f>
        <v>43068</v>
      </c>
      <c r="G76" s="828">
        <f ca="1">INDEX(_Datos 76:76,,MATCH(_Búsqueda_Duración, _Datos _Headers,0))</f>
        <v>14</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4"/>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43068</v>
      </c>
      <c r="V76" s="32">
        <f t="shared" ca="1" si="4"/>
        <v>14</v>
      </c>
    </row>
    <row r="77" spans="1:22">
      <c r="A77" s="14"/>
      <c r="E77" s="116">
        <f t="shared" si="5"/>
        <v>14</v>
      </c>
      <c r="F77" s="838">
        <f ca="1">INDEX(_Datos 77:77,,MATCH(_Búsqueda_Fechas_Pago, _Datos _Headers,0))</f>
        <v>43082</v>
      </c>
      <c r="G77" s="828">
        <f ca="1">INDEX(_Datos 77:77,,MATCH(_Búsqueda_Duración, _Datos _Headers,0))</f>
        <v>14</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4"/>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43082</v>
      </c>
      <c r="V77" s="32">
        <f t="shared" ca="1" si="4"/>
        <v>14</v>
      </c>
    </row>
    <row r="78" spans="1:22">
      <c r="A78" s="14"/>
      <c r="E78" s="116">
        <f t="shared" si="5"/>
        <v>14</v>
      </c>
      <c r="F78" s="838">
        <f ca="1">INDEX(_Datos 78:78,,MATCH(_Búsqueda_Fechas_Pago, _Datos _Headers,0))</f>
        <v>43096</v>
      </c>
      <c r="G78" s="828">
        <f ca="1">INDEX(_Datos 78:78,,MATCH(_Búsqueda_Duración, _Datos _Headers,0))</f>
        <v>14</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4"/>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43096</v>
      </c>
      <c r="V78" s="32">
        <f t="shared" ca="1" si="4"/>
        <v>14</v>
      </c>
    </row>
    <row r="79" spans="1:22">
      <c r="A79" s="14"/>
      <c r="E79" s="116">
        <f t="shared" si="5"/>
        <v>14</v>
      </c>
      <c r="F79" s="838">
        <f ca="1">INDEX(_Datos 79:79,,MATCH(_Búsqueda_Fechas_Pago, _Datos _Headers,0))</f>
        <v>43110</v>
      </c>
      <c r="G79" s="828">
        <f ca="1">INDEX(_Datos 79:79,,MATCH(_Búsqueda_Duración, _Datos _Headers,0))</f>
        <v>14</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4"/>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43110</v>
      </c>
      <c r="V79" s="32">
        <f t="shared" ca="1" si="4"/>
        <v>14</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14</v>
      </c>
    </row>
    <row r="9" spans="1:11">
      <c r="A9" s="313" t="s">
        <v>44</v>
      </c>
      <c r="B9" s="840">
        <f>FREC.DiasPorPeriodo</f>
        <v>14</v>
      </c>
      <c r="D9" s="701"/>
      <c r="E9" s="701"/>
      <c r="F9" s="701"/>
      <c r="G9" s="313" t="s">
        <v>44</v>
      </c>
      <c r="H9" s="840">
        <f>FREC.DiasPorPeriodo</f>
        <v>14</v>
      </c>
      <c r="J9" s="313" t="s">
        <v>45</v>
      </c>
      <c r="K9" s="77">
        <f ca="1">PeriodosPorAño</f>
        <v>26</v>
      </c>
    </row>
    <row r="10" spans="1:11">
      <c r="A10" s="313" t="s">
        <v>1731</v>
      </c>
      <c r="B10" s="77">
        <f ca="1">PeriodosPorAño</f>
        <v>26</v>
      </c>
      <c r="D10" s="701"/>
      <c r="E10" s="701"/>
      <c r="F10" s="701"/>
      <c r="G10" s="313" t="s">
        <v>1731</v>
      </c>
      <c r="H10" s="77">
        <f ca="1">PeriodosPorAño</f>
        <v>26</v>
      </c>
      <c r="J10" s="313" t="s">
        <v>46</v>
      </c>
      <c r="K10" s="77">
        <f ca="1">NumeroDePagos</f>
        <v>52</v>
      </c>
    </row>
    <row r="11" spans="1:11">
      <c r="A11" s="313" t="s">
        <v>1728</v>
      </c>
      <c r="B11" s="77">
        <f ca="1">NumeroDePagos</f>
        <v>52</v>
      </c>
      <c r="D11" s="701"/>
      <c r="E11" s="701"/>
      <c r="F11" s="701"/>
      <c r="G11" s="313" t="s">
        <v>1728</v>
      </c>
      <c r="H11" s="77">
        <f ca="1">NumeroDePagos</f>
        <v>52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14</v>
      </c>
      <c r="D28" s="35" t="s">
        <v>44</v>
      </c>
      <c r="E28" s="840">
        <f>FREC.DiasPorPeriodo</f>
        <v>14</v>
      </c>
      <c r="G28" s="35" t="s">
        <v>44</v>
      </c>
      <c r="H28" s="840">
        <f>FREC.DiasPorPeriodo</f>
        <v>14</v>
      </c>
      <c r="J28" s="35" t="s">
        <v>2508</v>
      </c>
      <c r="K28" s="77">
        <f ca="1">PeriodosPorAño</f>
        <v>26</v>
      </c>
    </row>
    <row r="29" spans="1:11">
      <c r="A29" s="35" t="s">
        <v>1731</v>
      </c>
      <c r="B29" s="77">
        <f ca="1">PeriodosPorAño</f>
        <v>26</v>
      </c>
      <c r="D29" s="35" t="s">
        <v>1731</v>
      </c>
      <c r="E29" s="77">
        <f ca="1">PeriodosPorAño</f>
        <v>26</v>
      </c>
      <c r="G29" s="35" t="s">
        <v>1731</v>
      </c>
      <c r="H29" s="77">
        <f ca="1">PeriodosPorAño</f>
        <v>26</v>
      </c>
      <c r="J29" s="39" t="s">
        <v>2509</v>
      </c>
      <c r="K29" s="78">
        <f ca="1">NumeroDePagos</f>
        <v>52</v>
      </c>
    </row>
    <row r="30" spans="1:11">
      <c r="A30" s="35" t="s">
        <v>1728</v>
      </c>
      <c r="B30" s="77">
        <f ca="1">NumeroDePagos</f>
        <v>52</v>
      </c>
      <c r="D30" s="35" t="s">
        <v>1728</v>
      </c>
      <c r="E30" s="77">
        <f ca="1">NumeroDePagos</f>
        <v>52</v>
      </c>
      <c r="G30" s="35" t="s">
        <v>1728</v>
      </c>
      <c r="H30" s="77">
        <f ca="1">NumeroDePagos</f>
        <v>52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59" t="s">
        <v>1700</v>
      </c>
      <c r="Y14" s="960"/>
      <c r="Z14" s="961"/>
      <c r="AB14" s="317" t="s">
        <v>145</v>
      </c>
      <c r="AC14" s="318"/>
      <c r="AD14" s="956" t="s">
        <v>146</v>
      </c>
      <c r="AE14" s="956"/>
      <c r="AF14" s="318"/>
      <c r="AG14" s="956" t="s">
        <v>147</v>
      </c>
      <c r="AH14" s="956"/>
      <c r="AI14" s="318"/>
      <c r="AJ14" s="956" t="s">
        <v>148</v>
      </c>
      <c r="AK14" s="957"/>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14</v>
      </c>
      <c r="D17" s="117"/>
      <c r="E17" s="289" t="s">
        <v>41</v>
      </c>
      <c r="F17" s="320">
        <f ca="1">Tasa.Interes/Periodos.Por.Año</f>
        <v>4.9615384615384617E-3</v>
      </c>
    </row>
    <row r="18" spans="2:41">
      <c r="B18" s="321" t="s">
        <v>45</v>
      </c>
      <c r="C18" s="291">
        <f ca="1">'Configuración de Tablas'!K9</f>
        <v>26</v>
      </c>
      <c r="D18" s="117"/>
      <c r="E18" s="289" t="s">
        <v>37</v>
      </c>
      <c r="F18" s="320">
        <f ca="1">Tasa.Interes/Dias.En.Año</f>
        <v>3.5833333333333333E-4</v>
      </c>
      <c r="J18" s="44" t="s">
        <v>1710</v>
      </c>
      <c r="M18" s="86">
        <f ca="1">SUM(_Capital)</f>
        <v>140999.99999999997</v>
      </c>
      <c r="N18" s="86"/>
      <c r="O18" s="86"/>
      <c r="P18" s="86">
        <f ca="1">SUM(_Interes)</f>
        <v>19608.045600168894</v>
      </c>
      <c r="Q18" s="86">
        <f ca="1">SUM(_IVA)</f>
        <v>2352.9654720202675</v>
      </c>
      <c r="S18" s="86">
        <f>SUM(_Abono_Anticipado)</f>
        <v>0</v>
      </c>
      <c r="AD18" s="958" t="s">
        <v>153</v>
      </c>
      <c r="AE18" s="958"/>
      <c r="AJ18" s="111" t="s">
        <v>173</v>
      </c>
      <c r="AN18" s="256" t="s">
        <v>81</v>
      </c>
    </row>
    <row r="19" spans="2:41">
      <c r="B19" s="321" t="s">
        <v>46</v>
      </c>
      <c r="C19" s="291">
        <f ca="1">'Configuración de Tablas'!K10</f>
        <v>52</v>
      </c>
      <c r="D19" s="117"/>
      <c r="E19" s="322" t="s">
        <v>47</v>
      </c>
      <c r="F19" s="323">
        <f ca="1" xml:space="preserve"> Tasa.Diaria * Dias.Por.Periodo</f>
        <v>5.0166666666666667E-3</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2346.0914252721923</v>
      </c>
      <c r="N20" s="96">
        <f ca="1" xml:space="preserve"> _Saldo_Inicial * Tasa.Diaria</f>
        <v>50.524999999999999</v>
      </c>
      <c r="O20" s="97">
        <f ca="1">T_AutoYSeguroMulti!_Dias_Interes_Periodo</f>
        <v>14</v>
      </c>
      <c r="P20" s="97">
        <f ca="1" xml:space="preserve"> _Interes_Diario * _Dias_Interes_Periodo</f>
        <v>707.35</v>
      </c>
      <c r="Q20" s="97">
        <f ca="1" xml:space="preserve"> _Interes * Iva.Intereses</f>
        <v>84.882000000000005</v>
      </c>
      <c r="R20" s="97">
        <f ca="1">IF(TablaCliente!A20="","",IF(T_Merger!L20=0,0,ROUND(+T_Merger!M20+T_Merger!S20+T_Merger!P20+T_Merger!Q20,2)))</f>
        <v>3138.32</v>
      </c>
      <c r="S20" s="310">
        <f>TablaCliente!_CapturaAbonoAnticipadoTablaCliente</f>
        <v>0</v>
      </c>
      <c r="T20" s="97">
        <f ca="1">MAX( _Saldo_Inicial-_Capital-_Abono_Anticipado, 0)</f>
        <v>138653.9085747278</v>
      </c>
      <c r="V20" t="b">
        <v>1</v>
      </c>
      <c r="W20" s="116"/>
      <c r="X20" s="97">
        <f ca="1" xml:space="preserve"> T_AutoYSeguroMulti!Pago.Fijo + T_SeguroAnual!_Pago_Fijo</f>
        <v>3138.3234252721923</v>
      </c>
      <c r="Y20" s="97">
        <f ca="1" xml:space="preserve"> T_AutoYSeguroMulti!_Capital + T_SeguroAnual!_Capital</f>
        <v>2346.0914252721923</v>
      </c>
      <c r="Z20" s="97">
        <f t="shared" ref="Z20:Z51" ca="1" si="0">_Pago_Fijo - (_Interes_Diario * Dias.Por.Periodo * (1+Iva.Intereses))</f>
        <v>2346.0914252721923</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138653.9085747278</v>
      </c>
      <c r="M21" s="96">
        <f ca="1">MIN( CHOOSE(Opcion.Abono, _Capital_Opcion_1, _Capital_Opcion_2, _Capital_Opcion_3) _Actual, _Saldo_Inicial _Actual)</f>
        <v>2359.2733309603218</v>
      </c>
      <c r="N21" s="96">
        <f t="shared" ref="N21:N51" ca="1" si="1" xml:space="preserve"> _Saldo_Inicial * Tasa.Diaria</f>
        <v>49.684317239277462</v>
      </c>
      <c r="O21" s="97">
        <f ca="1">T_AutoYSeguroMulti!_Dias_Interes_Periodo</f>
        <v>14</v>
      </c>
      <c r="P21" s="97">
        <f t="shared" ref="P21:P51" ca="1" si="2" xml:space="preserve"> _Interes_Diario * _Dias_Interes_Periodo</f>
        <v>695.5804413498845</v>
      </c>
      <c r="Q21" s="97">
        <f t="shared" ref="Q21:Q51" ca="1" si="3" xml:space="preserve"> _Interes * Iva.Intereses</f>
        <v>83.469652961986142</v>
      </c>
      <c r="R21" s="97">
        <f ca="1">IF(TablaCliente!A21="","",IF(T_Merger!L21=0,0,ROUND(+T_Merger!M21+T_Merger!S21+T_Merger!P21+T_Merger!Q21,2)))</f>
        <v>3138.32</v>
      </c>
      <c r="S21" s="310">
        <f>TablaCliente!_CapturaAbonoAnticipadoTablaCliente</f>
        <v>0</v>
      </c>
      <c r="T21" s="97">
        <f t="shared" ref="T21:T51" ca="1" si="4">MAX( _Saldo_Inicial-_Capital-_Abono_Anticipado, 0)</f>
        <v>136294.63524376746</v>
      </c>
      <c r="V21" t="b">
        <f ca="1">_Saldo_Final _Anterior &gt; 0</f>
        <v>1</v>
      </c>
      <c r="W21" s="116"/>
      <c r="X21" s="97">
        <f ca="1" xml:space="preserve"> T_AutoYSeguroMulti!Pago.Fijo + T_SeguroAnual!_Pago_Fijo</f>
        <v>3138.3234252721923</v>
      </c>
      <c r="Y21" s="97">
        <f ca="1" xml:space="preserve"> T_AutoYSeguroMulti!_Capital + T_SeguroAnual!_Capital</f>
        <v>2359.2733309603218</v>
      </c>
      <c r="Z21" s="97">
        <f t="shared" ca="1" si="0"/>
        <v>2359.2733309603218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136294.63524376746</v>
      </c>
      <c r="M22" s="96">
        <f ca="1">MIN( CHOOSE(Opcion.Abono, _Capital_Opcion_1, _Capital_Opcion_2, _Capital_Opcion_3) _Actual, _Saldo_Inicial _Actual)</f>
        <v>2372.529301382544</v>
      </c>
      <c r="N22" s="96">
        <f t="shared" ca="1" si="1"/>
        <v>48.838910962350006</v>
      </c>
      <c r="O22" s="97">
        <f ca="1">T_AutoYSeguroMulti!_Dias_Interes_Periodo</f>
        <v>14</v>
      </c>
      <c r="P22" s="97">
        <f t="shared" ca="1" si="2"/>
        <v>683.74475347290013</v>
      </c>
      <c r="Q22" s="97">
        <f t="shared" ca="1" si="3"/>
        <v>82.049370416748019</v>
      </c>
      <c r="R22" s="97">
        <f ca="1">IF(TablaCliente!A22="","",IF(T_Merger!L22=0,0,ROUND(+T_Merger!M22+T_Merger!S22+T_Merger!P22+T_Merger!Q22,2)))</f>
        <v>3138.32</v>
      </c>
      <c r="S22" s="310">
        <f>TablaCliente!_CapturaAbonoAnticipadoTablaCliente</f>
        <v>0</v>
      </c>
      <c r="T22" s="97">
        <f t="shared" ca="1" si="4"/>
        <v>133922.10594238492</v>
      </c>
      <c r="V22" t="b">
        <f ca="1">_Saldo_Final _Anterior &gt; 0</f>
        <v>1</v>
      </c>
      <c r="W22" s="116"/>
      <c r="X22" s="97">
        <f ca="1" xml:space="preserve"> T_AutoYSeguroMulti!Pago.Fijo + T_SeguroAnual!_Pago_Fijo</f>
        <v>3138.3234252721923</v>
      </c>
      <c r="Y22" s="97">
        <f ca="1" xml:space="preserve"> T_AutoYSeguroMulti!_Capital + T_SeguroAnual!_Capital</f>
        <v>2372.529301382544</v>
      </c>
      <c r="Z22" s="97">
        <f t="shared" ca="1" si="0"/>
        <v>2372.529301382544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133922.10594238492</v>
      </c>
      <c r="M23" s="96">
        <f ca="1">MIN( CHOOSE(Opcion.Abono, _Capital_Opcion_1, _Capital_Opcion_2, _Capital_Opcion_3) _Actual, _Saldo_Inicial _Actual)</f>
        <v>2385.8597526839121</v>
      </c>
      <c r="N23" s="96">
        <f t="shared" ca="1" si="1"/>
        <v>47.988754629354595</v>
      </c>
      <c r="O23" s="97">
        <f ca="1">T_AutoYSeguroMulti!_Dias_Interes_Periodo</f>
        <v>14</v>
      </c>
      <c r="P23" s="97">
        <f t="shared" ca="1" si="2"/>
        <v>671.84256481096429</v>
      </c>
      <c r="Q23" s="97">
        <f t="shared" ca="1" si="3"/>
        <v>80.621107777315714</v>
      </c>
      <c r="R23" s="97">
        <f ca="1">IF(TablaCliente!A23="","",IF(T_Merger!L23=0,0,ROUND(+T_Merger!M23+T_Merger!S23+T_Merger!P23+T_Merger!Q23,2)))</f>
        <v>3138.32</v>
      </c>
      <c r="S23" s="310">
        <f>TablaCliente!_CapturaAbonoAnticipadoTablaCliente</f>
        <v>0</v>
      </c>
      <c r="T23" s="97">
        <f t="shared" ca="1" si="4"/>
        <v>131536.24618970102</v>
      </c>
      <c r="V23" t="b">
        <f ca="1">_Saldo_Final _Anterior &gt; 0</f>
        <v>1</v>
      </c>
      <c r="W23" s="116"/>
      <c r="X23" s="97">
        <f ca="1" xml:space="preserve"> T_AutoYSeguroMulti!Pago.Fijo + T_SeguroAnual!_Pago_Fijo</f>
        <v>3138.3234252721923</v>
      </c>
      <c r="Y23" s="97">
        <f ca="1" xml:space="preserve"> T_AutoYSeguroMulti!_Capital + T_SeguroAnual!_Capital</f>
        <v>2385.8597526839121</v>
      </c>
      <c r="Z23" s="97">
        <f t="shared" ca="1" si="0"/>
        <v>2385.8597526839121</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131536.24618970102</v>
      </c>
      <c r="M24" s="96">
        <f ca="1">MIN( CHOOSE(Opcion.Abono, _Capital_Opcion_1, _Capital_Opcion_2, _Capital_Opcion_3) _Actual, _Saldo_Inicial _Actual)</f>
        <v>2399.2651033476586</v>
      </c>
      <c r="N24" s="96">
        <f t="shared" ca="1" si="1"/>
        <v>47.133821551309531</v>
      </c>
      <c r="O24" s="97">
        <f ca="1">T_AutoYSeguroMulti!_Dias_Interes_Periodo</f>
        <v>14</v>
      </c>
      <c r="P24" s="97">
        <f t="shared" ca="1" si="2"/>
        <v>659.87350171833339</v>
      </c>
      <c r="Q24" s="97">
        <f t="shared" ca="1" si="3"/>
        <v>79.184820206200001</v>
      </c>
      <c r="R24" s="97">
        <f ca="1">IF(TablaCliente!A24="","",IF(T_Merger!L24=0,0,ROUND(+T_Merger!M24+T_Merger!S24+T_Merger!P24+T_Merger!Q24,2)))</f>
        <v>3138.32</v>
      </c>
      <c r="S24" s="310">
        <f>TablaCliente!_CapturaAbonoAnticipadoTablaCliente</f>
        <v>0</v>
      </c>
      <c r="T24" s="97">
        <f t="shared" ca="1" si="4"/>
        <v>129136.98108635336</v>
      </c>
      <c r="V24" t="b">
        <f ca="1">_Saldo_Final _Anterior &gt; 0</f>
        <v>1</v>
      </c>
      <c r="W24" s="116"/>
      <c r="X24" s="97">
        <f ca="1" xml:space="preserve"> T_AutoYSeguroMulti!Pago.Fijo + T_SeguroAnual!_Pago_Fijo</f>
        <v>3138.3234252721923</v>
      </c>
      <c r="Y24" s="97">
        <f ca="1" xml:space="preserve"> T_AutoYSeguroMulti!_Capital + T_SeguroAnual!_Capital</f>
        <v>2399.2651033476586</v>
      </c>
      <c r="Z24" s="97">
        <f t="shared" ca="1" si="0"/>
        <v>2399.2651033476586</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129136.98108635336</v>
      </c>
      <c r="M25" s="96">
        <f ca="1">MIN( CHOOSE(Opcion.Abono, _Capital_Opcion_1, _Capital_Opcion_2, _Capital_Opcion_3) _Actual, _Saldo_Inicial _Actual)</f>
        <v>2412.7457742083348</v>
      </c>
      <c r="N25" s="96">
        <f t="shared" ca="1" si="1"/>
        <v>46.274084889276622</v>
      </c>
      <c r="O25" s="97">
        <f ca="1">T_AutoYSeguroMulti!_Dias_Interes_Periodo</f>
        <v>14</v>
      </c>
      <c r="P25" s="97">
        <f t="shared" ca="1" si="2"/>
        <v>647.83718844987266</v>
      </c>
      <c r="Q25" s="97">
        <f t="shared" ca="1" si="3"/>
        <v>77.740462613984718</v>
      </c>
      <c r="R25" s="97">
        <f ca="1">IF(TablaCliente!A25="","",IF(T_Merger!L25=0,0,ROUND(+T_Merger!M25+T_Merger!S25+T_Merger!P25+T_Merger!Q25,2)))</f>
        <v>3138.32</v>
      </c>
      <c r="S25" s="310">
        <f>TablaCliente!_CapturaAbonoAnticipadoTablaCliente</f>
        <v>0</v>
      </c>
      <c r="T25" s="97">
        <f t="shared" ca="1" si="4"/>
        <v>126724.23531214503</v>
      </c>
      <c r="V25" t="b">
        <f ca="1">_Saldo_Final _Anterior &gt; 0</f>
        <v>1</v>
      </c>
      <c r="W25" s="116"/>
      <c r="X25" s="97">
        <f ca="1" xml:space="preserve"> T_AutoYSeguroMulti!Pago.Fijo + T_SeguroAnual!_Pago_Fijo</f>
        <v>3138.3234252721923</v>
      </c>
      <c r="Y25" s="97">
        <f ca="1" xml:space="preserve"> T_AutoYSeguroMulti!_Capital + T_SeguroAnual!_Capital</f>
        <v>2412.7457742083348</v>
      </c>
      <c r="Z25" s="97">
        <f t="shared" ca="1" si="0"/>
        <v>2412.7457742083348</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126724.23531214503</v>
      </c>
      <c r="M26" s="96">
        <f ca="1">MIN( CHOOSE(Opcion.Abono, _Capital_Opcion_1, _Capital_Opcion_2, _Capital_Opcion_3) _Actual, _Saldo_Inicial _Actual)</f>
        <v>2426.3021884650198</v>
      </c>
      <c r="N26" s="96">
        <f t="shared" ca="1" si="1"/>
        <v>45.409517653518634</v>
      </c>
      <c r="O26" s="97">
        <f ca="1">T_AutoYSeguroMulti!_Dias_Interes_Periodo</f>
        <v>14</v>
      </c>
      <c r="P26" s="97">
        <f t="shared" ca="1" si="2"/>
        <v>635.73324714926093</v>
      </c>
      <c r="Q26" s="97">
        <f t="shared" ca="1" si="3"/>
        <v>76.287989657911311</v>
      </c>
      <c r="R26" s="97">
        <f ca="1">IF(TablaCliente!A26="","",IF(T_Merger!L26=0,0,ROUND(+T_Merger!M26+T_Merger!S26+T_Merger!P26+T_Merger!Q26,2)))</f>
        <v>3138.32</v>
      </c>
      <c r="S26" s="310">
        <f>TablaCliente!_CapturaAbonoAnticipadoTablaCliente</f>
        <v>0</v>
      </c>
      <c r="T26" s="97">
        <f t="shared" ca="1" si="4"/>
        <v>124297.93312368001</v>
      </c>
      <c r="V26" t="b">
        <f ca="1">_Saldo_Final _Anterior &gt; 0</f>
        <v>1</v>
      </c>
      <c r="W26" s="116"/>
      <c r="X26" s="97">
        <f ca="1" xml:space="preserve"> T_AutoYSeguroMulti!Pago.Fijo + T_SeguroAnual!_Pago_Fijo</f>
        <v>3138.3234252721923</v>
      </c>
      <c r="Y26" s="97">
        <f ca="1" xml:space="preserve"> T_AutoYSeguroMulti!_Capital + T_SeguroAnual!_Capital</f>
        <v>2426.3021884650198</v>
      </c>
      <c r="Z26" s="97">
        <f t="shared" ca="1" si="0"/>
        <v>2426.3021884650198</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124297.93312368001</v>
      </c>
      <c r="M27" s="96">
        <f ca="1">MIN( CHOOSE(Opcion.Abono, _Capital_Opcion_1, _Capital_Opcion_2, _Capital_Opcion_3) _Actual, _Saldo_Inicial _Actual)</f>
        <v>2439.9347716946086</v>
      </c>
      <c r="N27" s="96">
        <f t="shared" ca="1" si="1"/>
        <v>44.540092702652004</v>
      </c>
      <c r="O27" s="97">
        <f ca="1">T_AutoYSeguroMulti!_Dias_Interes_Periodo</f>
        <v>14</v>
      </c>
      <c r="P27" s="97">
        <f t="shared" ca="1" si="2"/>
        <v>623.561297837128</v>
      </c>
      <c r="Q27" s="97">
        <f t="shared" ca="1" si="3"/>
        <v>74.82735574045536</v>
      </c>
      <c r="R27" s="97">
        <f ca="1">IF(TablaCliente!A27="","",IF(T_Merger!L27=0,0,ROUND(+T_Merger!M27+T_Merger!S27+T_Merger!P27+T_Merger!Q27,2)))</f>
        <v>3138.32</v>
      </c>
      <c r="S27" s="310">
        <f>TablaCliente!_CapturaAbonoAnticipadoTablaCliente</f>
        <v>0</v>
      </c>
      <c r="T27" s="97">
        <f t="shared" ca="1" si="4"/>
        <v>121857.9983519854</v>
      </c>
      <c r="V27" t="b">
        <f ca="1">_Saldo_Final _Anterior &gt; 0</f>
        <v>1</v>
      </c>
      <c r="W27" s="116"/>
      <c r="X27" s="97">
        <f ca="1" xml:space="preserve"> T_AutoYSeguroMulti!Pago.Fijo + T_SeguroAnual!_Pago_Fijo</f>
        <v>3138.3234252721923</v>
      </c>
      <c r="Y27" s="97">
        <f ca="1" xml:space="preserve"> T_AutoYSeguroMulti!_Capital + T_SeguroAnual!_Capital</f>
        <v>2439.9347716946086</v>
      </c>
      <c r="Z27" s="97">
        <f t="shared" ca="1" si="0"/>
        <v>2439.9347716946086</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121857.9983519854</v>
      </c>
      <c r="M28" s="96">
        <f ca="1">MIN( CHOOSE(Opcion.Abono, _Capital_Opcion_1, _Capital_Opcion_2, _Capital_Opcion_3) _Actual, _Saldo_Inicial _Actual)</f>
        <v>2453.6439518651705</v>
      </c>
      <c r="N28" s="96">
        <f t="shared" ca="1" si="1"/>
        <v>43.665782742794768</v>
      </c>
      <c r="O28" s="97">
        <f ca="1">T_AutoYSeguroMulti!_Dias_Interes_Periodo</f>
        <v>14</v>
      </c>
      <c r="P28" s="97">
        <f t="shared" ca="1" si="2"/>
        <v>611.32095839912677</v>
      </c>
      <c r="Q28" s="97">
        <f t="shared" ca="1" si="3"/>
        <v>73.358515007895207</v>
      </c>
      <c r="R28" s="97">
        <f ca="1">IF(TablaCliente!A28="","",IF(T_Merger!L28=0,0,ROUND(+T_Merger!M28+T_Merger!S28+T_Merger!P28+T_Merger!Q28,2)))</f>
        <v>3138.32</v>
      </c>
      <c r="S28" s="310">
        <f>TablaCliente!_CapturaAbonoAnticipadoTablaCliente</f>
        <v>0</v>
      </c>
      <c r="T28" s="97">
        <f t="shared" ca="1" si="4"/>
        <v>119404.35440012022</v>
      </c>
      <c r="V28" t="b">
        <f ca="1">_Saldo_Final _Anterior &gt; 0</f>
        <v>1</v>
      </c>
      <c r="W28" s="116"/>
      <c r="X28" s="97">
        <f ca="1" xml:space="preserve"> T_AutoYSeguroMulti!Pago.Fijo + T_SeguroAnual!_Pago_Fijo</f>
        <v>3138.3234252721923</v>
      </c>
      <c r="Y28" s="97">
        <f ca="1" xml:space="preserve"> T_AutoYSeguroMulti!_Capital + T_SeguroAnual!_Capital</f>
        <v>2453.6439518651705</v>
      </c>
      <c r="Z28" s="97">
        <f t="shared" ca="1" si="0"/>
        <v>2453.6439518651705</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119404.35440012022</v>
      </c>
      <c r="M29" s="96">
        <f ca="1">MIN( CHOOSE(Opcion.Abono, _Capital_Opcion_1, _Capital_Opcion_2, _Capital_Opcion_3) _Actual, _Saldo_Inicial _Actual)</f>
        <v>2467.4301593493833</v>
      </c>
      <c r="N29" s="96">
        <f t="shared" ca="1" si="1"/>
        <v>42.786560326709747</v>
      </c>
      <c r="O29" s="97">
        <f ca="1">T_AutoYSeguroMulti!_Dias_Interes_Periodo</f>
        <v>14</v>
      </c>
      <c r="P29" s="97">
        <f t="shared" ca="1" si="2"/>
        <v>599.01184457393651</v>
      </c>
      <c r="Q29" s="97">
        <f t="shared" ca="1" si="3"/>
        <v>71.881421348872379</v>
      </c>
      <c r="R29" s="97">
        <f ca="1">IF(TablaCliente!A29="","",IF(T_Merger!L29=0,0,ROUND(+T_Merger!M29+T_Merger!S29+T_Merger!P29+T_Merger!Q29,2)))</f>
        <v>3138.32</v>
      </c>
      <c r="S29" s="310">
        <f>TablaCliente!_CapturaAbonoAnticipadoTablaCliente</f>
        <v>0</v>
      </c>
      <c r="T29" s="97">
        <f t="shared" ca="1" si="4"/>
        <v>116936.92424077084</v>
      </c>
      <c r="V29" t="b">
        <f ca="1">_Saldo_Final _Anterior &gt; 0</f>
        <v>1</v>
      </c>
      <c r="W29" s="116"/>
      <c r="X29" s="97">
        <f ca="1" xml:space="preserve"> T_AutoYSeguroMulti!Pago.Fijo + T_SeguroAnual!_Pago_Fijo</f>
        <v>3138.3234252721923</v>
      </c>
      <c r="Y29" s="97">
        <f ca="1" xml:space="preserve"> T_AutoYSeguroMulti!_Capital + T_SeguroAnual!_Capital</f>
        <v>2467.4301593493833</v>
      </c>
      <c r="Z29" s="97">
        <f t="shared" ca="1" si="0"/>
        <v>2467.4301593493833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52</v>
      </c>
      <c r="J30" s="14">
        <v>11</v>
      </c>
      <c r="L30" s="20">
        <f ca="1" xml:space="preserve"> ( _Saldo_Final _Anterior + T_SeguroAnual!_Saldo_Ciclico ) * ( _Stopper_Saldo_Inicial )</f>
        <v>116936.92424077084</v>
      </c>
      <c r="M30" s="96">
        <f ca="1">MIN( CHOOSE(Opcion.Abono, _Capital_Opcion_1, _Capital_Opcion_2, _Capital_Opcion_3) _Actual, _Saldo_Inicial _Actual)</f>
        <v>2481.2938269380479</v>
      </c>
      <c r="N30" s="96">
        <f t="shared" ca="1" si="1"/>
        <v>41.902397852942883</v>
      </c>
      <c r="O30" s="97">
        <f ca="1">T_AutoYSeguroMulti!_Dias_Interes_Periodo</f>
        <v>14</v>
      </c>
      <c r="P30" s="97">
        <f t="shared" ca="1" si="2"/>
        <v>586.63356994120034</v>
      </c>
      <c r="Q30" s="97">
        <f t="shared" ca="1" si="3"/>
        <v>70.396028392944032</v>
      </c>
      <c r="R30" s="97">
        <f ca="1">IF(TablaCliente!A30="","",IF(T_Merger!L30=0,0,ROUND(+T_Merger!M30+T_Merger!S30+T_Merger!P30+T_Merger!Q30,2)))</f>
        <v>3138.32</v>
      </c>
      <c r="S30" s="310">
        <f>TablaCliente!_CapturaAbonoAnticipadoTablaCliente</f>
        <v>0</v>
      </c>
      <c r="T30" s="97">
        <f t="shared" ca="1" si="4"/>
        <v>114455.63041383278</v>
      </c>
      <c r="V30" t="b">
        <f ca="1">_Saldo_Final _Anterior &gt; 0</f>
        <v>1</v>
      </c>
      <c r="W30" s="116"/>
      <c r="X30" s="97">
        <f ca="1" xml:space="preserve"> T_AutoYSeguroMulti!Pago.Fijo + T_SeguroAnual!_Pago_Fijo</f>
        <v>3138.3234252721923</v>
      </c>
      <c r="Y30" s="97">
        <f ca="1" xml:space="preserve"> T_AutoYSeguroMulti!_Capital + T_SeguroAnual!_Capital</f>
        <v>2481.2938269380479</v>
      </c>
      <c r="Z30" s="97">
        <f t="shared" ca="1" si="0"/>
        <v>2481.2938269380479</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114455.63041383278</v>
      </c>
      <c r="M31" s="96">
        <f ca="1">MIN( CHOOSE(Opcion.Abono, _Capital_Opcion_1, _Capital_Opcion_2, _Capital_Opcion_3) _Actual, _Saldo_Inicial _Actual)</f>
        <v>2495.2353898536703</v>
      </c>
      <c r="N31" s="96">
        <f t="shared" ca="1" si="1"/>
        <v>41.013267564956749</v>
      </c>
      <c r="O31" s="97">
        <f ca="1">T_AutoYSeguroMulti!_Dias_Interes_Periodo</f>
        <v>14</v>
      </c>
      <c r="P31" s="97">
        <f t="shared" ca="1" si="2"/>
        <v>574.18574590939443</v>
      </c>
      <c r="Q31" s="97">
        <f t="shared" ca="1" si="3"/>
        <v>68.902289509127328</v>
      </c>
      <c r="R31" s="97">
        <f ca="1">IF(TablaCliente!A31="","",IF(T_Merger!L31=0,0,ROUND(+T_Merger!M31+T_Merger!S31+T_Merger!P31+T_Merger!Q31,2)))</f>
        <v>3138.32</v>
      </c>
      <c r="S31" s="310">
        <f>TablaCliente!_CapturaAbonoAnticipadoTablaCliente</f>
        <v>0</v>
      </c>
      <c r="T31" s="97">
        <f t="shared" ca="1" si="4"/>
        <v>111960.39502397912</v>
      </c>
      <c r="V31" t="b">
        <f ca="1">_Saldo_Final _Anterior &gt; 0</f>
        <v>1</v>
      </c>
      <c r="W31" s="116"/>
      <c r="X31" s="97">
        <f ca="1" xml:space="preserve"> T_AutoYSeguroMulti!Pago.Fijo + T_SeguroAnual!_Pago_Fijo</f>
        <v>3138.3234252721923</v>
      </c>
      <c r="Y31" s="97">
        <f ca="1" xml:space="preserve"> T_AutoYSeguroMulti!_Capital + T_SeguroAnual!_Capital</f>
        <v>2495.2353898536703</v>
      </c>
      <c r="Z31" s="97">
        <f t="shared" ca="1" si="0"/>
        <v>2495.2353898536703</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111960.39502397912</v>
      </c>
      <c r="M32" s="96">
        <f ca="1">MIN( CHOOSE(Opcion.Abono, _Capital_Opcion_1, _Capital_Opcion_2, _Capital_Opcion_3) _Actual, _Saldo_Inicial _Actual)</f>
        <v>2509.2552857641281</v>
      </c>
      <c r="N32" s="96">
        <f t="shared" ca="1" si="1"/>
        <v>40.119141550259187</v>
      </c>
      <c r="O32" s="97">
        <f ca="1">T_AutoYSeguroMulti!_Dias_Interes_Periodo</f>
        <v>14</v>
      </c>
      <c r="P32" s="97">
        <f t="shared" ca="1" si="2"/>
        <v>561.66798170362858</v>
      </c>
      <c r="Q32" s="97">
        <f t="shared" ca="1" si="3"/>
        <v>67.400157804435423</v>
      </c>
      <c r="R32" s="97">
        <f ca="1">IF(TablaCliente!A32="","",IF(T_Merger!L32=0,0,ROUND(+T_Merger!M32+T_Merger!S32+T_Merger!P32+T_Merger!Q32,2)))</f>
        <v>3138.32</v>
      </c>
      <c r="S32" s="310">
        <f>TablaCliente!_CapturaAbonoAnticipadoTablaCliente</f>
        <v>0</v>
      </c>
      <c r="T32" s="97">
        <f t="shared" ca="1" si="4"/>
        <v>109451.13973821499</v>
      </c>
      <c r="V32" t="b">
        <f ca="1">_Saldo_Final _Anterior &gt; 0</f>
        <v>1</v>
      </c>
      <c r="W32" s="116"/>
      <c r="X32" s="97">
        <f ca="1" xml:space="preserve"> T_AutoYSeguroMulti!Pago.Fijo + T_SeguroAnual!_Pago_Fijo</f>
        <v>3138.3234252721923</v>
      </c>
      <c r="Y32" s="97">
        <f ca="1" xml:space="preserve"> T_AutoYSeguroMulti!_Capital + T_SeguroAnual!_Capital</f>
        <v>2509.2552857641281</v>
      </c>
      <c r="Z32" s="97">
        <f t="shared" ca="1" si="0"/>
        <v>2509.2552857641281</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109451.13973821499</v>
      </c>
      <c r="M33" s="96">
        <f ca="1">MIN( CHOOSE(Opcion.Abono, _Capital_Opcion_1, _Capital_Opcion_2, _Capital_Opcion_3) _Actual, _Saldo_Inicial _Actual)</f>
        <v>2523.3539547964083</v>
      </c>
      <c r="N33" s="96">
        <f t="shared" ca="1" si="1"/>
        <v>39.219991739527039</v>
      </c>
      <c r="O33" s="97">
        <f ca="1">T_AutoYSeguroMulti!_Dias_Interes_Periodo</f>
        <v>14</v>
      </c>
      <c r="P33" s="97">
        <f t="shared" ca="1" si="2"/>
        <v>549.07988435337859</v>
      </c>
      <c r="Q33" s="97">
        <f t="shared" ca="1" si="3"/>
        <v>65.889586122405433</v>
      </c>
      <c r="R33" s="97">
        <f ca="1">IF(TablaCliente!A33="","",IF(T_Merger!L33=0,0,ROUND(+T_Merger!M33+T_Merger!S33+T_Merger!P33+T_Merger!Q33,2)))</f>
        <v>3138.32</v>
      </c>
      <c r="S33" s="310">
        <f>TablaCliente!_CapturaAbonoAnticipadoTablaCliente</f>
        <v>0</v>
      </c>
      <c r="T33" s="97">
        <f t="shared" ca="1" si="4"/>
        <v>106927.78578341859</v>
      </c>
      <c r="V33" t="b">
        <f ca="1">_Saldo_Final _Anterior &gt; 0</f>
        <v>1</v>
      </c>
      <c r="W33" s="116"/>
      <c r="X33" s="97">
        <f ca="1" xml:space="preserve"> T_AutoYSeguroMulti!Pago.Fijo + T_SeguroAnual!_Pago_Fijo</f>
        <v>3138.3234252721923</v>
      </c>
      <c r="Y33" s="97">
        <f ca="1" xml:space="preserve"> T_AutoYSeguroMulti!_Capital + T_SeguroAnual!_Capital</f>
        <v>2523.3539547964083</v>
      </c>
      <c r="Z33" s="97">
        <f t="shared" ca="1" si="0"/>
        <v>2523.3539547964083</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106927.78578341859</v>
      </c>
      <c r="M34" s="96">
        <f ca="1">MIN( CHOOSE(Opcion.Abono, _Capital_Opcion_1, _Capital_Opcion_2, _Capital_Opcion_3) _Actual, _Saldo_Inicial _Actual)</f>
        <v>2537.5318395504246</v>
      </c>
      <c r="N34" s="96">
        <f t="shared" ca="1" si="1"/>
        <v>38.315789905724991</v>
      </c>
      <c r="O34" s="97">
        <f ca="1">T_AutoYSeguroMulti!_Dias_Interes_Periodo</f>
        <v>14</v>
      </c>
      <c r="P34" s="97">
        <f t="shared" ca="1" si="2"/>
        <v>536.42105868014983</v>
      </c>
      <c r="Q34" s="97">
        <f t="shared" ca="1" si="3"/>
        <v>64.370527041617976</v>
      </c>
      <c r="R34" s="97">
        <f ca="1">IF(TablaCliente!A34="","",IF(T_Merger!L34=0,0,ROUND(+T_Merger!M34+T_Merger!S34+T_Merger!P34+T_Merger!Q34,2)))</f>
        <v>3138.32</v>
      </c>
      <c r="S34" s="310">
        <f>TablaCliente!_CapturaAbonoAnticipadoTablaCliente</f>
        <v>0</v>
      </c>
      <c r="T34" s="97">
        <f t="shared" ca="1" si="4"/>
        <v>104390.25394386816</v>
      </c>
      <c r="V34" t="b">
        <f ca="1">_Saldo_Final _Anterior &gt; 0</f>
        <v>1</v>
      </c>
      <c r="W34" s="116"/>
      <c r="X34" s="97">
        <f ca="1" xml:space="preserve"> T_AutoYSeguroMulti!Pago.Fijo + T_SeguroAnual!_Pago_Fijo</f>
        <v>3138.3234252721923</v>
      </c>
      <c r="Y34" s="97">
        <f ca="1" xml:space="preserve"> T_AutoYSeguroMulti!_Capital + T_SeguroAnual!_Capital</f>
        <v>2537.5318395504246</v>
      </c>
      <c r="Z34" s="97">
        <f t="shared" ca="1" si="0"/>
        <v>2537.5318395504246</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104390.25394386816</v>
      </c>
      <c r="M35" s="96">
        <f ca="1">MIN( CHOOSE(Opcion.Abono, _Capital_Opcion_1, _Capital_Opcion_2, _Capital_Opcion_3) _Actual, _Saldo_Inicial _Actual)</f>
        <v>2551.7893851129115</v>
      </c>
      <c r="N35" s="96">
        <f t="shared" ca="1" si="1"/>
        <v>37.406507663219422</v>
      </c>
      <c r="O35" s="97">
        <f ca="1">T_AutoYSeguroMulti!_Dias_Interes_Periodo</f>
        <v>14</v>
      </c>
      <c r="P35" s="97">
        <f t="shared" ca="1" si="2"/>
        <v>523.69110728507189</v>
      </c>
      <c r="Q35" s="97">
        <f t="shared" ca="1" si="3"/>
        <v>62.842932874208628</v>
      </c>
      <c r="R35" s="97">
        <f ca="1">IF(TablaCliente!A35="","",IF(T_Merger!L35=0,0,ROUND(+T_Merger!M35+T_Merger!S35+T_Merger!P35+T_Merger!Q35,2)))</f>
        <v>3138.32</v>
      </c>
      <c r="S35" s="310">
        <f>TablaCliente!_CapturaAbonoAnticipadoTablaCliente</f>
        <v>0</v>
      </c>
      <c r="T35" s="97">
        <f t="shared" ca="1" si="4"/>
        <v>101838.46455875525</v>
      </c>
      <c r="V35" t="b">
        <f ca="1">_Saldo_Final _Anterior &gt; 0</f>
        <v>1</v>
      </c>
      <c r="W35" s="116"/>
      <c r="X35" s="97">
        <f ca="1" xml:space="preserve"> T_AutoYSeguroMulti!Pago.Fijo + T_SeguroAnual!_Pago_Fijo</f>
        <v>3138.3234252721923</v>
      </c>
      <c r="Y35" s="97">
        <f ca="1" xml:space="preserve"> T_AutoYSeguroMulti!_Capital + T_SeguroAnual!_Capital</f>
        <v>2551.7893851129115</v>
      </c>
      <c r="Z35" s="97">
        <f t="shared" ca="1" si="0"/>
        <v>2551.7893851129115</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101838.46455875525</v>
      </c>
      <c r="M36" s="96">
        <f ca="1">MIN( CHOOSE(Opcion.Abono, _Capital_Opcion_1, _Capital_Opcion_2, _Capital_Opcion_3) _Actual, _Saldo_Inicial _Actual)</f>
        <v>2566.1270390713994</v>
      </c>
      <c r="N36" s="96">
        <f t="shared" ca="1" si="1"/>
        <v>36.492116466887296</v>
      </c>
      <c r="O36" s="97">
        <f ca="1">T_AutoYSeguroMulti!_Dias_Interes_Periodo</f>
        <v>14</v>
      </c>
      <c r="P36" s="97">
        <f t="shared" ca="1" si="2"/>
        <v>510.88963053642215</v>
      </c>
      <c r="Q36" s="97">
        <f t="shared" ca="1" si="3"/>
        <v>61.306755664370655</v>
      </c>
      <c r="R36" s="97">
        <f ca="1">IF(TablaCliente!A36="","",IF(T_Merger!L36=0,0,ROUND(+T_Merger!M36+T_Merger!S36+T_Merger!P36+T_Merger!Q36,2)))</f>
        <v>3138.32</v>
      </c>
      <c r="S36" s="310">
        <f>TablaCliente!_CapturaAbonoAnticipadoTablaCliente</f>
        <v>0</v>
      </c>
      <c r="T36" s="97">
        <f t="shared" ca="1" si="4"/>
        <v>99272.337519683846</v>
      </c>
      <c r="V36" t="b">
        <f ca="1">_Saldo_Final _Anterior &gt; 0</f>
        <v>1</v>
      </c>
      <c r="W36" s="116"/>
      <c r="X36" s="97">
        <f ca="1" xml:space="preserve"> T_AutoYSeguroMulti!Pago.Fijo + T_SeguroAnual!_Pago_Fijo</f>
        <v>3138.3234252721923</v>
      </c>
      <c r="Y36" s="97">
        <f ca="1" xml:space="preserve"> T_AutoYSeguroMulti!_Capital + T_SeguroAnual!_Capital</f>
        <v>2566.1270390713994</v>
      </c>
      <c r="Z36" s="97">
        <f t="shared" ca="1" si="0"/>
        <v>2566.1270390713994</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99272.337519683846</v>
      </c>
      <c r="M37" s="96">
        <f ca="1">MIN( CHOOSE(Opcion.Abono, _Capital_Opcion_1, _Capital_Opcion_2, _Capital_Opcion_3) _Actual, _Saldo_Inicial _Actual)</f>
        <v>2580.5452515282618</v>
      </c>
      <c r="N37" s="96">
        <f t="shared" ca="1" si="1"/>
        <v>35.572587611220044</v>
      </c>
      <c r="O37" s="97">
        <f ca="1">T_AutoYSeguroMulti!_Dias_Interes_Periodo</f>
        <v>14</v>
      </c>
      <c r="P37" s="97">
        <f t="shared" ca="1" si="2"/>
        <v>498.01622655708059</v>
      </c>
      <c r="Q37" s="97">
        <f t="shared" ca="1" si="3"/>
        <v>59.761947186849667</v>
      </c>
      <c r="R37" s="97">
        <f ca="1">IF(TablaCliente!A37="","",IF(T_Merger!L37=0,0,ROUND(+T_Merger!M37+T_Merger!S37+T_Merger!P37+T_Merger!Q37,2)))</f>
        <v>3138.32</v>
      </c>
      <c r="S37" s="310">
        <f>TablaCliente!_CapturaAbonoAnticipadoTablaCliente</f>
        <v>0</v>
      </c>
      <c r="T37" s="97">
        <f t="shared" ca="1" si="4"/>
        <v>96691.792268155579</v>
      </c>
      <c r="V37" t="b">
        <f ca="1">_Saldo_Final _Anterior &gt; 0</f>
        <v>1</v>
      </c>
      <c r="W37" s="116"/>
      <c r="X37" s="97">
        <f ca="1" xml:space="preserve"> T_AutoYSeguroMulti!Pago.Fijo + T_SeguroAnual!_Pago_Fijo</f>
        <v>3138.3234252721923</v>
      </c>
      <c r="Y37" s="97">
        <f ca="1" xml:space="preserve"> T_AutoYSeguroMulti!_Capital + T_SeguroAnual!_Capital</f>
        <v>2580.5452515282618</v>
      </c>
      <c r="Z37" s="97">
        <f t="shared" ca="1" si="0"/>
        <v>2580.5452515282618</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96691.792268155579</v>
      </c>
      <c r="M38" s="96">
        <f ca="1">MIN( CHOOSE(Opcion.Abono, _Capital_Opcion_1, _Capital_Opcion_2, _Capital_Opcion_3) _Actual, _Saldo_Inicial _Actual)</f>
        <v>2595.0444751148489</v>
      </c>
      <c r="N38" s="96">
        <f t="shared" ca="1" si="1"/>
        <v>34.647892229422418</v>
      </c>
      <c r="O38" s="97">
        <f ca="1">T_AutoYSeguroMulti!_Dias_Interes_Periodo</f>
        <v>14</v>
      </c>
      <c r="P38" s="97">
        <f t="shared" ca="1" si="2"/>
        <v>485.07049121191386</v>
      </c>
      <c r="Q38" s="97">
        <f t="shared" ca="1" si="3"/>
        <v>58.208458945429662</v>
      </c>
      <c r="R38" s="97">
        <f ca="1">IF(TablaCliente!A38="","",IF(T_Merger!L38=0,0,ROUND(+T_Merger!M38+T_Merger!S38+T_Merger!P38+T_Merger!Q38,2)))</f>
        <v>3138.32</v>
      </c>
      <c r="S38" s="310">
        <f>TablaCliente!_CapturaAbonoAnticipadoTablaCliente</f>
        <v>0</v>
      </c>
      <c r="T38" s="97">
        <f t="shared" ca="1" si="4"/>
        <v>94096.747793040733</v>
      </c>
      <c r="V38" t="b">
        <f ca="1">_Saldo_Final _Anterior &gt; 0</f>
        <v>1</v>
      </c>
      <c r="W38" s="116"/>
      <c r="X38" s="97">
        <f ca="1" xml:space="preserve"> T_AutoYSeguroMulti!Pago.Fijo + T_SeguroAnual!_Pago_Fijo</f>
        <v>3138.3234252721923</v>
      </c>
      <c r="Y38" s="97">
        <f ca="1" xml:space="preserve"> T_AutoYSeguroMulti!_Capital + T_SeguroAnual!_Capital</f>
        <v>2595.0444751148489</v>
      </c>
      <c r="Z38" s="97">
        <f t="shared" ca="1" si="0"/>
        <v>2595.0444751148489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94096.747793040733</v>
      </c>
      <c r="M39" s="96">
        <f ca="1">MIN( CHOOSE(Opcion.Abono, _Capital_Opcion_1, _Capital_Opcion_2, _Capital_Opcion_3) _Actual, _Saldo_Inicial _Actual)</f>
        <v>2609.6251650056938</v>
      </c>
      <c r="N39" s="96">
        <f t="shared" ca="1" si="1"/>
        <v>33.718001292506266</v>
      </c>
      <c r="O39" s="97">
        <f ca="1">T_AutoYSeguroMulti!_Dias_Interes_Periodo</f>
        <v>14</v>
      </c>
      <c r="P39" s="97">
        <f t="shared" ca="1" si="2"/>
        <v>472.0520180950877</v>
      </c>
      <c r="Q39" s="97">
        <f t="shared" ca="1" si="3"/>
        <v>56.64624217141052</v>
      </c>
      <c r="R39" s="97">
        <f ca="1">IF(TablaCliente!A39="","",IF(T_Merger!L39=0,0,ROUND(+T_Merger!M39+T_Merger!S39+T_Merger!P39+T_Merger!Q39,2)))</f>
        <v>3138.32</v>
      </c>
      <c r="S39" s="310">
        <f>TablaCliente!_CapturaAbonoAnticipadoTablaCliente</f>
        <v>0</v>
      </c>
      <c r="T39" s="97">
        <f t="shared" ca="1" si="4"/>
        <v>91487.122628035038</v>
      </c>
      <c r="V39" t="b">
        <f ca="1">_Saldo_Final _Anterior &gt; 0</f>
        <v>1</v>
      </c>
      <c r="W39" s="116"/>
      <c r="X39" s="97">
        <f ca="1" xml:space="preserve"> T_AutoYSeguroMulti!Pago.Fijo + T_SeguroAnual!_Pago_Fijo</f>
        <v>3138.3234252721923</v>
      </c>
      <c r="Y39" s="97">
        <f ca="1" xml:space="preserve"> T_AutoYSeguroMulti!_Capital + T_SeguroAnual!_Capital</f>
        <v>2609.6251650056938</v>
      </c>
      <c r="Z39" s="97">
        <f t="shared" ca="1" si="0"/>
        <v>2609.6251650056938</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91487.122628035038</v>
      </c>
      <c r="M40" s="96">
        <f ca="1">MIN( CHOOSE(Opcion.Abono, _Capital_Opcion_1, _Capital_Opcion_2, _Capital_Opcion_3) _Actual, _Saldo_Inicial _Actual)</f>
        <v>2624.2877789328058</v>
      </c>
      <c r="N40" s="96">
        <f t="shared" ca="1" si="1"/>
        <v>32.782885608379225</v>
      </c>
      <c r="O40" s="97">
        <f ca="1">T_AutoYSeguroMulti!_Dias_Interes_Periodo</f>
        <v>14</v>
      </c>
      <c r="P40" s="97">
        <f t="shared" ca="1" si="2"/>
        <v>458.96039851730916</v>
      </c>
      <c r="Q40" s="97">
        <f t="shared" ca="1" si="3"/>
        <v>55.075247822077095</v>
      </c>
      <c r="R40" s="97">
        <f ca="1">IF(TablaCliente!A40="","",IF(T_Merger!L40=0,0,ROUND(+T_Merger!M40+T_Merger!S40+T_Merger!P40+T_Merger!Q40,2)))</f>
        <v>3138.32</v>
      </c>
      <c r="S40" s="310">
        <f>TablaCliente!_CapturaAbonoAnticipadoTablaCliente</f>
        <v>0</v>
      </c>
      <c r="T40" s="97">
        <f t="shared" ca="1" si="4"/>
        <v>88862.834849102233</v>
      </c>
      <c r="V40" t="b">
        <f ca="1">_Saldo_Final _Anterior &gt; 0</f>
        <v>1</v>
      </c>
      <c r="W40" s="116"/>
      <c r="X40" s="97">
        <f ca="1" xml:space="preserve"> T_AutoYSeguroMulti!Pago.Fijo + T_SeguroAnual!_Pago_Fijo</f>
        <v>3138.3234252721923</v>
      </c>
      <c r="Y40" s="97">
        <f ca="1" xml:space="preserve"> T_AutoYSeguroMulti!_Capital + T_SeguroAnual!_Capital</f>
        <v>2624.2877789328058</v>
      </c>
      <c r="Z40" s="97">
        <f t="shared" ca="1" si="0"/>
        <v>2624.2877789328058</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88862.834849102233</v>
      </c>
      <c r="M41" s="96">
        <f ca="1">MIN( CHOOSE(Opcion.Abono, _Capital_Opcion_1, _Capital_Opcion_2, _Capital_Opcion_3) _Actual, _Saldo_Inicial _Actual)</f>
        <v>2639.0327772000364</v>
      </c>
      <c r="N41" s="96">
        <f t="shared" ca="1" si="1"/>
        <v>31.842515820928302</v>
      </c>
      <c r="O41" s="97">
        <f ca="1">T_AutoYSeguroMulti!_Dias_Interes_Periodo</f>
        <v>14</v>
      </c>
      <c r="P41" s="97">
        <f t="shared" ca="1" si="2"/>
        <v>445.79522149299623</v>
      </c>
      <c r="Q41" s="97">
        <f t="shared" ca="1" si="3"/>
        <v>53.495426579159549</v>
      </c>
      <c r="R41" s="97">
        <f ca="1">IF(TablaCliente!A41="","",IF(T_Merger!L41=0,0,ROUND(+T_Merger!M41+T_Merger!S41+T_Merger!P41+T_Merger!Q41,2)))</f>
        <v>3138.32</v>
      </c>
      <c r="S41" s="310">
        <f>TablaCliente!_CapturaAbonoAnticipadoTablaCliente</f>
        <v>0</v>
      </c>
      <c r="T41" s="97">
        <f t="shared" ca="1" si="4"/>
        <v>86223.802071902202</v>
      </c>
      <c r="V41" t="b">
        <f ca="1">_Saldo_Final _Anterior &gt; 0</f>
        <v>1</v>
      </c>
      <c r="W41" s="116"/>
      <c r="X41" s="97">
        <f ca="1" xml:space="preserve"> T_AutoYSeguroMulti!Pago.Fijo + T_SeguroAnual!_Pago_Fijo</f>
        <v>3138.3234252721923</v>
      </c>
      <c r="Y41" s="97">
        <f ca="1" xml:space="preserve"> T_AutoYSeguroMulti!_Capital + T_SeguroAnual!_Capital</f>
        <v>2639.0327772000364</v>
      </c>
      <c r="Z41" s="97">
        <f t="shared" ca="1" si="0"/>
        <v>2639.0327772000364</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86223.802071902202</v>
      </c>
      <c r="M42" s="96">
        <f ca="1">MIN( CHOOSE(Opcion.Abono, _Capital_Opcion_1, _Capital_Opcion_2, _Capital_Opcion_3) _Actual, _Saldo_Inicial _Actual)</f>
        <v>2653.8606226975307</v>
      </c>
      <c r="N42" s="96">
        <f t="shared" ca="1" si="1"/>
        <v>30.89686240909829</v>
      </c>
      <c r="O42" s="97">
        <f ca="1">T_AutoYSeguroMulti!_Dias_Interes_Periodo</f>
        <v>14</v>
      </c>
      <c r="P42" s="97">
        <f t="shared" ca="1" si="2"/>
        <v>432.55607372737609</v>
      </c>
      <c r="Q42" s="97">
        <f t="shared" ca="1" si="3"/>
        <v>51.90672884728513</v>
      </c>
      <c r="R42" s="97">
        <f ca="1">IF(TablaCliente!A42="","",IF(T_Merger!L42=0,0,ROUND(+T_Merger!M42+T_Merger!S42+T_Merger!P42+T_Merger!Q42,2)))</f>
        <v>3138.32</v>
      </c>
      <c r="S42" s="310">
        <f>TablaCliente!_CapturaAbonoAnticipadoTablaCliente</f>
        <v>0</v>
      </c>
      <c r="T42" s="97">
        <f t="shared" ca="1" si="4"/>
        <v>83569.941449204678</v>
      </c>
      <c r="V42" t="b">
        <f ca="1">_Saldo_Final _Anterior &gt; 0</f>
        <v>1</v>
      </c>
      <c r="W42" s="116"/>
      <c r="X42" s="97">
        <f ca="1" xml:space="preserve"> T_AutoYSeguroMulti!Pago.Fijo + T_SeguroAnual!_Pago_Fijo</f>
        <v>3138.3234252721923</v>
      </c>
      <c r="Y42" s="97">
        <f ca="1" xml:space="preserve"> T_AutoYSeguroMulti!_Capital + T_SeguroAnual!_Capital</f>
        <v>2653.8606226975307</v>
      </c>
      <c r="Z42" s="97">
        <f t="shared" ca="1" si="0"/>
        <v>2653.8606226975307</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83569.941449204678</v>
      </c>
      <c r="M43" s="96">
        <f ca="1">MIN( CHOOSE(Opcion.Abono, _Capital_Opcion_1, _Capital_Opcion_2, _Capital_Opcion_3) _Actual, _Saldo_Inicial _Actual)</f>
        <v>2668.7717809162609</v>
      </c>
      <c r="N43" s="96">
        <f t="shared" ca="1" si="1"/>
        <v>29.945895685965009</v>
      </c>
      <c r="O43" s="97">
        <f ca="1">T_AutoYSeguroMulti!_Dias_Interes_Periodo</f>
        <v>14</v>
      </c>
      <c r="P43" s="97">
        <f t="shared" ca="1" si="2"/>
        <v>419.24253960351012</v>
      </c>
      <c r="Q43" s="97">
        <f t="shared" ca="1" si="3"/>
        <v>50.309104752421213</v>
      </c>
      <c r="R43" s="97">
        <f ca="1">IF(TablaCliente!A43="","",IF(T_Merger!L43=0,0,ROUND(+T_Merger!M43+T_Merger!S43+T_Merger!P43+T_Merger!Q43,2)))</f>
        <v>3138.32</v>
      </c>
      <c r="S43" s="310">
        <f>TablaCliente!_CapturaAbonoAnticipadoTablaCliente</f>
        <v>0</v>
      </c>
      <c r="T43" s="97">
        <f t="shared" ca="1" si="4"/>
        <v>80901.169668288421</v>
      </c>
      <c r="V43" t="b">
        <f ca="1">_Saldo_Final _Anterior &gt; 0</f>
        <v>1</v>
      </c>
      <c r="W43" s="116"/>
      <c r="X43" s="97">
        <f ca="1" xml:space="preserve"> T_AutoYSeguroMulti!Pago.Fijo + T_SeguroAnual!_Pago_Fijo</f>
        <v>3138.3234252721923</v>
      </c>
      <c r="Y43" s="97">
        <f ca="1" xml:space="preserve"> T_AutoYSeguroMulti!_Capital + T_SeguroAnual!_Capital</f>
        <v>2668.7717809162609</v>
      </c>
      <c r="Z43" s="97">
        <f t="shared" ca="1" si="0"/>
        <v>2668.7717809162609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80901.169668288421</v>
      </c>
      <c r="M44" s="96">
        <f ca="1">MIN( CHOOSE(Opcion.Abono, _Capital_Opcion_1, _Capital_Opcion_2, _Capital_Opcion_3) _Actual, _Saldo_Inicial _Actual)</f>
        <v>2683.7667199626358</v>
      </c>
      <c r="N44" s="96">
        <f t="shared" ca="1" si="1"/>
        <v>28.98958579780335</v>
      </c>
      <c r="O44" s="97">
        <f ca="1">T_AutoYSeguroMulti!_Dias_Interes_Periodo</f>
        <v>14</v>
      </c>
      <c r="P44" s="97">
        <f t="shared" ca="1" si="2"/>
        <v>405.85420116924689</v>
      </c>
      <c r="Q44" s="97">
        <f t="shared" ca="1" si="3"/>
        <v>48.702504140309628</v>
      </c>
      <c r="R44" s="97">
        <f ca="1">IF(TablaCliente!A44="","",IF(T_Merger!L44=0,0,ROUND(+T_Merger!M44+T_Merger!S44+T_Merger!P44+T_Merger!Q44,2)))</f>
        <v>3138.32</v>
      </c>
      <c r="S44" s="310">
        <f>TablaCliente!_CapturaAbonoAnticipadoTablaCliente</f>
        <v>0</v>
      </c>
      <c r="T44" s="97">
        <f t="shared" ca="1" si="4"/>
        <v>78217.402948325791</v>
      </c>
      <c r="V44" t="b">
        <f ca="1">_Saldo_Final _Anterior &gt; 0</f>
        <v>1</v>
      </c>
      <c r="X44" s="97">
        <f ca="1" xml:space="preserve"> T_AutoYSeguroMulti!Pago.Fijo + T_SeguroAnual!_Pago_Fijo</f>
        <v>3138.3234252721923</v>
      </c>
      <c r="Y44" s="97">
        <f ca="1" xml:space="preserve"> T_AutoYSeguroMulti!_Capital + T_SeguroAnual!_Capital</f>
        <v>2683.7667199626358</v>
      </c>
      <c r="Z44" s="97">
        <f t="shared" ca="1" si="0"/>
        <v>2683.7667199626358</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78217.402948325791</v>
      </c>
      <c r="M45" s="96">
        <f ca="1">MIN( CHOOSE(Opcion.Abono, _Capital_Opcion_1, _Capital_Opcion_2, _Capital_Opcion_3) _Actual, _Saldo_Inicial _Actual)</f>
        <v>2698.845910573199</v>
      </c>
      <c r="N45" s="96">
        <f t="shared" ca="1" si="1"/>
        <v>28.027902723150074</v>
      </c>
      <c r="O45" s="97">
        <f ca="1">T_AutoYSeguroMulti!_Dias_Interes_Periodo</f>
        <v>14</v>
      </c>
      <c r="P45" s="97">
        <f t="shared" ca="1" si="2"/>
        <v>392.39063812410103</v>
      </c>
      <c r="Q45" s="97">
        <f t="shared" ca="1" si="3"/>
        <v>47.086876574892123</v>
      </c>
      <c r="R45" s="97">
        <f ca="1">IF(TablaCliente!A45="","",IF(T_Merger!L45=0,0,ROUND(+T_Merger!M45+T_Merger!S45+T_Merger!P45+T_Merger!Q45,2)))</f>
        <v>3138.32</v>
      </c>
      <c r="S45" s="310">
        <f>TablaCliente!_CapturaAbonoAnticipadoTablaCliente</f>
        <v>0</v>
      </c>
      <c r="T45" s="97">
        <f t="shared" ca="1" si="4"/>
        <v>75518.557037752587</v>
      </c>
      <c r="V45" t="b">
        <f ca="1">_Saldo_Final _Anterior &gt; 0</f>
        <v>1</v>
      </c>
      <c r="W45" s="116"/>
      <c r="X45" s="97">
        <f ca="1" xml:space="preserve"> T_AutoYSeguroMulti!Pago.Fijo + T_SeguroAnual!_Pago_Fijo</f>
        <v>3138.3234252721923</v>
      </c>
      <c r="Y45" s="97">
        <f ca="1" xml:space="preserve"> T_AutoYSeguroMulti!_Capital + T_SeguroAnual!_Capital</f>
        <v>2698.845910573199</v>
      </c>
      <c r="Z45" s="97">
        <f t="shared" ca="1" si="0"/>
        <v>2698.845910573199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75518.557037752587</v>
      </c>
      <c r="M46" s="96">
        <f ca="1">MIN( CHOOSE(Opcion.Abono, _Capital_Opcion_1, _Capital_Opcion_2, _Capital_Opcion_3) _Actual, _Saldo_Inicial _Actual)</f>
        <v>2714.0098261294061</v>
      </c>
      <c r="N46" s="96">
        <f t="shared" ca="1" si="1"/>
        <v>27.060816271861345</v>
      </c>
      <c r="O46" s="97">
        <f ca="1">T_AutoYSeguroMulti!_Dias_Interes_Periodo</f>
        <v>14</v>
      </c>
      <c r="P46" s="97">
        <f t="shared" ca="1" si="2"/>
        <v>378.85142780605884</v>
      </c>
      <c r="Q46" s="97">
        <f t="shared" ca="1" si="3"/>
        <v>45.46217133672706</v>
      </c>
      <c r="R46" s="97">
        <f ca="1">IF(TablaCliente!A46="","",IF(T_Merger!L46=0,0,ROUND(+T_Merger!M46+T_Merger!S46+T_Merger!P46+T_Merger!Q46,2)))</f>
        <v>3138.32</v>
      </c>
      <c r="S46" s="310">
        <f>TablaCliente!_CapturaAbonoAnticipadoTablaCliente</f>
        <v>0</v>
      </c>
      <c r="T46" s="97">
        <f t="shared" ca="1" si="4"/>
        <v>72804.547211623183</v>
      </c>
      <c r="V46" t="b">
        <f ca="1">_Saldo_Final _Anterior &gt; 0</f>
        <v>1</v>
      </c>
      <c r="W46" s="116"/>
      <c r="X46" s="97">
        <f ca="1" xml:space="preserve"> T_AutoYSeguroMulti!Pago.Fijo + T_SeguroAnual!_Pago_Fijo</f>
        <v>3138.3234252721923</v>
      </c>
      <c r="Y46" s="97">
        <f ca="1" xml:space="preserve"> T_AutoYSeguroMulti!_Capital + T_SeguroAnual!_Capital</f>
        <v>2714.0098261294061</v>
      </c>
      <c r="Z46" s="97">
        <f t="shared" ca="1" si="0"/>
        <v>2714.0098261294061</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72804.547211623183</v>
      </c>
      <c r="M47" s="96">
        <f ca="1">MIN( CHOOSE(Opcion.Abono, _Capital_Opcion_1, _Capital_Opcion_2, _Capital_Opcion_3) _Actual, _Saldo_Inicial _Actual)</f>
        <v>2729.2589426724853</v>
      </c>
      <c r="N47" s="96">
        <f t="shared" ca="1" si="1"/>
        <v>26.088296084164973</v>
      </c>
      <c r="O47" s="97">
        <f ca="1">T_AutoYSeguroMulti!_Dias_Interes_Periodo</f>
        <v>14</v>
      </c>
      <c r="P47" s="97">
        <f t="shared" ca="1" si="2"/>
        <v>365.23614517830964</v>
      </c>
      <c r="Q47" s="97">
        <f t="shared" ca="1" si="3"/>
        <v>43.828337421397158</v>
      </c>
      <c r="R47" s="97">
        <f ca="1">IF(TablaCliente!A47="","",IF(T_Merger!L47=0,0,ROUND(+T_Merger!M47+T_Merger!S47+T_Merger!P47+T_Merger!Q47,2)))</f>
        <v>3138.32</v>
      </c>
      <c r="S47" s="310">
        <f>TablaCliente!_CapturaAbonoAnticipadoTablaCliente</f>
        <v>0</v>
      </c>
      <c r="T47" s="97">
        <f t="shared" ca="1" si="4"/>
        <v>70075.288268950695</v>
      </c>
      <c r="V47" t="b">
        <f ca="1">_Saldo_Final _Anterior &gt; 0</f>
        <v>1</v>
      </c>
      <c r="W47" s="116"/>
      <c r="X47" s="97">
        <f ca="1" xml:space="preserve"> T_AutoYSeguroMulti!Pago.Fijo + T_SeguroAnual!_Pago_Fijo</f>
        <v>3138.3234252721923</v>
      </c>
      <c r="Y47" s="97">
        <f ca="1" xml:space="preserve"> T_AutoYSeguroMulti!_Capital + T_SeguroAnual!_Capital</f>
        <v>2729.2589426724853</v>
      </c>
      <c r="Z47" s="97">
        <f t="shared" ca="1" si="0"/>
        <v>2729.2589426724853</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70075.288268950695</v>
      </c>
      <c r="M48" s="96">
        <f ca="1">MIN( CHOOSE(Opcion.Abono, _Capital_Opcion_1, _Capital_Opcion_2, _Capital_Opcion_3) _Actual, _Saldo_Inicial _Actual)</f>
        <v>2744.5937389183814</v>
      </c>
      <c r="N48" s="96">
        <f t="shared" ca="1" si="1"/>
        <v>25.110311629707333</v>
      </c>
      <c r="O48" s="97">
        <f ca="1">T_AutoYSeguroMulti!_Dias_Interes_Periodo</f>
        <v>14</v>
      </c>
      <c r="P48" s="97">
        <f t="shared" ca="1" si="2"/>
        <v>351.54436281590267</v>
      </c>
      <c r="Q48" s="97">
        <f t="shared" ca="1" si="3"/>
        <v>42.185323537908317</v>
      </c>
      <c r="R48" s="97">
        <f ca="1">IF(TablaCliente!A48="","",IF(T_Merger!L48=0,0,ROUND(+T_Merger!M48+T_Merger!S48+T_Merger!P48+T_Merger!Q48,2)))</f>
        <v>3138.32</v>
      </c>
      <c r="S48" s="310">
        <f>TablaCliente!_CapturaAbonoAnticipadoTablaCliente</f>
        <v>0</v>
      </c>
      <c r="T48" s="97">
        <f t="shared" ca="1" si="4"/>
        <v>67330.694530032313</v>
      </c>
      <c r="V48" t="b">
        <f ca="1">_Saldo_Final _Anterior &gt; 0</f>
        <v>1</v>
      </c>
      <c r="W48" s="116"/>
      <c r="X48" s="97">
        <f ca="1" xml:space="preserve"> T_AutoYSeguroMulti!Pago.Fijo + T_SeguroAnual!_Pago_Fijo</f>
        <v>3138.3234252721923</v>
      </c>
      <c r="Y48" s="97">
        <f ca="1" xml:space="preserve"> T_AutoYSeguroMulti!_Capital + T_SeguroAnual!_Capital</f>
        <v>2744.5937389183814</v>
      </c>
      <c r="Z48" s="97">
        <f t="shared" ca="1" si="0"/>
        <v>2744.5937389183814</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67330.694530032313</v>
      </c>
      <c r="M49" s="96">
        <f ca="1">MIN( CHOOSE(Opcion.Abono, _Capital_Opcion_1, _Capital_Opcion_2, _Capital_Opcion_3) _Actual, _Saldo_Inicial _Actual)</f>
        <v>2760.014696272784</v>
      </c>
      <c r="N49" s="96">
        <f t="shared" ca="1" si="1"/>
        <v>24.126832206594912</v>
      </c>
      <c r="O49" s="97">
        <f ca="1">T_AutoYSeguroMulti!_Dias_Interes_Periodo</f>
        <v>14</v>
      </c>
      <c r="P49" s="97">
        <f t="shared" ca="1" si="2"/>
        <v>337.77565089232877</v>
      </c>
      <c r="Q49" s="97">
        <f t="shared" ca="1" si="3"/>
        <v>40.533078107079454</v>
      </c>
      <c r="R49" s="97">
        <f ca="1">IF(TablaCliente!A49="","",IF(T_Merger!L49=0,0,ROUND(+T_Merger!M49+T_Merger!S49+T_Merger!P49+T_Merger!Q49,2)))</f>
        <v>3138.32</v>
      </c>
      <c r="S49" s="310">
        <f>TablaCliente!_CapturaAbonoAnticipadoTablaCliente</f>
        <v>0</v>
      </c>
      <c r="T49" s="97">
        <f t="shared" ca="1" si="4"/>
        <v>64570.679833759532</v>
      </c>
      <c r="V49" t="b">
        <f ca="1">_Saldo_Final _Anterior &gt; 0</f>
        <v>1</v>
      </c>
      <c r="W49" s="116"/>
      <c r="X49" s="97">
        <f ca="1" xml:space="preserve"> T_AutoYSeguroMulti!Pago.Fijo + T_SeguroAnual!_Pago_Fijo</f>
        <v>3138.3234252721923</v>
      </c>
      <c r="Y49" s="97">
        <f ca="1" xml:space="preserve"> T_AutoYSeguroMulti!_Capital + T_SeguroAnual!_Capital</f>
        <v>2760.014696272784</v>
      </c>
      <c r="Z49" s="97">
        <f t="shared" ca="1" si="0"/>
        <v>2760.014696272784</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64570.679833759532</v>
      </c>
      <c r="M50" s="96">
        <f ca="1">MIN( CHOOSE(Opcion.Abono, _Capital_Opcion_1, _Capital_Opcion_2, _Capital_Opcion_3) _Actual, _Saldo_Inicial _Actual)</f>
        <v>2775.5222988462419</v>
      </c>
      <c r="N50" s="96">
        <f t="shared" ca="1" si="1"/>
        <v>23.1378269404305</v>
      </c>
      <c r="O50" s="97">
        <f ca="1">T_AutoYSeguroMulti!_Dias_Interes_Periodo</f>
        <v>14</v>
      </c>
      <c r="P50" s="97">
        <f t="shared" ca="1" si="2"/>
        <v>323.929577166027</v>
      </c>
      <c r="Q50" s="97">
        <f t="shared" ca="1" si="3"/>
        <v>38.871549259923242</v>
      </c>
      <c r="R50" s="97">
        <f ca="1">IF(TablaCliente!A50="","",IF(T_Merger!L50=0,0,ROUND(+T_Merger!M50+T_Merger!S50+T_Merger!P50+T_Merger!Q50,2)))</f>
        <v>3138.32</v>
      </c>
      <c r="S50" s="310">
        <f>TablaCliente!_CapturaAbonoAnticipadoTablaCliente</f>
        <v>0</v>
      </c>
      <c r="T50" s="97">
        <f t="shared" ca="1" si="4"/>
        <v>61795.157534913291</v>
      </c>
      <c r="V50" t="b">
        <f ca="1">_Saldo_Final _Anterior &gt; 0</f>
        <v>1</v>
      </c>
      <c r="W50" s="116"/>
      <c r="X50" s="97">
        <f ca="1" xml:space="preserve"> T_AutoYSeguroMulti!Pago.Fijo + T_SeguroAnual!_Pago_Fijo</f>
        <v>3138.3234252721923</v>
      </c>
      <c r="Y50" s="97">
        <f ca="1" xml:space="preserve"> T_AutoYSeguroMulti!_Capital + T_SeguroAnual!_Capital</f>
        <v>2775.5222988462419</v>
      </c>
      <c r="Z50" s="97">
        <f t="shared" ca="1" si="0"/>
        <v>2775.5222988462419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61795.157534913291</v>
      </c>
      <c r="M51" s="96">
        <f ca="1">MIN( CHOOSE(Opcion.Abono, _Capital_Opcion_1, _Capital_Opcion_2, _Capital_Opcion_3) _Actual, _Saldo_Inicial _Actual)</f>
        <v>2791.1170334693593</v>
      </c>
      <c r="N51" s="96">
        <f t="shared" ca="1" si="1"/>
        <v>22.14326478334393</v>
      </c>
      <c r="O51" s="97">
        <f ca="1">T_AutoYSeguroMulti!_Dias_Interes_Periodo</f>
        <v>14</v>
      </c>
      <c r="P51" s="97">
        <f t="shared" ca="1" si="2"/>
        <v>310.00570696681501</v>
      </c>
      <c r="Q51" s="97">
        <f t="shared" ca="1" si="3"/>
        <v>37.2006848360178</v>
      </c>
      <c r="R51" s="97">
        <f ca="1">IF(TablaCliente!A51="","",IF(T_Merger!L51=0,0,ROUND(+T_Merger!M51+T_Merger!S51+T_Merger!P51+T_Merger!Q51,2)))</f>
        <v>3138.32</v>
      </c>
      <c r="S51" s="310">
        <f>TablaCliente!_CapturaAbonoAnticipadoTablaCliente</f>
        <v>0</v>
      </c>
      <c r="T51" s="97">
        <f t="shared" ca="1" si="4"/>
        <v>59004.040501443931</v>
      </c>
      <c r="V51" t="b">
        <f ca="1">_Saldo_Final _Anterior &gt; 0</f>
        <v>1</v>
      </c>
      <c r="W51" s="116"/>
      <c r="X51" s="97">
        <f ca="1" xml:space="preserve"> T_AutoYSeguroMulti!Pago.Fijo + T_SeguroAnual!_Pago_Fijo</f>
        <v>3138.3234252721923</v>
      </c>
      <c r="Y51" s="97">
        <f ca="1" xml:space="preserve"> T_AutoYSeguroMulti!_Capital + T_SeguroAnual!_Capital</f>
        <v>2791.1170334693593</v>
      </c>
      <c r="Z51" s="97">
        <f t="shared" ca="1" si="0"/>
        <v>2791.1170334693593</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59004.040501443931</v>
      </c>
      <c r="M52" s="96">
        <f ca="1">MIN( CHOOSE(Opcion.Abono, _Capital_Opcion_1, _Capital_Opcion_2, _Capital_Opcion_3) _Actual, _Saldo_Inicial _Actual)</f>
        <v>2806.7993897080792</v>
      </c>
      <c r="N52" s="96">
        <f t="shared" ref="N52:N79" ca="1" si="6" xml:space="preserve"> _Saldo_Inicial * Tasa.Diaria</f>
        <v>21.143114513017409</v>
      </c>
      <c r="O52" s="97">
        <f ca="1">T_AutoYSeguroMulti!_Dias_Interes_Periodo</f>
        <v>14</v>
      </c>
      <c r="P52" s="97">
        <f t="shared" ref="P52:P79" ca="1" si="7" xml:space="preserve"> _Interes_Diario * _Dias_Interes_Periodo</f>
        <v>296.00360318224375</v>
      </c>
      <c r="Q52" s="97">
        <f t="shared" ref="Q52:Q79" ca="1" si="8" xml:space="preserve"> _Interes * Iva.Intereses</f>
        <v>35.520432381869249</v>
      </c>
      <c r="R52" s="97">
        <f ca="1">IF(TablaCliente!A52="","",IF(T_Merger!L52=0,0,ROUND(+T_Merger!M52+T_Merger!S52+T_Merger!P52+T_Merger!Q52,2)))</f>
        <v>3138.32</v>
      </c>
      <c r="S52" s="310">
        <f>TablaCliente!_CapturaAbonoAnticipadoTablaCliente</f>
        <v>0</v>
      </c>
      <c r="T52" s="97">
        <f t="shared" ref="T52:T79" ca="1" si="9">MAX( _Saldo_Inicial-_Capital-_Abono_Anticipado, 0)</f>
        <v>56197.24111173585</v>
      </c>
      <c r="V52" t="b">
        <f ca="1">_Saldo_Final _Anterior &gt; 0</f>
        <v>1</v>
      </c>
      <c r="W52" s="116"/>
      <c r="X52" s="97">
        <f ca="1" xml:space="preserve"> T_AutoYSeguroMulti!Pago.Fijo + T_SeguroAnual!_Pago_Fijo</f>
        <v>3138.3234252721923</v>
      </c>
      <c r="Y52" s="97">
        <f ca="1" xml:space="preserve"> T_AutoYSeguroMulti!_Capital + T_SeguroAnual!_Capital</f>
        <v>2806.7993897080792</v>
      </c>
      <c r="Z52" s="97">
        <f t="shared" ref="Z52:Z79" ca="1" si="10">_Pago_Fijo - (_Interes_Diario * Dias.Por.Periodo * (1+Iva.Intereses))</f>
        <v>2806.7993897080792</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56197.24111173585</v>
      </c>
      <c r="M53" s="96">
        <f ca="1">MIN( CHOOSE(Opcion.Abono, _Capital_Opcion_1, _Capital_Opcion_2, _Capital_Opcion_3) _Actual, _Saldo_Inicial _Actual)</f>
        <v>2822.5698598790523</v>
      </c>
      <c r="N53" s="96">
        <f t="shared" ca="1" si="6"/>
        <v>20.137344731705348</v>
      </c>
      <c r="O53" s="97">
        <f ca="1">T_AutoYSeguroMulti!_Dias_Interes_Periodo</f>
        <v>14</v>
      </c>
      <c r="P53" s="97">
        <f t="shared" ca="1" si="7"/>
        <v>281.92282624387485</v>
      </c>
      <c r="Q53" s="97">
        <f t="shared" ca="1" si="8"/>
        <v>33.830739149264978</v>
      </c>
      <c r="R53" s="97">
        <f ca="1">IF(TablaCliente!A53="","",IF(T_Merger!L53=0,0,ROUND(+T_Merger!M53+T_Merger!S53+T_Merger!P53+T_Merger!Q53,2)))</f>
        <v>3138.32</v>
      </c>
      <c r="S53" s="310">
        <f>TablaCliente!_CapturaAbonoAnticipadoTablaCliente</f>
        <v>0</v>
      </c>
      <c r="T53" s="97">
        <f t="shared" ca="1" si="9"/>
        <v>53374.671251856795</v>
      </c>
      <c r="V53" t="b">
        <f ca="1">_Saldo_Final _Anterior &gt; 0</f>
        <v>1</v>
      </c>
      <c r="W53" s="116"/>
      <c r="X53" s="97">
        <f ca="1" xml:space="preserve"> T_AutoYSeguroMulti!Pago.Fijo + T_SeguroAnual!_Pago_Fijo</f>
        <v>3138.3234252721923</v>
      </c>
      <c r="Y53" s="97">
        <f ca="1" xml:space="preserve"> T_AutoYSeguroMulti!_Capital + T_SeguroAnual!_Capital</f>
        <v>2822.5698598790523</v>
      </c>
      <c r="Z53" s="97">
        <f t="shared" ca="1" si="10"/>
        <v>2822.5698598790523</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53374.671251856795</v>
      </c>
      <c r="M54" s="96">
        <f ca="1">MIN( CHOOSE(Opcion.Abono, _Capital_Opcion_1, _Capital_Opcion_2, _Capital_Opcion_3) _Actual, _Saldo_Inicial _Actual)</f>
        <v>2838.4289390650929</v>
      </c>
      <c r="N54" s="96">
        <f t="shared" ca="1" si="6"/>
        <v>19.125923865248684</v>
      </c>
      <c r="O54" s="97">
        <f ca="1">T_AutoYSeguroMulti!_Dias_Interes_Periodo</f>
        <v>14</v>
      </c>
      <c r="P54" s="97">
        <f t="shared" ca="1" si="7"/>
        <v>267.76293411348155</v>
      </c>
      <c r="Q54" s="97">
        <f t="shared" ca="1" si="8"/>
        <v>32.131552093617785</v>
      </c>
      <c r="R54" s="97">
        <f ca="1">IF(TablaCliente!A54="","",IF(T_Merger!L54=0,0,ROUND(+T_Merger!M54+T_Merger!S54+T_Merger!P54+T_Merger!Q54,2)))</f>
        <v>3138.32</v>
      </c>
      <c r="S54" s="310">
        <f>TablaCliente!_CapturaAbonoAnticipadoTablaCliente</f>
        <v>0</v>
      </c>
      <c r="T54" s="97">
        <f t="shared" ca="1" si="9"/>
        <v>50536.242312791699</v>
      </c>
      <c r="V54" t="b">
        <f ca="1">_Saldo_Final _Anterior &gt; 0</f>
        <v>1</v>
      </c>
      <c r="W54" s="116"/>
      <c r="X54" s="97">
        <f ca="1" xml:space="preserve"> T_AutoYSeguroMulti!Pago.Fijo + T_SeguroAnual!_Pago_Fijo</f>
        <v>3138.3234252721923</v>
      </c>
      <c r="Y54" s="97">
        <f ca="1" xml:space="preserve"> T_AutoYSeguroMulti!_Capital + T_SeguroAnual!_Capital</f>
        <v>2838.4289390650929</v>
      </c>
      <c r="Z54" s="97">
        <f t="shared" ca="1" si="10"/>
        <v>2838.4289390650929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50536.242312791699</v>
      </c>
      <c r="M55" s="96">
        <f ca="1">MIN( CHOOSE(Opcion.Abono, _Capital_Opcion_1, _Capital_Opcion_2, _Capital_Opcion_3) _Actual, _Saldo_Inicial _Actual)</f>
        <v>2854.3771251307198</v>
      </c>
      <c r="N55" s="96">
        <f t="shared" ca="1" si="6"/>
        <v>18.108820162083692</v>
      </c>
      <c r="O55" s="97">
        <f ca="1">T_AutoYSeguroMulti!_Dias_Interes_Periodo</f>
        <v>14</v>
      </c>
      <c r="P55" s="97">
        <f t="shared" ca="1" si="7"/>
        <v>253.52348226917169</v>
      </c>
      <c r="Q55" s="97">
        <f t="shared" ca="1" si="8"/>
        <v>30.422817872300602</v>
      </c>
      <c r="R55" s="97">
        <f ca="1">IF(TablaCliente!A55="","",IF(T_Merger!L55=0,0,ROUND(+T_Merger!M55+T_Merger!S55+T_Merger!P55+T_Merger!Q55,2)))</f>
        <v>3138.32</v>
      </c>
      <c r="S55" s="310">
        <f>TablaCliente!_CapturaAbonoAnticipadoTablaCliente</f>
        <v>0</v>
      </c>
      <c r="T55" s="97">
        <f t="shared" ca="1" si="9"/>
        <v>47681.86518766098</v>
      </c>
      <c r="V55" t="b">
        <f ca="1">_Saldo_Final _Anterior &gt; 0</f>
        <v>1</v>
      </c>
      <c r="W55" s="116"/>
      <c r="X55" s="97">
        <f ca="1" xml:space="preserve"> T_AutoYSeguroMulti!Pago.Fijo + T_SeguroAnual!_Pago_Fijo</f>
        <v>3138.3234252721923</v>
      </c>
      <c r="Y55" s="97">
        <f ca="1" xml:space="preserve"> T_AutoYSeguroMulti!_Capital + T_SeguroAnual!_Capital</f>
        <v>2854.3771251307198</v>
      </c>
      <c r="Z55" s="97">
        <f t="shared" ca="1" si="10"/>
        <v>2854.3771251307198</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47681.86518766098</v>
      </c>
      <c r="M56" s="96">
        <f ca="1">MIN( CHOOSE(Opcion.Abono, _Capital_Opcion_1, _Capital_Opcion_2, _Capital_Opcion_3) _Actual, _Saldo_Inicial _Actual)</f>
        <v>2870.414918737788</v>
      </c>
      <c r="N56" s="96">
        <f t="shared" ca="1" si="6"/>
        <v>17.086001692245183</v>
      </c>
      <c r="O56" s="97">
        <f ca="1">T_AutoYSeguroMulti!_Dias_Interes_Periodo</f>
        <v>14</v>
      </c>
      <c r="P56" s="97">
        <f t="shared" ca="1" si="7"/>
        <v>239.20402369143255</v>
      </c>
      <c r="Q56" s="97">
        <f t="shared" ca="1" si="8"/>
        <v>28.704482842971906</v>
      </c>
      <c r="R56" s="97">
        <f ca="1">IF(TablaCliente!A56="","",IF(T_Merger!L56=0,0,ROUND(+T_Merger!M56+T_Merger!S56+T_Merger!P56+T_Merger!Q56,2)))</f>
        <v>3138.32</v>
      </c>
      <c r="S56" s="310">
        <f>TablaCliente!_CapturaAbonoAnticipadoTablaCliente</f>
        <v>0</v>
      </c>
      <c r="T56" s="97">
        <f t="shared" ca="1" si="9"/>
        <v>44811.450268923189</v>
      </c>
      <c r="V56" t="b">
        <f ca="1">_Saldo_Final _Anterior &gt; 0</f>
        <v>1</v>
      </c>
      <c r="W56" s="116"/>
      <c r="X56" s="97">
        <f ca="1" xml:space="preserve"> T_AutoYSeguroMulti!Pago.Fijo + T_SeguroAnual!_Pago_Fijo</f>
        <v>3138.3234252721923</v>
      </c>
      <c r="Y56" s="97">
        <f ca="1" xml:space="preserve"> T_AutoYSeguroMulti!_Capital + T_SeguroAnual!_Capital</f>
        <v>2870.414918737788</v>
      </c>
      <c r="Z56" s="97">
        <f t="shared" ca="1" si="10"/>
        <v>2870.414918737788</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44811.450268923189</v>
      </c>
      <c r="M57" s="96">
        <f ca="1">MIN( CHOOSE(Opcion.Abono, _Capital_Opcion_1, _Capital_Opcion_2, _Capital_Opcion_3) _Actual, _Saldo_Inicial _Actual)</f>
        <v>2886.5428233612024</v>
      </c>
      <c r="N57" s="96">
        <f t="shared" ca="1" si="6"/>
        <v>16.057436346364142</v>
      </c>
      <c r="O57" s="97">
        <f ca="1">T_AutoYSeguroMulti!_Dias_Interes_Periodo</f>
        <v>14</v>
      </c>
      <c r="P57" s="97">
        <f t="shared" ca="1" si="7"/>
        <v>224.80410884909799</v>
      </c>
      <c r="Q57" s="97">
        <f t="shared" ca="1" si="8"/>
        <v>26.976493061891759</v>
      </c>
      <c r="R57" s="97">
        <f ca="1">IF(TablaCliente!A57="","",IF(T_Merger!L57=0,0,ROUND(+T_Merger!M57+T_Merger!S57+T_Merger!P57+T_Merger!Q57,2)))</f>
        <v>3138.32</v>
      </c>
      <c r="S57" s="310">
        <f>TablaCliente!_CapturaAbonoAnticipadoTablaCliente</f>
        <v>0</v>
      </c>
      <c r="T57" s="97">
        <f t="shared" ca="1" si="9"/>
        <v>41924.907445561985</v>
      </c>
      <c r="V57" t="b">
        <f ca="1">_Saldo_Final _Anterior &gt; 0</f>
        <v>1</v>
      </c>
      <c r="W57" s="116"/>
      <c r="X57" s="97">
        <f ca="1" xml:space="preserve"> T_AutoYSeguroMulti!Pago.Fijo + T_SeguroAnual!_Pago_Fijo</f>
        <v>3138.3234252721923</v>
      </c>
      <c r="Y57" s="97">
        <f ca="1" xml:space="preserve"> T_AutoYSeguroMulti!_Capital + T_SeguroAnual!_Capital</f>
        <v>2886.5428233612024</v>
      </c>
      <c r="Z57" s="97">
        <f t="shared" ca="1" si="10"/>
        <v>2886.5428233612024</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41924.907445561985</v>
      </c>
      <c r="M58" s="96">
        <f ca="1">MIN( CHOOSE(Opcion.Abono, _Capital_Opcion_1, _Capital_Opcion_2, _Capital_Opcion_3) _Actual, _Saldo_Inicial _Actual)</f>
        <v>2902.7613453047279</v>
      </c>
      <c r="N58" s="96">
        <f t="shared" ca="1" si="6"/>
        <v>15.023091834659711</v>
      </c>
      <c r="O58" s="97">
        <f ca="1">T_AutoYSeguroMulti!_Dias_Interes_Periodo</f>
        <v>14</v>
      </c>
      <c r="P58" s="97">
        <f t="shared" ca="1" si="7"/>
        <v>210.32328568523596</v>
      </c>
      <c r="Q58" s="97">
        <f t="shared" ca="1" si="8"/>
        <v>25.238794282228316</v>
      </c>
      <c r="R58" s="97">
        <f ca="1">IF(TablaCliente!A58="","",IF(T_Merger!L58=0,0,ROUND(+T_Merger!M58+T_Merger!S58+T_Merger!P58+T_Merger!Q58,2)))</f>
        <v>3138.32</v>
      </c>
      <c r="S58" s="310">
        <f>TablaCliente!_CapturaAbonoAnticipadoTablaCliente</f>
        <v>0</v>
      </c>
      <c r="T58" s="97">
        <f t="shared" ca="1" si="9"/>
        <v>39022.146100257254</v>
      </c>
      <c r="V58" t="b">
        <f ca="1">_Saldo_Final _Anterior &gt; 0</f>
        <v>1</v>
      </c>
      <c r="W58" s="116"/>
      <c r="X58" s="97">
        <f ca="1" xml:space="preserve"> T_AutoYSeguroMulti!Pago.Fijo + T_SeguroAnual!_Pago_Fijo</f>
        <v>3138.3234252721923</v>
      </c>
      <c r="Y58" s="97">
        <f ca="1" xml:space="preserve"> T_AutoYSeguroMulti!_Capital + T_SeguroAnual!_Capital</f>
        <v>2902.7613453047279</v>
      </c>
      <c r="Z58" s="97">
        <f t="shared" ca="1" si="10"/>
        <v>2902.7613453047279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39022.146100257254</v>
      </c>
      <c r="M59" s="96">
        <f ca="1">MIN( CHOOSE(Opcion.Abono, _Capital_Opcion_1, _Capital_Opcion_2, _Capital_Opcion_3) _Actual, _Saldo_Inicial _Actual)</f>
        <v>2919.0709937168799</v>
      </c>
      <c r="N59" s="96">
        <f t="shared" ca="1" si="6"/>
        <v>13.982935685925517</v>
      </c>
      <c r="O59" s="97">
        <f ca="1">T_AutoYSeguroMulti!_Dias_Interes_Periodo</f>
        <v>14</v>
      </c>
      <c r="P59" s="97">
        <f t="shared" ca="1" si="7"/>
        <v>195.76109960295724</v>
      </c>
      <c r="Q59" s="97">
        <f t="shared" ca="1" si="8"/>
        <v>23.491331952354869</v>
      </c>
      <c r="R59" s="97">
        <f ca="1">IF(TablaCliente!A59="","",IF(T_Merger!L59=0,0,ROUND(+T_Merger!M59+T_Merger!S59+T_Merger!P59+T_Merger!Q59,2)))</f>
        <v>3138.32</v>
      </c>
      <c r="S59" s="310">
        <f>TablaCliente!_CapturaAbonoAnticipadoTablaCliente</f>
        <v>0</v>
      </c>
      <c r="T59" s="97">
        <f t="shared" ca="1" si="9"/>
        <v>36103.075106540375</v>
      </c>
      <c r="V59" t="b">
        <f ca="1">_Saldo_Final _Anterior &gt; 0</f>
        <v>1</v>
      </c>
      <c r="W59" s="116"/>
      <c r="X59" s="97">
        <f ca="1" xml:space="preserve"> T_AutoYSeguroMulti!Pago.Fijo + T_SeguroAnual!_Pago_Fijo</f>
        <v>3138.3234252721923</v>
      </c>
      <c r="Y59" s="97">
        <f ca="1" xml:space="preserve"> T_AutoYSeguroMulti!_Capital + T_SeguroAnual!_Capital</f>
        <v>2919.0709937168799</v>
      </c>
      <c r="Z59" s="97">
        <f t="shared" ca="1" si="10"/>
        <v>2919.0709937168799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36103.075106540375</v>
      </c>
      <c r="M60" s="96">
        <f ca="1">MIN( CHOOSE(Opcion.Abono, _Capital_Opcion_1, _Capital_Opcion_2, _Capital_Opcion_3) _Actual, _Saldo_Inicial _Actual)</f>
        <v>2935.4722806069108</v>
      </c>
      <c r="N60" s="96">
        <f t="shared" ca="1" si="6"/>
        <v>12.9369352465103</v>
      </c>
      <c r="O60" s="97">
        <f ca="1">T_AutoYSeguroMulti!_Dias_Interes_Periodo</f>
        <v>14</v>
      </c>
      <c r="P60" s="97">
        <f t="shared" ca="1" si="7"/>
        <v>181.1170934511442</v>
      </c>
      <c r="Q60" s="97">
        <f t="shared" ca="1" si="8"/>
        <v>21.734051214137303</v>
      </c>
      <c r="R60" s="97">
        <f ca="1">IF(TablaCliente!A60="","",IF(T_Merger!L60=0,0,ROUND(+T_Merger!M60+T_Merger!S60+T_Merger!P60+T_Merger!Q60,2)))</f>
        <v>3138.32</v>
      </c>
      <c r="S60" s="310">
        <f>TablaCliente!_CapturaAbonoAnticipadoTablaCliente</f>
        <v>0</v>
      </c>
      <c r="T60" s="97">
        <f t="shared" ca="1" si="9"/>
        <v>33167.602825933463</v>
      </c>
      <c r="V60" t="b">
        <f ca="1">_Saldo_Final _Anterior &gt; 0</f>
        <v>1</v>
      </c>
      <c r="W60" s="116"/>
      <c r="X60" s="97">
        <f ca="1" xml:space="preserve"> T_AutoYSeguroMulti!Pago.Fijo + T_SeguroAnual!_Pago_Fijo</f>
        <v>3138.3234252721923</v>
      </c>
      <c r="Y60" s="97">
        <f ca="1" xml:space="preserve"> T_AutoYSeguroMulti!_Capital + T_SeguroAnual!_Capital</f>
        <v>2935.4722806069108</v>
      </c>
      <c r="Z60" s="97">
        <f t="shared" ca="1" si="10"/>
        <v>2935.4722806069108</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33167.602825933463</v>
      </c>
      <c r="M61" s="96">
        <f ca="1">MIN( CHOOSE(Opcion.Abono, _Capital_Opcion_1, _Capital_Opcion_2, _Capital_Opcion_3) _Actual, _Saldo_Inicial _Actual)</f>
        <v>2951.9657208608805</v>
      </c>
      <c r="N61" s="96">
        <f t="shared" ca="1" si="6"/>
        <v>11.885057679292824</v>
      </c>
      <c r="O61" s="97">
        <f ca="1">T_AutoYSeguroMulti!_Dias_Interes_Periodo</f>
        <v>14</v>
      </c>
      <c r="P61" s="97">
        <f t="shared" ca="1" si="7"/>
        <v>166.39080751009953</v>
      </c>
      <c r="Q61" s="97">
        <f t="shared" ca="1" si="8"/>
        <v>19.966896901211943</v>
      </c>
      <c r="R61" s="97">
        <f ca="1">IF(TablaCliente!A61="","",IF(T_Merger!L61=0,0,ROUND(+T_Merger!M61+T_Merger!S61+T_Merger!P61+T_Merger!Q61,2)))</f>
        <v>3138.32</v>
      </c>
      <c r="S61" s="310">
        <f>TablaCliente!_CapturaAbonoAnticipadoTablaCliente</f>
        <v>0</v>
      </c>
      <c r="T61" s="97">
        <f t="shared" ca="1" si="9"/>
        <v>30215.637105072583</v>
      </c>
      <c r="V61" t="b">
        <f ca="1">_Saldo_Final _Anterior &gt; 0</f>
        <v>1</v>
      </c>
      <c r="W61" s="116"/>
      <c r="X61" s="97">
        <f ca="1" xml:space="preserve"> T_AutoYSeguroMulti!Pago.Fijo + T_SeguroAnual!_Pago_Fijo</f>
        <v>3138.3234252721923</v>
      </c>
      <c r="Y61" s="97">
        <f ca="1" xml:space="preserve"> T_AutoYSeguroMulti!_Capital + T_SeguroAnual!_Capital</f>
        <v>2951.9657208608805</v>
      </c>
      <c r="Z61" s="97">
        <f t="shared" ca="1" si="10"/>
        <v>2951.9657208608805</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30215.637105072583</v>
      </c>
      <c r="M62" s="96">
        <f ca="1">MIN( CHOOSE(Opcion.Abono, _Capital_Opcion_1, _Capital_Opcion_2, _Capital_Opcion_3) _Actual, _Saldo_Inicial _Actual)</f>
        <v>2968.5518322578246</v>
      </c>
      <c r="N62" s="96">
        <f t="shared" ca="1" si="6"/>
        <v>10.827269962651009</v>
      </c>
      <c r="O62" s="97">
        <f ca="1">T_AutoYSeguroMulti!_Dias_Interes_Periodo</f>
        <v>14</v>
      </c>
      <c r="P62" s="97">
        <f t="shared" ca="1" si="7"/>
        <v>151.58177947711414</v>
      </c>
      <c r="Q62" s="97">
        <f t="shared" ca="1" si="8"/>
        <v>18.189813537253695</v>
      </c>
      <c r="R62" s="97">
        <f ca="1">IF(TablaCliente!A62="","",IF(T_Merger!L62=0,0,ROUND(+T_Merger!M62+T_Merger!S62+T_Merger!P62+T_Merger!Q62,2)))</f>
        <v>3138.32</v>
      </c>
      <c r="S62" s="310">
        <f>TablaCliente!_CapturaAbonoAnticipadoTablaCliente</f>
        <v>0</v>
      </c>
      <c r="T62" s="97">
        <f t="shared" ca="1" si="9"/>
        <v>27247.085272814758</v>
      </c>
      <c r="V62" t="b">
        <f ca="1">_Saldo_Final _Anterior &gt; 0</f>
        <v>1</v>
      </c>
      <c r="W62" s="116"/>
      <c r="X62" s="97">
        <f ca="1" xml:space="preserve"> T_AutoYSeguroMulti!Pago.Fijo + T_SeguroAnual!_Pago_Fijo</f>
        <v>3138.3234252721923</v>
      </c>
      <c r="Y62" s="97">
        <f ca="1" xml:space="preserve"> T_AutoYSeguroMulti!_Capital + T_SeguroAnual!_Capital</f>
        <v>2968.5518322578246</v>
      </c>
      <c r="Z62" s="97">
        <f t="shared" ca="1" si="10"/>
        <v>2968.5518322578246</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27247.085272814758</v>
      </c>
      <c r="M63" s="96">
        <f ca="1">MIN( CHOOSE(Opcion.Abono, _Capital_Opcion_1, _Capital_Opcion_2, _Capital_Opcion_3) _Actual, _Saldo_Inicial _Actual)</f>
        <v>2985.231135486004</v>
      </c>
      <c r="N63" s="96">
        <f t="shared" ca="1" si="6"/>
        <v>9.7635388894252877</v>
      </c>
      <c r="O63" s="97">
        <f ca="1">T_AutoYSeguroMulti!_Dias_Interes_Periodo</f>
        <v>14</v>
      </c>
      <c r="P63" s="97">
        <f t="shared" ca="1" si="7"/>
        <v>136.68954445195402</v>
      </c>
      <c r="Q63" s="97">
        <f t="shared" ca="1" si="8"/>
        <v>16.402745334234481</v>
      </c>
      <c r="R63" s="97">
        <f ca="1">IF(TablaCliente!A63="","",IF(T_Merger!L63=0,0,ROUND(+T_Merger!M63+T_Merger!S63+T_Merger!P63+T_Merger!Q63,2)))</f>
        <v>3138.32</v>
      </c>
      <c r="S63" s="310">
        <f>TablaCliente!_CapturaAbonoAnticipadoTablaCliente</f>
        <v>0</v>
      </c>
      <c r="T63" s="97">
        <f t="shared" ca="1" si="9"/>
        <v>24261.854137328755</v>
      </c>
      <c r="V63" t="b">
        <f ca="1">_Saldo_Final _Anterior &gt; 0</f>
        <v>1</v>
      </c>
      <c r="W63" s="116"/>
      <c r="X63" s="97">
        <f ca="1" xml:space="preserve"> T_AutoYSeguroMulti!Pago.Fijo + T_SeguroAnual!_Pago_Fijo</f>
        <v>3138.3234252721923</v>
      </c>
      <c r="Y63" s="97">
        <f ca="1" xml:space="preserve"> T_AutoYSeguroMulti!_Capital + T_SeguroAnual!_Capital</f>
        <v>2985.231135486004</v>
      </c>
      <c r="Z63" s="97">
        <f t="shared" ca="1" si="10"/>
        <v>2985.231135486004</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24261.854137328755</v>
      </c>
      <c r="M64" s="96">
        <f ca="1">MIN( CHOOSE(Opcion.Abono, _Capital_Opcion_1, _Capital_Opcion_2, _Capital_Opcion_3) _Actual, _Saldo_Inicial _Actual)</f>
        <v>3002.0041541592545</v>
      </c>
      <c r="N64" s="96">
        <f t="shared" ca="1" si="6"/>
        <v>8.6938310658761377</v>
      </c>
      <c r="O64" s="97">
        <f ca="1">T_AutoYSeguroMulti!_Dias_Interes_Periodo</f>
        <v>14</v>
      </c>
      <c r="P64" s="97">
        <f t="shared" ca="1" si="7"/>
        <v>121.71363492226592</v>
      </c>
      <c r="Q64" s="97">
        <f t="shared" ca="1" si="8"/>
        <v>14.605636190671911</v>
      </c>
      <c r="R64" s="97">
        <f ca="1">IF(TablaCliente!A64="","",IF(T_Merger!L64=0,0,ROUND(+T_Merger!M64+T_Merger!S64+T_Merger!P64+T_Merger!Q64,2)))</f>
        <v>3138.32</v>
      </c>
      <c r="S64" s="310">
        <f>TablaCliente!_CapturaAbonoAnticipadoTablaCliente</f>
        <v>0</v>
      </c>
      <c r="T64" s="97">
        <f t="shared" ca="1" si="9"/>
        <v>21259.849983169501</v>
      </c>
      <c r="V64" t="b">
        <f ca="1">_Saldo_Final _Anterior &gt; 0</f>
        <v>1</v>
      </c>
      <c r="W64" s="116"/>
      <c r="X64" s="97">
        <f ca="1" xml:space="preserve"> T_AutoYSeguroMulti!Pago.Fijo + T_SeguroAnual!_Pago_Fijo</f>
        <v>3138.3234252721923</v>
      </c>
      <c r="Y64" s="97">
        <f ca="1" xml:space="preserve"> T_AutoYSeguroMulti!_Capital + T_SeguroAnual!_Capital</f>
        <v>3002.0041541592545</v>
      </c>
      <c r="Z64" s="97">
        <f t="shared" ca="1" si="10"/>
        <v>3002.0041541592545</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21259.849983169501</v>
      </c>
      <c r="M65" s="96">
        <f ca="1">MIN( CHOOSE(Opcion.Abono, _Capital_Opcion_1, _Capital_Opcion_2, _Capital_Opcion_3) _Actual, _Saldo_Inicial _Actual)</f>
        <v>3018.8714148334238</v>
      </c>
      <c r="N65" s="96">
        <f t="shared" ca="1" si="6"/>
        <v>7.6181129106357375</v>
      </c>
      <c r="O65" s="97">
        <f ca="1">T_AutoYSeguroMulti!_Dias_Interes_Periodo</f>
        <v>14</v>
      </c>
      <c r="P65" s="97">
        <f t="shared" ca="1" si="7"/>
        <v>106.65358074890032</v>
      </c>
      <c r="Q65" s="97">
        <f t="shared" ca="1" si="8"/>
        <v>12.798429689868039</v>
      </c>
      <c r="R65" s="97">
        <f ca="1">IF(TablaCliente!A65="","",IF(T_Merger!L65=0,0,ROUND(+T_Merger!M65+T_Merger!S65+T_Merger!P65+T_Merger!Q65,2)))</f>
        <v>3138.32</v>
      </c>
      <c r="S65" s="310">
        <f>TablaCliente!_CapturaAbonoAnticipadoTablaCliente</f>
        <v>0</v>
      </c>
      <c r="T65" s="97">
        <f t="shared" ca="1" si="9"/>
        <v>18240.978568336075</v>
      </c>
      <c r="V65" t="b">
        <f ca="1">_Saldo_Final _Anterior &gt; 0</f>
        <v>1</v>
      </c>
      <c r="W65" s="116"/>
      <c r="X65" s="97">
        <f ca="1" xml:space="preserve"> T_AutoYSeguroMulti!Pago.Fijo + T_SeguroAnual!_Pago_Fijo</f>
        <v>3138.3234252721923</v>
      </c>
      <c r="Y65" s="97">
        <f ca="1" xml:space="preserve"> T_AutoYSeguroMulti!_Capital + T_SeguroAnual!_Capital</f>
        <v>3018.8714148334238</v>
      </c>
      <c r="Z65" s="97">
        <f t="shared" ca="1" si="10"/>
        <v>3018.8714148334238</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18240.978568336075</v>
      </c>
      <c r="M66" s="96">
        <f ca="1">MIN( CHOOSE(Opcion.Abono, _Capital_Opcion_1, _Capital_Opcion_2, _Capital_Opcion_3) _Actual, _Saldo_Inicial _Actual)</f>
        <v>3035.8334470229015</v>
      </c>
      <c r="N66" s="96">
        <f t="shared" ca="1" si="6"/>
        <v>6.5363506536537601</v>
      </c>
      <c r="O66" s="97">
        <f ca="1">T_AutoYSeguroMulti!_Dias_Interes_Periodo</f>
        <v>14</v>
      </c>
      <c r="P66" s="97">
        <f t="shared" ca="1" si="7"/>
        <v>91.508909151152636</v>
      </c>
      <c r="Q66" s="97">
        <f t="shared" ca="1" si="8"/>
        <v>10.981069098138317</v>
      </c>
      <c r="R66" s="97">
        <f ca="1">IF(TablaCliente!A66="","",IF(T_Merger!L66=0,0,ROUND(+T_Merger!M66+T_Merger!S66+T_Merger!P66+T_Merger!Q66,2)))</f>
        <v>3138.32</v>
      </c>
      <c r="S66" s="310">
        <f>TablaCliente!_CapturaAbonoAnticipadoTablaCliente</f>
        <v>0</v>
      </c>
      <c r="T66" s="97">
        <f t="shared" ca="1" si="9"/>
        <v>15205.145121313173</v>
      </c>
      <c r="V66" t="b">
        <f ca="1">_Saldo_Final _Anterior &gt; 0</f>
        <v>1</v>
      </c>
      <c r="W66" s="116"/>
      <c r="X66" s="97">
        <f ca="1" xml:space="preserve"> T_AutoYSeguroMulti!Pago.Fijo + T_SeguroAnual!_Pago_Fijo</f>
        <v>3138.3234252721923</v>
      </c>
      <c r="Y66" s="97">
        <f ca="1" xml:space="preserve"> T_AutoYSeguroMulti!_Capital + T_SeguroAnual!_Capital</f>
        <v>3035.8334470229015</v>
      </c>
      <c r="Z66" s="97">
        <f t="shared" ca="1" si="10"/>
        <v>3035.8334470229015</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15205.145121313173</v>
      </c>
      <c r="M67" s="96">
        <f ca="1">MIN( CHOOSE(Opcion.Abono, _Capital_Opcion_1, _Capital_Opcion_2, _Capital_Opcion_3) _Actual, _Saldo_Inicial _Actual)</f>
        <v>3052.8907832172408</v>
      </c>
      <c r="N67" s="96">
        <f t="shared" ca="1" si="6"/>
        <v>5.4485103351372199</v>
      </c>
      <c r="O67" s="97">
        <f ca="1">T_AutoYSeguroMulti!_Dias_Interes_Periodo</f>
        <v>14</v>
      </c>
      <c r="P67" s="97">
        <f t="shared" ca="1" si="7"/>
        <v>76.279144691921076</v>
      </c>
      <c r="Q67" s="97">
        <f t="shared" ca="1" si="8"/>
        <v>9.1534973630305281</v>
      </c>
      <c r="R67" s="97">
        <f ca="1">IF(TablaCliente!A67="","",IF(T_Merger!L67=0,0,ROUND(+T_Merger!M67+T_Merger!S67+T_Merger!P67+T_Merger!Q67,2)))</f>
        <v>3138.32</v>
      </c>
      <c r="S67" s="310">
        <f>TablaCliente!_CapturaAbonoAnticipadoTablaCliente</f>
        <v>0</v>
      </c>
      <c r="T67" s="97">
        <f t="shared" ca="1" si="9"/>
        <v>12152.254338095932</v>
      </c>
      <c r="V67" t="b">
        <f ca="1">_Saldo_Final _Anterior &gt; 0</f>
        <v>1</v>
      </c>
      <c r="W67" s="116"/>
      <c r="X67" s="97">
        <f ca="1" xml:space="preserve"> T_AutoYSeguroMulti!Pago.Fijo + T_SeguroAnual!_Pago_Fijo</f>
        <v>3138.3234252721923</v>
      </c>
      <c r="Y67" s="97">
        <f ca="1" xml:space="preserve"> T_AutoYSeguroMulti!_Capital + T_SeguroAnual!_Capital</f>
        <v>3052.8907832172408</v>
      </c>
      <c r="Z67" s="97">
        <f t="shared" ca="1" si="10"/>
        <v>3052.8907832172408</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12152.254338095932</v>
      </c>
      <c r="M68" s="96">
        <f ca="1">MIN( CHOOSE(Opcion.Abono, _Capital_Opcion_1, _Capital_Opcion_2, _Capital_Opcion_3) _Actual, _Saldo_Inicial _Actual)</f>
        <v>3070.043958897877</v>
      </c>
      <c r="N68" s="96">
        <f t="shared" ca="1" si="6"/>
        <v>4.3545578044843758</v>
      </c>
      <c r="O68" s="97">
        <f ca="1">T_AutoYSeguroMulti!_Dias_Interes_Periodo</f>
        <v>14</v>
      </c>
      <c r="P68" s="97">
        <f t="shared" ca="1" si="7"/>
        <v>60.963809262781261</v>
      </c>
      <c r="Q68" s="97">
        <f t="shared" ca="1" si="8"/>
        <v>7.315657111533751</v>
      </c>
      <c r="R68" s="97">
        <f ca="1">IF(TablaCliente!A68="","",IF(T_Merger!L68=0,0,ROUND(+T_Merger!M68+T_Merger!S68+T_Merger!P68+T_Merger!Q68,2)))</f>
        <v>3138.32</v>
      </c>
      <c r="S68" s="310">
        <f>TablaCliente!_CapturaAbonoAnticipadoTablaCliente</f>
        <v>0</v>
      </c>
      <c r="T68" s="97">
        <f t="shared" ca="1" si="9"/>
        <v>9082.2103791980553</v>
      </c>
      <c r="V68" t="b">
        <f ca="1">_Saldo_Final _Anterior &gt; 0</f>
        <v>1</v>
      </c>
      <c r="W68" s="116"/>
      <c r="X68" s="97">
        <f ca="1" xml:space="preserve"> T_AutoYSeguroMulti!Pago.Fijo + T_SeguroAnual!_Pago_Fijo</f>
        <v>3138.3234252721923</v>
      </c>
      <c r="Y68" s="97">
        <f ca="1" xml:space="preserve"> T_AutoYSeguroMulti!_Capital + T_SeguroAnual!_Capital</f>
        <v>3070.043958897877</v>
      </c>
      <c r="Z68" s="97">
        <f t="shared" ca="1" si="10"/>
        <v>3070.043958897877</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9082.2103791980553</v>
      </c>
      <c r="M69" s="96">
        <f ca="1">MIN( CHOOSE(Opcion.Abono, _Capital_Opcion_1, _Capital_Opcion_2, _Capital_Opcion_3) _Actual, _Saldo_Inicial _Actual)</f>
        <v>3087.2935125549379</v>
      </c>
      <c r="N69" s="96">
        <f t="shared" ca="1" si="6"/>
        <v>3.2544587192126366</v>
      </c>
      <c r="O69" s="97">
        <f ca="1">T_AutoYSeguroMulti!_Dias_Interes_Periodo</f>
        <v>14</v>
      </c>
      <c r="P69" s="97">
        <f t="shared" ca="1" si="7"/>
        <v>45.562422068976915</v>
      </c>
      <c r="Q69" s="97">
        <f t="shared" ca="1" si="8"/>
        <v>5.4674906482772299</v>
      </c>
      <c r="R69" s="97">
        <f ca="1">IF(TablaCliente!A69="","",IF(T_Merger!L69=0,0,ROUND(+T_Merger!M69+T_Merger!S69+T_Merger!P69+T_Merger!Q69,2)))</f>
        <v>3138.32</v>
      </c>
      <c r="S69" s="310">
        <f>TablaCliente!_CapturaAbonoAnticipadoTablaCliente</f>
        <v>0</v>
      </c>
      <c r="T69" s="97">
        <f t="shared" ca="1" si="9"/>
        <v>5994.9168666431178</v>
      </c>
      <c r="V69" t="b">
        <f ca="1">_Saldo_Final _Anterior &gt; 0</f>
        <v>1</v>
      </c>
      <c r="W69" s="116"/>
      <c r="X69" s="97">
        <f ca="1" xml:space="preserve"> T_AutoYSeguroMulti!Pago.Fijo + T_SeguroAnual!_Pago_Fijo</f>
        <v>3138.3234252721923</v>
      </c>
      <c r="Y69" s="97">
        <f ca="1" xml:space="preserve"> T_AutoYSeguroMulti!_Capital + T_SeguroAnual!_Capital</f>
        <v>3087.2935125549379</v>
      </c>
      <c r="Z69" s="97">
        <f t="shared" ca="1" si="10"/>
        <v>3087.2935125549379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5994.9168666431178</v>
      </c>
      <c r="M70" s="96">
        <f ca="1">MIN( CHOOSE(Opcion.Abono, _Capital_Opcion_1, _Capital_Opcion_2, _Capital_Opcion_3) _Actual, _Saldo_Inicial _Actual)</f>
        <v>3104.639985704147</v>
      </c>
      <c r="N70" s="96">
        <f t="shared" ca="1" si="6"/>
        <v>2.1481785438804506</v>
      </c>
      <c r="O70" s="97">
        <f ca="1">T_AutoYSeguroMulti!_Dias_Interes_Periodo</f>
        <v>14</v>
      </c>
      <c r="P70" s="97">
        <f t="shared" ca="1" si="7"/>
        <v>30.074499614326307</v>
      </c>
      <c r="Q70" s="97">
        <f t="shared" ca="1" si="8"/>
        <v>3.6089399537191564</v>
      </c>
      <c r="R70" s="97">
        <f ca="1">IF(TablaCliente!A70="","",IF(T_Merger!L70=0,0,ROUND(+T_Merger!M70+T_Merger!S70+T_Merger!P70+T_Merger!Q70,2)))</f>
        <v>3138.32</v>
      </c>
      <c r="S70" s="310">
        <f>TablaCliente!_CapturaAbonoAnticipadoTablaCliente</f>
        <v>0</v>
      </c>
      <c r="T70" s="97">
        <f t="shared" ca="1" si="9"/>
        <v>2890.2768809389709</v>
      </c>
      <c r="V70" t="b">
        <f ca="1">_Saldo_Final _Anterior &gt; 0</f>
        <v>1</v>
      </c>
      <c r="W70" s="116"/>
      <c r="X70" s="97">
        <f ca="1" xml:space="preserve"> T_AutoYSeguroMulti!Pago.Fijo + T_SeguroAnual!_Pago_Fijo</f>
        <v>3138.3234252721923</v>
      </c>
      <c r="Y70" s="97">
        <f ca="1" xml:space="preserve"> T_AutoYSeguroMulti!_Capital + T_SeguroAnual!_Capital</f>
        <v>3104.639985704147</v>
      </c>
      <c r="Z70" s="97">
        <f t="shared" ca="1" si="10"/>
        <v>3104.639985704147</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2890.2768809389709</v>
      </c>
      <c r="M71" s="96">
        <f ca="1">MIN( CHOOSE(Opcion.Abono, _Capital_Opcion_1, _Capital_Opcion_2, _Capital_Opcion_3) _Actual, _Saldo_Inicial _Actual)</f>
        <v>2890.2768809389709</v>
      </c>
      <c r="N71" s="96">
        <f t="shared" ca="1" si="6"/>
        <v>1.0356825490031312</v>
      </c>
      <c r="O71" s="97">
        <f ca="1">T_AutoYSeguroMulti!_Dias_Interes_Periodo</f>
        <v>14</v>
      </c>
      <c r="P71" s="97">
        <f t="shared" ca="1" si="7"/>
        <v>14.499555686043836</v>
      </c>
      <c r="Q71" s="97">
        <f t="shared" ca="1" si="8"/>
        <v>1.7399466823252603</v>
      </c>
      <c r="R71" s="97">
        <f ca="1">IF(TablaCliente!A71="","",IF(T_Merger!L71=0,0,ROUND(+T_Merger!M71+T_Merger!S71+T_Merger!P71+T_Merger!Q71,2)))</f>
        <v>2906.52</v>
      </c>
      <c r="S71" s="310">
        <f>TablaCliente!_CapturaAbonoAnticipadoTablaCliente</f>
        <v>0</v>
      </c>
      <c r="T71" s="97">
        <f t="shared" ca="1" si="9"/>
        <v>0</v>
      </c>
      <c r="V71" t="b">
        <f ca="1">_Saldo_Final _Anterior &gt; 0</f>
        <v>1</v>
      </c>
      <c r="W71" s="116"/>
      <c r="X71" s="97">
        <f ca="1" xml:space="preserve"> T_AutoYSeguroMulti!Pago.Fijo + T_SeguroAnual!_Pago_Fijo</f>
        <v>3138.3234252721923</v>
      </c>
      <c r="Y71" s="97">
        <f ca="1" xml:space="preserve"> T_AutoYSeguroMulti!_Capital + T_SeguroAnual!_Capital</f>
        <v>2890.2768809389709</v>
      </c>
      <c r="Z71" s="97">
        <f t="shared" ca="1" si="10"/>
        <v>3122.0839229038233</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 ca="1">T_AutoYSeguroMulti!_Dias_Interes_Periodo</f>
        <v>14</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3138.3234252721923</v>
      </c>
      <c r="Y72" s="97">
        <f ca="1" xml:space="preserve"> T_AutoYSeguroMulti!_Capital + T_SeguroAnual!_Capital</f>
        <v>0</v>
      </c>
      <c r="Z72" s="97">
        <f t="shared" ca="1" si="10"/>
        <v>3138.3234252721923</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 ca="1">T_AutoYSeguroMulti!_Dias_Interes_Periodo</f>
        <v>14</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3138.3234252721923</v>
      </c>
      <c r="Y73" s="97">
        <f ca="1" xml:space="preserve"> T_AutoYSeguroMulti!_Capital + T_SeguroAnual!_Capital</f>
        <v>0</v>
      </c>
      <c r="Z73" s="97">
        <f t="shared" ca="1" si="10"/>
        <v>3138.3234252721923</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 ca="1">T_AutoYSeguroMulti!_Dias_Interes_Periodo</f>
        <v>14</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3138.3234252721923</v>
      </c>
      <c r="Y74" s="97">
        <f ca="1" xml:space="preserve"> T_AutoYSeguroMulti!_Capital + T_SeguroAnual!_Capital</f>
        <v>0</v>
      </c>
      <c r="Z74" s="97">
        <f t="shared" ca="1" si="10"/>
        <v>3138.3234252721923</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 ca="1">T_AutoYSeguroMulti!_Dias_Interes_Periodo</f>
        <v>14</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3138.3234252721923</v>
      </c>
      <c r="Y75" s="97">
        <f ca="1" xml:space="preserve"> T_AutoYSeguroMulti!_Capital + T_SeguroAnual!_Capital</f>
        <v>0</v>
      </c>
      <c r="Z75" s="97">
        <f t="shared" ca="1" si="10"/>
        <v>3138.3234252721923</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 ca="1">T_AutoYSeguroMulti!_Dias_Interes_Periodo</f>
        <v>14</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3138.3234252721923</v>
      </c>
      <c r="Y76" s="97">
        <f ca="1" xml:space="preserve"> T_AutoYSeguroMulti!_Capital + T_SeguroAnual!_Capital</f>
        <v>0</v>
      </c>
      <c r="Z76" s="97">
        <f t="shared" ca="1" si="10"/>
        <v>3138.3234252721923</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 ca="1">T_AutoYSeguroMulti!_Dias_Interes_Periodo</f>
        <v>14</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3138.3234252721923</v>
      </c>
      <c r="Y77" s="97">
        <f ca="1" xml:space="preserve"> T_AutoYSeguroMulti!_Capital + T_SeguroAnual!_Capital</f>
        <v>0</v>
      </c>
      <c r="Z77" s="97">
        <f t="shared" ca="1" si="10"/>
        <v>3138.3234252721923</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 ca="1">T_AutoYSeguroMulti!_Dias_Interes_Periodo</f>
        <v>14</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3138.3234252721923</v>
      </c>
      <c r="Y78" s="97">
        <f ca="1" xml:space="preserve"> T_AutoYSeguroMulti!_Capital + T_SeguroAnual!_Capital</f>
        <v>0</v>
      </c>
      <c r="Z78" s="97">
        <f t="shared" ca="1" si="10"/>
        <v>3138.3234252721923</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 ca="1">T_AutoYSeguroMulti!_Dias_Interes_Periodo</f>
        <v>14</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3138.3234252721923</v>
      </c>
      <c r="Y79" s="97">
        <f ca="1" xml:space="preserve"> T_AutoYSeguroMulti!_Capital + T_SeguroAnual!_Capital</f>
        <v>0</v>
      </c>
      <c r="Z79" s="97">
        <f t="shared" ca="1" si="10"/>
        <v>3138.3234252721923</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3" t="s">
        <v>59</v>
      </c>
      <c r="Z14" s="953"/>
      <c r="AA14" s="953"/>
      <c r="AB14" s="953"/>
      <c r="AD14" s="959" t="s">
        <v>72</v>
      </c>
      <c r="AE14" s="960"/>
      <c r="AF14" s="960"/>
      <c r="AG14" s="960"/>
      <c r="AH14" s="961"/>
      <c r="AJ14" s="959" t="s">
        <v>1722</v>
      </c>
      <c r="AK14" s="961"/>
      <c r="AM14" s="953" t="s">
        <v>64</v>
      </c>
      <c r="AN14" s="953"/>
      <c r="AO14" s="953"/>
      <c r="AP14" s="953"/>
      <c r="AQ14" s="953"/>
      <c r="AR14" s="953"/>
      <c r="AS14" s="953"/>
      <c r="AT14"/>
      <c r="AU14" s="959" t="s">
        <v>1727</v>
      </c>
      <c r="AV14" s="960"/>
      <c r="AW14" s="960"/>
      <c r="AX14" s="960"/>
      <c r="AY14" s="960"/>
      <c r="AZ14" s="961"/>
      <c r="BB14" s="959" t="s">
        <v>1713</v>
      </c>
      <c r="BC14" s="960"/>
      <c r="BD14" s="960"/>
      <c r="BE14" s="961"/>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4.9615384615384617E-3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14</v>
      </c>
      <c r="E18" s="289" t="s">
        <v>55</v>
      </c>
      <c r="F18" s="274">
        <f ca="1" xml:space="preserve"> Tasa.Interes / Dias.En.Año</f>
        <v>3.5833333333333333E-4</v>
      </c>
      <c r="J18" s="44" t="s">
        <v>1710</v>
      </c>
      <c r="M18" s="14"/>
      <c r="N18" s="14"/>
      <c r="O18" s="86">
        <f ca="1">SUM(_Capital)</f>
        <v>140999.99999999997</v>
      </c>
      <c r="P18" s="86"/>
      <c r="Q18" s="86"/>
      <c r="R18" s="86"/>
      <c r="S18" s="86">
        <f ca="1">SUM(_Interes)</f>
        <v>19608.045600168894</v>
      </c>
      <c r="T18" s="86">
        <f ca="1">SUM(_Iva)</f>
        <v>2352.9654720202675</v>
      </c>
      <c r="V18" s="86">
        <f ca="1">SUM(_Abono_Anticipado)</f>
        <v>0</v>
      </c>
      <c r="W18" s="14"/>
      <c r="X18"/>
      <c r="Y18" s="115"/>
      <c r="Z18" s="86">
        <f ca="1">SUM(_Abono_Sobrante) - (SUM(_Abono_Sobrante_Ciclo_Anterior)*Renueva.Abono.Sobrante?)</f>
        <v>0</v>
      </c>
      <c r="AA18" s="86"/>
      <c r="AB18" s="115"/>
      <c r="AE18"/>
      <c r="AR18" s="86">
        <f ca="1">SUM(_Capital_Original)</f>
        <v>141231.80704196481</v>
      </c>
      <c r="AS18" s="86"/>
      <c r="AT18"/>
      <c r="AU18"/>
      <c r="AV18"/>
      <c r="AW18"/>
      <c r="AX18"/>
      <c r="AY18"/>
      <c r="AZ18"/>
      <c r="BC18" s="86"/>
      <c r="BD18" s="86">
        <f ca="1">SUM(_Interes_CAT)</f>
        <v>19608.045600168894</v>
      </c>
      <c r="BF18" s="14"/>
      <c r="BG18" s="14"/>
      <c r="BI18" s="85" t="s">
        <v>81</v>
      </c>
      <c r="BR18" s="14"/>
      <c r="BS18" s="14"/>
      <c r="BT18" s="14"/>
      <c r="BU18" s="14"/>
      <c r="BV18" s="14"/>
      <c r="BY18" s="14"/>
      <c r="BZ18" s="14"/>
      <c r="CA18" s="14"/>
    </row>
    <row r="19" spans="2:79">
      <c r="B19" s="290" t="s">
        <v>1731</v>
      </c>
      <c r="C19" s="291">
        <f ca="1">'Configuración de Tablas'!B10</f>
        <v>26</v>
      </c>
      <c r="E19" s="289" t="s">
        <v>54</v>
      </c>
      <c r="F19" s="274">
        <f ca="1" xml:space="preserve"> Tasa.Diaria * Dias.Por.Periodo</f>
        <v>5.0166666666666667E-3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52</v>
      </c>
      <c r="E20" s="290" t="s">
        <v>53</v>
      </c>
      <c r="F20" s="116">
        <f ca="1">IF( Tabla.Ciclica.Anual?, Periodos.Por.Año, Numero.Pagos )</f>
        <v>52</v>
      </c>
      <c r="J20" s="14">
        <v>1</v>
      </c>
      <c r="L20" s="97">
        <f ca="1">_Saldo_Ciclico</f>
        <v>141000</v>
      </c>
      <c r="M20" s="97">
        <f ca="1">MIN( CHOOSE(Opcion.Abono, _Capital_Opcion_1, _Capital_Opcion_2, _Capital_Opcion_3) _Actual, _Saldo_Inicial _Actual)</f>
        <v>2346.0914252721923</v>
      </c>
      <c r="N20" s="97">
        <f t="shared" ref="N20:N51" ca="1" si="0">_Saldo_Inicial * ( _Amortizacion = Numero.Pagos )</f>
        <v>0</v>
      </c>
      <c r="O20" s="309">
        <f ca="1">MAX( _Capital_Elegida _Actual, _Stopper_Capital _Actual)</f>
        <v>2346.0914252721923</v>
      </c>
      <c r="P20" s="118">
        <f t="shared" ref="P20:P51" ca="1" si="1">_Saldo_Inicial * Tasa.Diaria</f>
        <v>50.524999999999999</v>
      </c>
      <c r="Q20" s="118">
        <f t="shared" ref="Q20:Q78" ca="1" si="2" xml:space="preserve"> _Interes_Diario * Dias.Por.Periodo</f>
        <v>707.35</v>
      </c>
      <c r="R20" s="309">
        <f ca="1">Fechas!_Dias_Interes_Pago</f>
        <v>14</v>
      </c>
      <c r="S20" s="20">
        <f t="shared" ref="S20:S51" ca="1" si="3">_Interes_Diario * _Dias_Interes_Periodo</f>
        <v>707.35</v>
      </c>
      <c r="T20" s="20">
        <f t="shared" ref="T20:T51" ca="1" si="4">_Interes *Iva.Intereses</f>
        <v>84.882000000000005</v>
      </c>
      <c r="U20" s="20">
        <f t="shared" ref="U20:U51" ca="1" si="5">_Capital + _Interes + _Iva</f>
        <v>3138.3234252721923</v>
      </c>
      <c r="V20" s="310">
        <f ca="1">T_Merger!_Salida_Abono_1</f>
        <v>0</v>
      </c>
      <c r="W20" s="20">
        <f t="shared" ref="W20:W51" ca="1" si="6">MAX( _Saldo_Inicial - _Capital-_Abono_Anticipado,0)</f>
        <v>138653.9085747278</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52</v>
      </c>
      <c r="AE20" s="14">
        <f t="shared" ref="AE20:AE51" ca="1" si="9">MOD( _Amortizacion - 1, Periodos.Por.Ciclo ) + 1</f>
        <v>1</v>
      </c>
      <c r="AF20" s="14">
        <f t="shared" ref="AF20:AF51" ca="1" si="10" xml:space="preserve"> Periodos.Por.Ciclo - _Ciclicas + 1</f>
        <v>52</v>
      </c>
      <c r="AG20" s="14">
        <f ca="1">MIN(_Ciclicas_Remanentes _Actual, _Remanentes _Actual)</f>
        <v>52</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3138.3234252721923</v>
      </c>
      <c r="AM20" s="20">
        <f ca="1">_Saldo_Ciclico</f>
        <v>141000</v>
      </c>
      <c r="AN20" s="20">
        <f t="shared" ref="AN20:AN51" ca="1" si="14">_Saldo_Inicial_Original * Tasa.Diaria</f>
        <v>50.524999999999999</v>
      </c>
      <c r="AO20" s="20">
        <f t="shared" ref="AO20:AO78" ca="1" si="15">_Interes_Diario_Original * Dias.Por.Periodo</f>
        <v>707.35</v>
      </c>
      <c r="AP20" s="20">
        <f t="shared" ref="AP20:AP51" ca="1" si="16">_Interes_Diario_Original * _Dias_Interes_Periodo</f>
        <v>707.35</v>
      </c>
      <c r="AQ20" s="20">
        <f t="shared" ref="AQ20:AQ51" ca="1" si="17">_Saldo_Inicial_Original * ( _Amortizacion = Numero.Pagos )</f>
        <v>0</v>
      </c>
      <c r="AR20" s="335">
        <f ca="1">MAX( ((( _Pago_Fijo - (_Interes_Regular_Original * (1 + Iva.Intereses)) ))), _Stopper_Capital_Original _Actual )</f>
        <v>2346.0914252721923</v>
      </c>
      <c r="AS20" s="97">
        <f ca="1">MAX(_Saldo_Inicial_Original _Actual - _Capital_Original _Actual, 0)</f>
        <v>138653.9085747278</v>
      </c>
      <c r="AT20"/>
      <c r="AU20" s="20">
        <f t="shared" ref="AU20:AU51" ca="1" si="18" xml:space="preserve"> _Capital_Original</f>
        <v>2346.0914252721923</v>
      </c>
      <c r="AV20" s="20">
        <f t="shared" ref="AV20:AV51" ca="1" si="19">-PPMT(Tasa.Por.Periodo*(1+Iva.Intereses),1,_Ciclicas_Remanentes,_Saldo_Inicial)</f>
        <v>2346.0914252721923</v>
      </c>
      <c r="AW20" s="20">
        <f t="shared" ref="AW20:AW51" ca="1" si="20">-IPMT(Tasa.Diaria.Por.Periodo*(1+Iva.Intereses),1,_Ciclicas_Remanentes,_Saldo_Inicial)</f>
        <v>792.23199999999997</v>
      </c>
      <c r="AX20" s="97">
        <f ca="1">SUM(_Componentes_Pago_Proyectado _Actual)</f>
        <v>3138.3234252721923</v>
      </c>
      <c r="AY20" s="335">
        <f t="shared" ref="AY20:AY78" ca="1" si="21">_Pago_Proyectado - ( _Interes_Periodo_Regular * ( 1 + Iva.Intereses ) )</f>
        <v>2346.0914252721923</v>
      </c>
      <c r="AZ20" s="335">
        <f t="shared" ref="AZ20:AZ78" ca="1" si="22">_Pago_Fijo - ( _Interes_Periodo_Regular * ( 1 + Iva.Intereses ) )</f>
        <v>2346.0914252721923</v>
      </c>
      <c r="BA20" s="111"/>
      <c r="BB20" s="20">
        <f t="shared" ref="BB20:BB51" ca="1" si="23">_Interes_Diario_Original</f>
        <v>50.524999999999999</v>
      </c>
      <c r="BC20" s="309">
        <f t="shared" ref="BC20:BC51" si="24">Dias.Por.Periodo</f>
        <v>14</v>
      </c>
      <c r="BD20" s="20">
        <f t="shared" ref="BD20:BD51" ca="1" si="25">_Interes_Diario_CAT * _Dias_Interes_CAT</f>
        <v>707.35</v>
      </c>
      <c r="BE20" s="97">
        <f ca="1">( _Capital_Original + _Interes_CAT )  * (_Amortizacion &lt;= Numero.Pagos)</f>
        <v>3053.4414252721922</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138653.9085747278</v>
      </c>
      <c r="M21" s="97">
        <f ca="1">MIN( CHOOSE(Opcion.Abono, _Capital_Opcion_1, _Capital_Opcion_2, _Capital_Opcion_3) _Actual, _Saldo_Inicial _Actual)</f>
        <v>2359.2733309603218</v>
      </c>
      <c r="N21" s="97">
        <f t="shared" ca="1" si="0"/>
        <v>0</v>
      </c>
      <c r="O21" s="309">
        <f ca="1">MAX( _Capital_Elegida _Actual, _Stopper_Capital _Actual)</f>
        <v>2359.2733309603218</v>
      </c>
      <c r="P21" s="118">
        <f t="shared" ca="1" si="1"/>
        <v>49.684317239277462</v>
      </c>
      <c r="Q21" s="118">
        <f t="shared" ca="1" si="2"/>
        <v>695.5804413498845</v>
      </c>
      <c r="R21" s="309">
        <f ca="1">Fechas!_Dias_Interes_Pago</f>
        <v>14</v>
      </c>
      <c r="S21" s="20">
        <f t="shared" ca="1" si="3"/>
        <v>695.5804413498845</v>
      </c>
      <c r="T21" s="20">
        <f t="shared" ca="1" si="4"/>
        <v>83.469652961986142</v>
      </c>
      <c r="U21" s="20">
        <f t="shared" ca="1" si="5"/>
        <v>3138.3234252721923</v>
      </c>
      <c r="V21" s="310">
        <f ca="1">T_Merger!_Salida_Abono_1</f>
        <v>0</v>
      </c>
      <c r="W21" s="20">
        <f t="shared" ca="1" si="6"/>
        <v>136294.63524376746</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51</v>
      </c>
      <c r="AE21" s="14">
        <f t="shared" ca="1" si="9"/>
        <v>2</v>
      </c>
      <c r="AF21" s="14">
        <f t="shared" ca="1" si="10"/>
        <v>51</v>
      </c>
      <c r="AG21" s="14">
        <f ca="1">MIN(_Ciclicas_Remanentes _Actual, _Remanentes _Actual)</f>
        <v>51</v>
      </c>
      <c r="AH21" s="32">
        <f t="shared" ca="1" si="11"/>
        <v>1</v>
      </c>
      <c r="AJ21" s="20">
        <f t="shared" ca="1" si="12"/>
        <v>0</v>
      </c>
      <c r="AK21" s="97">
        <f t="shared" ca="1" si="13"/>
        <v>3138.3234252721923</v>
      </c>
      <c r="AM21" s="97">
        <f ca="1">MAX( _Saldo_Final_Original _Anterior + _Saldo_Ciclico, 0)</f>
        <v>138653.9085747278</v>
      </c>
      <c r="AN21" s="20">
        <f t="shared" ca="1" si="14"/>
        <v>49.684317239277462</v>
      </c>
      <c r="AO21" s="20">
        <f t="shared" ca="1" si="15"/>
        <v>695.5804413498845</v>
      </c>
      <c r="AP21" s="20">
        <f t="shared" ca="1" si="16"/>
        <v>695.5804413498845</v>
      </c>
      <c r="AQ21" s="20">
        <f t="shared" ca="1" si="17"/>
        <v>0</v>
      </c>
      <c r="AR21" s="335">
        <f ca="1">MAX( ((( _Pago_Fijo - (_Interes_Regular_Original * (1 + Iva.Intereses)) ))), _Stopper_Capital_Original _Actual )</f>
        <v>2359.2733309603218</v>
      </c>
      <c r="AS21" s="97">
        <f ca="1">MAX(_Saldo_Inicial_Original _Actual - _Capital_Original _Actual, 0)</f>
        <v>136294.63524376746</v>
      </c>
      <c r="AT21"/>
      <c r="AU21" s="20">
        <f t="shared" ca="1" si="18"/>
        <v>2359.2733309603218</v>
      </c>
      <c r="AV21" s="20">
        <f t="shared" ca="1" si="19"/>
        <v>2359.1284748538574</v>
      </c>
      <c r="AW21" s="20">
        <f t="shared" ca="1" si="20"/>
        <v>779.05009431187057</v>
      </c>
      <c r="AX21" s="97">
        <f ca="1">IF( AND(_Abono_Anticipado _Anterior = 0, _Ciclicas &lt;&gt; 1 ), _Pago_Proyectado _Anterior, SUM(_Componentes_Pago_Proyectado _Actual))</f>
        <v>3138.3234252721923</v>
      </c>
      <c r="AY21" s="335">
        <f t="shared" ca="1" si="21"/>
        <v>2359.2733309603218</v>
      </c>
      <c r="AZ21" s="335">
        <f t="shared" ca="1" si="22"/>
        <v>2359.2733309603218</v>
      </c>
      <c r="BB21" s="20">
        <f t="shared" ca="1" si="23"/>
        <v>49.684317239277462</v>
      </c>
      <c r="BC21" s="309">
        <f t="shared" si="24"/>
        <v>14</v>
      </c>
      <c r="BD21" s="20">
        <f t="shared" ca="1" si="25"/>
        <v>695.5804413498845</v>
      </c>
      <c r="BE21" s="97">
        <f t="shared" ref="BE21:BE52" ca="1" si="26">( _Capital_Original + _Interes_CAT - _Saldo_Ciclico)  * (_Amortizacion &lt;= Numero.Pagos)</f>
        <v>3054.8537723102063</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2346.0914252721923</v>
      </c>
      <c r="J22" s="14">
        <v>3</v>
      </c>
      <c r="L22" s="97">
        <f ca="1">MAX( _Saldo_Final _Anterior + _Saldo_Ciclico,0)</f>
        <v>136294.63524376746</v>
      </c>
      <c r="M22" s="97">
        <f ca="1">MIN( CHOOSE(Opcion.Abono, _Capital_Opcion_1, _Capital_Opcion_2, _Capital_Opcion_3) _Actual, _Saldo_Inicial _Actual)</f>
        <v>2372.529301382544</v>
      </c>
      <c r="N22" s="97">
        <f t="shared" ca="1" si="0"/>
        <v>0</v>
      </c>
      <c r="O22" s="309">
        <f ca="1">MAX( _Capital_Elegida _Actual, _Stopper_Capital _Actual)</f>
        <v>2372.529301382544</v>
      </c>
      <c r="P22" s="118">
        <f t="shared" ca="1" si="1"/>
        <v>48.838910962350006</v>
      </c>
      <c r="Q22" s="118">
        <f t="shared" ca="1" si="2"/>
        <v>683.74475347290013</v>
      </c>
      <c r="R22" s="309">
        <f ca="1">Fechas!_Dias_Interes_Pago</f>
        <v>14</v>
      </c>
      <c r="S22" s="20">
        <f t="shared" ca="1" si="3"/>
        <v>683.74475347290013</v>
      </c>
      <c r="T22" s="20">
        <f t="shared" ca="1" si="4"/>
        <v>82.049370416748019</v>
      </c>
      <c r="U22" s="20">
        <f t="shared" ca="1" si="5"/>
        <v>3138.3234252721918</v>
      </c>
      <c r="V22" s="310">
        <f ca="1">T_Merger!_Salida_Abono_1</f>
        <v>0</v>
      </c>
      <c r="W22" s="20">
        <f t="shared" ca="1" si="6"/>
        <v>133922.10594238492</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50</v>
      </c>
      <c r="AE22" s="14">
        <f t="shared" ca="1" si="9"/>
        <v>3</v>
      </c>
      <c r="AF22" s="14">
        <f t="shared" ca="1" si="10"/>
        <v>50</v>
      </c>
      <c r="AG22" s="14">
        <f ca="1">MIN(_Ciclicas_Remanentes _Actual, _Remanentes _Actual)</f>
        <v>50</v>
      </c>
      <c r="AH22" s="32">
        <f t="shared" ca="1" si="11"/>
        <v>1</v>
      </c>
      <c r="AJ22" s="20">
        <f t="shared" ca="1" si="12"/>
        <v>0</v>
      </c>
      <c r="AK22" s="97">
        <f t="shared" ca="1" si="13"/>
        <v>3138.3234252721923</v>
      </c>
      <c r="AM22" s="97">
        <f ca="1">MAX( _Saldo_Final_Original _Anterior + _Saldo_Ciclico, 0)</f>
        <v>136294.63524376746</v>
      </c>
      <c r="AN22" s="20">
        <f t="shared" ca="1" si="14"/>
        <v>48.838910962350006</v>
      </c>
      <c r="AO22" s="20">
        <f t="shared" ca="1" si="15"/>
        <v>683.74475347290013</v>
      </c>
      <c r="AP22" s="20">
        <f t="shared" ca="1" si="16"/>
        <v>683.74475347290013</v>
      </c>
      <c r="AQ22" s="20">
        <f t="shared" ca="1" si="17"/>
        <v>0</v>
      </c>
      <c r="AR22" s="335">
        <f ca="1">MAX( ((( _Pago_Fijo - (_Interes_Regular_Original * (1 + Iva.Intereses)) ))), _Stopper_Capital_Original _Actual )</f>
        <v>2372.529301382544</v>
      </c>
      <c r="AS22" s="97">
        <f ca="1">MAX(_Saldo_Inicial_Original _Actual - _Capital_Original _Actual, 0)</f>
        <v>133922.10594238492</v>
      </c>
      <c r="AT22"/>
      <c r="AU22" s="20">
        <f t="shared" ca="1" si="18"/>
        <v>2372.529301382544</v>
      </c>
      <c r="AV22" s="20">
        <f t="shared" ca="1" si="19"/>
        <v>2372.2354490676262</v>
      </c>
      <c r="AW22" s="20">
        <f t="shared" ca="1" si="20"/>
        <v>765.79412388964818</v>
      </c>
      <c r="AX22" s="97">
        <f ca="1">IF( AND(_Abono_Anticipado _Anterior = 0, _Ciclicas &lt;&gt; 1 ), _Pago_Proyectado _Anterior, SUM(_Componentes_Pago_Proyectado _Actual))</f>
        <v>3138.3234252721923</v>
      </c>
      <c r="AY22" s="335">
        <f t="shared" ca="1" si="21"/>
        <v>2372.529301382544</v>
      </c>
      <c r="AZ22" s="335">
        <f t="shared" ca="1" si="22"/>
        <v>2372.529301382544</v>
      </c>
      <c r="BB22" s="20">
        <f t="shared" ca="1" si="23"/>
        <v>48.838910962350006</v>
      </c>
      <c r="BC22" s="309">
        <f t="shared" si="24"/>
        <v>14</v>
      </c>
      <c r="BD22" s="20">
        <f t="shared" ca="1" si="25"/>
        <v>683.74475347290013</v>
      </c>
      <c r="BE22" s="97">
        <f t="shared" ca="1" si="26"/>
        <v>3056.2740548554439</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792.23199999999997</v>
      </c>
      <c r="J23" s="14">
        <v>4</v>
      </c>
      <c r="L23" s="97">
        <f ca="1">MAX( _Saldo_Final _Anterior + _Saldo_Ciclico,0)</f>
        <v>133922.10594238492</v>
      </c>
      <c r="M23" s="97">
        <f ca="1">MIN( CHOOSE(Opcion.Abono, _Capital_Opcion_1, _Capital_Opcion_2, _Capital_Opcion_3) _Actual, _Saldo_Inicial _Actual)</f>
        <v>2385.8597526839121</v>
      </c>
      <c r="N23" s="97">
        <f t="shared" ca="1" si="0"/>
        <v>0</v>
      </c>
      <c r="O23" s="309">
        <f ca="1">MAX( _Capital_Elegida _Actual, _Stopper_Capital _Actual)</f>
        <v>2385.8597526839121</v>
      </c>
      <c r="P23" s="118">
        <f t="shared" ca="1" si="1"/>
        <v>47.988754629354595</v>
      </c>
      <c r="Q23" s="118">
        <f t="shared" ca="1" si="2"/>
        <v>671.84256481096429</v>
      </c>
      <c r="R23" s="309">
        <f ca="1">Fechas!_Dias_Interes_Pago</f>
        <v>14</v>
      </c>
      <c r="S23" s="20">
        <f t="shared" ca="1" si="3"/>
        <v>671.84256481096429</v>
      </c>
      <c r="T23" s="20">
        <f t="shared" ca="1" si="4"/>
        <v>80.621107777315714</v>
      </c>
      <c r="U23" s="20">
        <f t="shared" ca="1" si="5"/>
        <v>3138.3234252721918</v>
      </c>
      <c r="V23" s="310">
        <f ca="1">T_Merger!_Salida_Abono_1</f>
        <v>0</v>
      </c>
      <c r="W23" s="20">
        <f t="shared" ca="1" si="6"/>
        <v>131536.24618970102</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49</v>
      </c>
      <c r="AE23" s="14">
        <f t="shared" ca="1" si="9"/>
        <v>4</v>
      </c>
      <c r="AF23" s="14">
        <f t="shared" ca="1" si="10"/>
        <v>49</v>
      </c>
      <c r="AG23" s="14">
        <f ca="1">MIN(_Ciclicas_Remanentes _Actual, _Remanentes _Actual)</f>
        <v>49</v>
      </c>
      <c r="AH23" s="32">
        <f t="shared" ca="1" si="11"/>
        <v>1</v>
      </c>
      <c r="AJ23" s="20">
        <f t="shared" ca="1" si="12"/>
        <v>0</v>
      </c>
      <c r="AK23" s="97">
        <f t="shared" ca="1" si="13"/>
        <v>3138.3234252721923</v>
      </c>
      <c r="AM23" s="97">
        <f ca="1">MAX( _Saldo_Final_Original _Anterior + _Saldo_Ciclico, 0)</f>
        <v>133922.10594238492</v>
      </c>
      <c r="AN23" s="20">
        <f t="shared" ca="1" si="14"/>
        <v>47.988754629354595</v>
      </c>
      <c r="AO23" s="20">
        <f t="shared" ca="1" si="15"/>
        <v>671.84256481096429</v>
      </c>
      <c r="AP23" s="20">
        <f t="shared" ca="1" si="16"/>
        <v>671.84256481096429</v>
      </c>
      <c r="AQ23" s="20">
        <f t="shared" ca="1" si="17"/>
        <v>0</v>
      </c>
      <c r="AR23" s="335">
        <f ca="1">MAX( ((( _Pago_Fijo - (_Interes_Regular_Original * (1 + Iva.Intereses)) ))), _Stopper_Capital_Original _Actual )</f>
        <v>2385.8597526839121</v>
      </c>
      <c r="AS23" s="97">
        <f ca="1">MAX(_Saldo_Inicial_Original _Actual - _Capital_Original _Actual, 0)</f>
        <v>131536.24618970102</v>
      </c>
      <c r="AT23"/>
      <c r="AU23" s="20">
        <f t="shared" ca="1" si="18"/>
        <v>2385.8597526839121</v>
      </c>
      <c r="AV23" s="20">
        <f t="shared" ca="1" si="19"/>
        <v>2385.4125448985787</v>
      </c>
      <c r="AW23" s="20">
        <f t="shared" ca="1" si="20"/>
        <v>752.46367258828013</v>
      </c>
      <c r="AX23" s="97">
        <f ca="1">IF( AND(_Abono_Anticipado _Anterior = 0, _Ciclicas &lt;&gt; 1 ), _Pago_Proyectado _Anterior, SUM(_Componentes_Pago_Proyectado _Actual))</f>
        <v>3138.3234252721923</v>
      </c>
      <c r="AY23" s="335">
        <f t="shared" ca="1" si="21"/>
        <v>2385.8597526839121</v>
      </c>
      <c r="AZ23" s="335">
        <f t="shared" ca="1" si="22"/>
        <v>2385.8597526839121</v>
      </c>
      <c r="BB23" s="20">
        <f t="shared" ca="1" si="23"/>
        <v>47.988754629354595</v>
      </c>
      <c r="BC23" s="309">
        <f t="shared" si="24"/>
        <v>14</v>
      </c>
      <c r="BD23" s="20">
        <f t="shared" ca="1" si="25"/>
        <v>671.84256481096429</v>
      </c>
      <c r="BE23" s="97">
        <f t="shared" ca="1" si="26"/>
        <v>3057.7023174948763</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3138.3234252721923</v>
      </c>
      <c r="J24" s="14">
        <v>5</v>
      </c>
      <c r="L24" s="97">
        <f ca="1">MAX( _Saldo_Final _Anterior + _Saldo_Ciclico,0)</f>
        <v>131536.24618970102</v>
      </c>
      <c r="M24" s="97">
        <f ca="1">MIN( CHOOSE(Opcion.Abono, _Capital_Opcion_1, _Capital_Opcion_2, _Capital_Opcion_3) _Actual, _Saldo_Inicial _Actual)</f>
        <v>2399.2651033476586</v>
      </c>
      <c r="N24" s="97">
        <f t="shared" ca="1" si="0"/>
        <v>0</v>
      </c>
      <c r="O24" s="309">
        <f ca="1">MAX( _Capital_Elegida _Actual, _Stopper_Capital _Actual)</f>
        <v>2399.2651033476586</v>
      </c>
      <c r="P24" s="118">
        <f t="shared" ca="1" si="1"/>
        <v>47.133821551309531</v>
      </c>
      <c r="Q24" s="118">
        <f t="shared" ca="1" si="2"/>
        <v>659.87350171833339</v>
      </c>
      <c r="R24" s="309">
        <f ca="1">Fechas!_Dias_Interes_Pago</f>
        <v>14</v>
      </c>
      <c r="S24" s="20">
        <f t="shared" ca="1" si="3"/>
        <v>659.87350171833339</v>
      </c>
      <c r="T24" s="20">
        <f t="shared" ca="1" si="4"/>
        <v>79.184820206200001</v>
      </c>
      <c r="U24" s="20">
        <f t="shared" ca="1" si="5"/>
        <v>3138.3234252721923</v>
      </c>
      <c r="V24" s="310">
        <f ca="1">T_Merger!_Salida_Abono_1</f>
        <v>0</v>
      </c>
      <c r="W24" s="20">
        <f t="shared" ca="1" si="6"/>
        <v>129136.98108635336</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48</v>
      </c>
      <c r="AE24" s="14">
        <f t="shared" ca="1" si="9"/>
        <v>5</v>
      </c>
      <c r="AF24" s="14">
        <f t="shared" ca="1" si="10"/>
        <v>48</v>
      </c>
      <c r="AG24" s="14">
        <f ca="1">MIN(_Ciclicas_Remanentes _Actual, _Remanentes _Actual)</f>
        <v>48</v>
      </c>
      <c r="AH24" s="32">
        <f t="shared" ca="1" si="11"/>
        <v>1</v>
      </c>
      <c r="AJ24" s="20">
        <f t="shared" ca="1" si="12"/>
        <v>0</v>
      </c>
      <c r="AK24" s="97">
        <f t="shared" ca="1" si="13"/>
        <v>3138.3234252721923</v>
      </c>
      <c r="AM24" s="97">
        <f ca="1">MAX( _Saldo_Final_Original _Anterior + _Saldo_Ciclico, 0)</f>
        <v>131536.24618970102</v>
      </c>
      <c r="AN24" s="20">
        <f t="shared" ca="1" si="14"/>
        <v>47.133821551309531</v>
      </c>
      <c r="AO24" s="20">
        <f t="shared" ca="1" si="15"/>
        <v>659.87350171833339</v>
      </c>
      <c r="AP24" s="20">
        <f t="shared" ca="1" si="16"/>
        <v>659.87350171833339</v>
      </c>
      <c r="AQ24" s="20">
        <f t="shared" ca="1" si="17"/>
        <v>0</v>
      </c>
      <c r="AR24" s="335">
        <f ca="1">MAX( ((( _Pago_Fijo - (_Interes_Regular_Original * (1 + Iva.Intereses)) ))), _Stopper_Capital_Original _Actual )</f>
        <v>2399.2651033476586</v>
      </c>
      <c r="AS24" s="97">
        <f ca="1">MAX(_Saldo_Inicial_Original _Actual - _Capital_Original _Actual, 0)</f>
        <v>129136.98108635336</v>
      </c>
      <c r="AT24"/>
      <c r="AU24" s="20">
        <f t="shared" ca="1" si="18"/>
        <v>2399.2651033476586</v>
      </c>
      <c r="AV24" s="20">
        <f t="shared" ca="1" si="19"/>
        <v>2398.6599437552713</v>
      </c>
      <c r="AW24" s="20">
        <f t="shared" ca="1" si="20"/>
        <v>739.05832192453352</v>
      </c>
      <c r="AX24" s="97">
        <f ca="1">IF( AND(_Abono_Anticipado _Anterior = 0, _Ciclicas &lt;&gt; 1 ), _Pago_Proyectado _Anterior, SUM(_Componentes_Pago_Proyectado _Actual))</f>
        <v>3138.3234252721923</v>
      </c>
      <c r="AY24" s="335">
        <f t="shared" ca="1" si="21"/>
        <v>2399.2651033476586</v>
      </c>
      <c r="AZ24" s="335">
        <f t="shared" ca="1" si="22"/>
        <v>2399.2651033476586</v>
      </c>
      <c r="BB24" s="20">
        <f t="shared" ca="1" si="23"/>
        <v>47.133821551309531</v>
      </c>
      <c r="BC24" s="309">
        <f t="shared" si="24"/>
        <v>14</v>
      </c>
      <c r="BD24" s="20">
        <f t="shared" ca="1" si="25"/>
        <v>659.87350171833339</v>
      </c>
      <c r="BE24" s="97">
        <f t="shared" ca="1" si="26"/>
        <v>3059.1386050659921</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129136.98108635336</v>
      </c>
      <c r="M25" s="97">
        <f ca="1">MIN( CHOOSE(Opcion.Abono, _Capital_Opcion_1, _Capital_Opcion_2, _Capital_Opcion_3) _Actual, _Saldo_Inicial _Actual)</f>
        <v>2412.7457742083348</v>
      </c>
      <c r="N25" s="97">
        <f t="shared" ca="1" si="0"/>
        <v>0</v>
      </c>
      <c r="O25" s="309">
        <f ca="1">MAX( _Capital_Elegida _Actual, _Stopper_Capital _Actual)</f>
        <v>2412.7457742083348</v>
      </c>
      <c r="P25" s="118">
        <f t="shared" ca="1" si="1"/>
        <v>46.274084889276622</v>
      </c>
      <c r="Q25" s="118">
        <f t="shared" ca="1" si="2"/>
        <v>647.83718844987266</v>
      </c>
      <c r="R25" s="309">
        <f ca="1">Fechas!_Dias_Interes_Pago</f>
        <v>14</v>
      </c>
      <c r="S25" s="20">
        <f t="shared" ca="1" si="3"/>
        <v>647.83718844987266</v>
      </c>
      <c r="T25" s="20">
        <f t="shared" ca="1" si="4"/>
        <v>77.740462613984718</v>
      </c>
      <c r="U25" s="20">
        <f t="shared" ca="1" si="5"/>
        <v>3138.3234252721918</v>
      </c>
      <c r="V25" s="310">
        <f ca="1">T_Merger!_Salida_Abono_1</f>
        <v>0</v>
      </c>
      <c r="W25" s="20">
        <f t="shared" ca="1" si="6"/>
        <v>126724.23531214503</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47</v>
      </c>
      <c r="AE25" s="14">
        <f t="shared" ca="1" si="9"/>
        <v>6</v>
      </c>
      <c r="AF25" s="14">
        <f t="shared" ca="1" si="10"/>
        <v>47</v>
      </c>
      <c r="AG25" s="14">
        <f ca="1">MIN(_Ciclicas_Remanentes _Actual, _Remanentes _Actual)</f>
        <v>47</v>
      </c>
      <c r="AH25" s="32">
        <f t="shared" ca="1" si="11"/>
        <v>1</v>
      </c>
      <c r="AJ25" s="20">
        <f t="shared" ca="1" si="12"/>
        <v>0</v>
      </c>
      <c r="AK25" s="97">
        <f t="shared" ca="1" si="13"/>
        <v>3138.3234252721923</v>
      </c>
      <c r="AM25" s="97">
        <f ca="1">MAX( _Saldo_Final_Original _Anterior + _Saldo_Ciclico, 0)</f>
        <v>129136.98108635336</v>
      </c>
      <c r="AN25" s="20">
        <f t="shared" ca="1" si="14"/>
        <v>46.274084889276622</v>
      </c>
      <c r="AO25" s="20">
        <f t="shared" ca="1" si="15"/>
        <v>647.83718844987266</v>
      </c>
      <c r="AP25" s="20">
        <f t="shared" ca="1" si="16"/>
        <v>647.83718844987266</v>
      </c>
      <c r="AQ25" s="20">
        <f t="shared" ca="1" si="17"/>
        <v>0</v>
      </c>
      <c r="AR25" s="335">
        <f ca="1">MAX( ((( _Pago_Fijo - (_Interes_Regular_Original * (1 + Iva.Intereses)) ))), _Stopper_Capital_Original _Actual )</f>
        <v>2412.7457742083348</v>
      </c>
      <c r="AS25" s="97">
        <f ca="1">MAX(_Saldo_Inicial_Original _Actual - _Capital_Original _Actual, 0)</f>
        <v>126724.23531214503</v>
      </c>
      <c r="AT25"/>
      <c r="AU25" s="20">
        <f t="shared" ca="1" si="18"/>
        <v>2412.7457742083348</v>
      </c>
      <c r="AV25" s="20">
        <f t="shared" ca="1" si="19"/>
        <v>2411.9778095797592</v>
      </c>
      <c r="AW25" s="20">
        <f t="shared" ca="1" si="20"/>
        <v>725.5776510638575</v>
      </c>
      <c r="AX25" s="97">
        <f ca="1">IF( AND(_Abono_Anticipado _Anterior = 0, _Ciclicas &lt;&gt; 1 ), _Pago_Proyectado _Anterior, SUM(_Componentes_Pago_Proyectado _Actual))</f>
        <v>3138.3234252721923</v>
      </c>
      <c r="AY25" s="335">
        <f t="shared" ca="1" si="21"/>
        <v>2412.7457742083348</v>
      </c>
      <c r="AZ25" s="335">
        <f t="shared" ca="1" si="22"/>
        <v>2412.7457742083348</v>
      </c>
      <c r="BB25" s="20">
        <f t="shared" ca="1" si="23"/>
        <v>46.274084889276622</v>
      </c>
      <c r="BC25" s="309">
        <f t="shared" si="24"/>
        <v>14</v>
      </c>
      <c r="BD25" s="20">
        <f t="shared" ca="1" si="25"/>
        <v>647.83718844987266</v>
      </c>
      <c r="BE25" s="97">
        <f t="shared" ca="1" si="26"/>
        <v>3060.5829626582072</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126724.23531214503</v>
      </c>
      <c r="M26" s="97">
        <f ca="1">MIN( CHOOSE(Opcion.Abono, _Capital_Opcion_1, _Capital_Opcion_2, _Capital_Opcion_3) _Actual, _Saldo_Inicial _Actual)</f>
        <v>2426.3021884650198</v>
      </c>
      <c r="N26" s="97">
        <f t="shared" ca="1" si="0"/>
        <v>0</v>
      </c>
      <c r="O26" s="309">
        <f ca="1">MAX( _Capital_Elegida _Actual, _Stopper_Capital _Actual)</f>
        <v>2426.3021884650198</v>
      </c>
      <c r="P26" s="118">
        <f t="shared" ca="1" si="1"/>
        <v>45.409517653518634</v>
      </c>
      <c r="Q26" s="118">
        <f t="shared" ca="1" si="2"/>
        <v>635.73324714926093</v>
      </c>
      <c r="R26" s="309">
        <f ca="1">Fechas!_Dias_Interes_Pago</f>
        <v>14</v>
      </c>
      <c r="S26" s="20">
        <f t="shared" ca="1" si="3"/>
        <v>635.73324714926093</v>
      </c>
      <c r="T26" s="20">
        <f t="shared" ca="1" si="4"/>
        <v>76.287989657911311</v>
      </c>
      <c r="U26" s="20">
        <f t="shared" ca="1" si="5"/>
        <v>3138.3234252721918</v>
      </c>
      <c r="V26" s="310">
        <f ca="1">T_Merger!_Salida_Abono_1</f>
        <v>0</v>
      </c>
      <c r="W26" s="20">
        <f t="shared" ca="1" si="6"/>
        <v>124297.93312368001</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46</v>
      </c>
      <c r="AE26" s="14">
        <f t="shared" ca="1" si="9"/>
        <v>7</v>
      </c>
      <c r="AF26" s="14">
        <f t="shared" ca="1" si="10"/>
        <v>46</v>
      </c>
      <c r="AG26" s="14">
        <f ca="1">MIN(_Ciclicas_Remanentes _Actual, _Remanentes _Actual)</f>
        <v>46</v>
      </c>
      <c r="AH26" s="32">
        <f t="shared" ca="1" si="11"/>
        <v>1</v>
      </c>
      <c r="AJ26" s="20">
        <f t="shared" ca="1" si="12"/>
        <v>0</v>
      </c>
      <c r="AK26" s="97">
        <f t="shared" ca="1" si="13"/>
        <v>3138.3234252721923</v>
      </c>
      <c r="AM26" s="97">
        <f ca="1">MAX( _Saldo_Final_Original _Anterior + _Saldo_Ciclico, 0)</f>
        <v>126724.23531214503</v>
      </c>
      <c r="AN26" s="20">
        <f t="shared" ca="1" si="14"/>
        <v>45.409517653518634</v>
      </c>
      <c r="AO26" s="20">
        <f t="shared" ca="1" si="15"/>
        <v>635.73324714926093</v>
      </c>
      <c r="AP26" s="20">
        <f t="shared" ca="1" si="16"/>
        <v>635.73324714926093</v>
      </c>
      <c r="AQ26" s="20">
        <f t="shared" ca="1" si="17"/>
        <v>0</v>
      </c>
      <c r="AR26" s="335">
        <f ca="1">MAX( ((( _Pago_Fijo - (_Interes_Regular_Original * (1 + Iva.Intereses)) ))), _Stopper_Capital_Original _Actual )</f>
        <v>2426.3021884650198</v>
      </c>
      <c r="AS26" s="97">
        <f ca="1">MAX(_Saldo_Inicial_Original _Actual - _Capital_Original _Actual, 0)</f>
        <v>124297.93312368001</v>
      </c>
      <c r="AT26"/>
      <c r="AU26" s="20">
        <f t="shared" ca="1" si="18"/>
        <v>2426.3021884650198</v>
      </c>
      <c r="AV26" s="20">
        <f t="shared" ca="1" si="19"/>
        <v>2425.3662867094613</v>
      </c>
      <c r="AW26" s="20">
        <f t="shared" ca="1" si="20"/>
        <v>712.02123680717216</v>
      </c>
      <c r="AX26" s="97">
        <f ca="1">IF( AND(_Abono_Anticipado _Anterior = 0, _Ciclicas &lt;&gt; 1 ), _Pago_Proyectado _Anterior, SUM(_Componentes_Pago_Proyectado _Actual))</f>
        <v>3138.3234252721923</v>
      </c>
      <c r="AY26" s="335">
        <f t="shared" ca="1" si="21"/>
        <v>2426.3021884650198</v>
      </c>
      <c r="AZ26" s="335">
        <f t="shared" ca="1" si="22"/>
        <v>2426.3021884650198</v>
      </c>
      <c r="BB26" s="20">
        <f t="shared" ca="1" si="23"/>
        <v>45.409517653518634</v>
      </c>
      <c r="BC26" s="309">
        <f t="shared" si="24"/>
        <v>14</v>
      </c>
      <c r="BD26" s="20">
        <f t="shared" ca="1" si="25"/>
        <v>635.73324714926093</v>
      </c>
      <c r="BE26" s="97">
        <f t="shared" ca="1" si="26"/>
        <v>3062.0354356142807</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124297.93312368001</v>
      </c>
      <c r="M27" s="97">
        <f ca="1">MIN( CHOOSE(Opcion.Abono, _Capital_Opcion_1, _Capital_Opcion_2, _Capital_Opcion_3) _Actual, _Saldo_Inicial _Actual)</f>
        <v>2439.9347716946086</v>
      </c>
      <c r="N27" s="97">
        <f t="shared" ca="1" si="0"/>
        <v>0</v>
      </c>
      <c r="O27" s="309">
        <f ca="1">MAX( _Capital_Elegida _Actual, _Stopper_Capital _Actual)</f>
        <v>2439.9347716946086</v>
      </c>
      <c r="P27" s="118">
        <f t="shared" ca="1" si="1"/>
        <v>44.540092702652004</v>
      </c>
      <c r="Q27" s="118">
        <f t="shared" ca="1" si="2"/>
        <v>623.561297837128</v>
      </c>
      <c r="R27" s="309">
        <f ca="1">Fechas!_Dias_Interes_Pago</f>
        <v>14</v>
      </c>
      <c r="S27" s="20">
        <f t="shared" ca="1" si="3"/>
        <v>623.561297837128</v>
      </c>
      <c r="T27" s="20">
        <f t="shared" ca="1" si="4"/>
        <v>74.82735574045536</v>
      </c>
      <c r="U27" s="20">
        <f t="shared" ca="1" si="5"/>
        <v>3138.3234252721923</v>
      </c>
      <c r="V27" s="310">
        <f ca="1">T_Merger!_Salida_Abono_1</f>
        <v>0</v>
      </c>
      <c r="W27" s="20">
        <f t="shared" ca="1" si="6"/>
        <v>121857.9983519854</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45</v>
      </c>
      <c r="AE27" s="14">
        <f t="shared" ca="1" si="9"/>
        <v>8</v>
      </c>
      <c r="AF27" s="14">
        <f t="shared" ca="1" si="10"/>
        <v>45</v>
      </c>
      <c r="AG27" s="14">
        <f ca="1">MIN(_Ciclicas_Remanentes _Actual, _Remanentes _Actual)</f>
        <v>45</v>
      </c>
      <c r="AH27" s="32">
        <f t="shared" ca="1" si="11"/>
        <v>1</v>
      </c>
      <c r="AJ27" s="20">
        <f t="shared" ca="1" si="12"/>
        <v>0</v>
      </c>
      <c r="AK27" s="97">
        <f t="shared" ca="1" si="13"/>
        <v>3138.3234252721923</v>
      </c>
      <c r="AM27" s="97">
        <f ca="1">MAX( _Saldo_Final_Original _Anterior + _Saldo_Ciclico, 0)</f>
        <v>124297.93312368001</v>
      </c>
      <c r="AN27" s="20">
        <f t="shared" ca="1" si="14"/>
        <v>44.540092702652004</v>
      </c>
      <c r="AO27" s="20">
        <f t="shared" ca="1" si="15"/>
        <v>623.561297837128</v>
      </c>
      <c r="AP27" s="20">
        <f t="shared" ca="1" si="16"/>
        <v>623.561297837128</v>
      </c>
      <c r="AQ27" s="20">
        <f t="shared" ca="1" si="17"/>
        <v>0</v>
      </c>
      <c r="AR27" s="335">
        <f ca="1">MAX( ((( _Pago_Fijo - (_Interes_Regular_Original * (1 + Iva.Intereses)) ))), _Stopper_Capital_Original _Actual )</f>
        <v>2439.9347716946086</v>
      </c>
      <c r="AS27" s="97">
        <f ca="1">MAX(_Saldo_Inicial_Original _Actual - _Capital_Original _Actual, 0)</f>
        <v>121857.9983519854</v>
      </c>
      <c r="AT27"/>
      <c r="AU27" s="20">
        <f t="shared" ca="1" si="18"/>
        <v>2439.9347716946086</v>
      </c>
      <c r="AV27" s="20">
        <f t="shared" ca="1" si="19"/>
        <v>2438.8254974522984</v>
      </c>
      <c r="AW27" s="20">
        <f t="shared" ca="1" si="20"/>
        <v>698.38865357758345</v>
      </c>
      <c r="AX27" s="97">
        <f ca="1">IF( AND(_Abono_Anticipado _Anterior = 0, _Ciclicas &lt;&gt; 1 ), _Pago_Proyectado _Anterior, SUM(_Componentes_Pago_Proyectado _Actual))</f>
        <v>3138.3234252721923</v>
      </c>
      <c r="AY27" s="335">
        <f t="shared" ca="1" si="21"/>
        <v>2439.9347716946086</v>
      </c>
      <c r="AZ27" s="335">
        <f t="shared" ca="1" si="22"/>
        <v>2439.9347716946086</v>
      </c>
      <c r="BB27" s="20">
        <f t="shared" ca="1" si="23"/>
        <v>44.540092702652004</v>
      </c>
      <c r="BC27" s="309">
        <f t="shared" si="24"/>
        <v>14</v>
      </c>
      <c r="BD27" s="20">
        <f t="shared" ca="1" si="25"/>
        <v>623.561297837128</v>
      </c>
      <c r="BE27" s="97">
        <f t="shared" ca="1" si="26"/>
        <v>3063.4960695317368</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121857.9983519854</v>
      </c>
      <c r="M28" s="97">
        <f ca="1">MIN( CHOOSE(Opcion.Abono, _Capital_Opcion_1, _Capital_Opcion_2, _Capital_Opcion_3) _Actual, _Saldo_Inicial _Actual)</f>
        <v>2453.6439518651705</v>
      </c>
      <c r="N28" s="97">
        <f t="shared" ca="1" si="0"/>
        <v>0</v>
      </c>
      <c r="O28" s="309">
        <f ca="1">MAX( _Capital_Elegida _Actual, _Stopper_Capital _Actual)</f>
        <v>2453.6439518651705</v>
      </c>
      <c r="P28" s="118">
        <f t="shared" ca="1" si="1"/>
        <v>43.665782742794768</v>
      </c>
      <c r="Q28" s="118">
        <f t="shared" ca="1" si="2"/>
        <v>611.32095839912677</v>
      </c>
      <c r="R28" s="309">
        <f ca="1">Fechas!_Dias_Interes_Pago</f>
        <v>14</v>
      </c>
      <c r="S28" s="20">
        <f t="shared" ca="1" si="3"/>
        <v>611.32095839912677</v>
      </c>
      <c r="T28" s="20">
        <f t="shared" ca="1" si="4"/>
        <v>73.358515007895207</v>
      </c>
      <c r="U28" s="20">
        <f t="shared" ca="1" si="5"/>
        <v>3138.3234252721923</v>
      </c>
      <c r="V28" s="310">
        <f ca="1">T_Merger!_Salida_Abono_1</f>
        <v>0</v>
      </c>
      <c r="W28" s="20">
        <f t="shared" ca="1" si="6"/>
        <v>119404.35440012022</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44</v>
      </c>
      <c r="AE28" s="14">
        <f t="shared" ca="1" si="9"/>
        <v>9</v>
      </c>
      <c r="AF28" s="14">
        <f t="shared" ca="1" si="10"/>
        <v>44</v>
      </c>
      <c r="AG28" s="14">
        <f ca="1">MIN(_Ciclicas_Remanentes _Actual, _Remanentes _Actual)</f>
        <v>44</v>
      </c>
      <c r="AH28" s="32">
        <f t="shared" ca="1" si="11"/>
        <v>1</v>
      </c>
      <c r="AJ28" s="20">
        <f t="shared" ca="1" si="12"/>
        <v>0</v>
      </c>
      <c r="AK28" s="97">
        <f t="shared" ca="1" si="13"/>
        <v>3138.3234252721923</v>
      </c>
      <c r="AM28" s="97">
        <f ca="1">MAX( _Saldo_Final_Original _Anterior + _Saldo_Ciclico, 0)</f>
        <v>121857.9983519854</v>
      </c>
      <c r="AN28" s="20">
        <f t="shared" ca="1" si="14"/>
        <v>43.665782742794768</v>
      </c>
      <c r="AO28" s="20">
        <f t="shared" ca="1" si="15"/>
        <v>611.32095839912677</v>
      </c>
      <c r="AP28" s="20">
        <f t="shared" ca="1" si="16"/>
        <v>611.32095839912677</v>
      </c>
      <c r="AQ28" s="20">
        <f t="shared" ca="1" si="17"/>
        <v>0</v>
      </c>
      <c r="AR28" s="335">
        <f ca="1">MAX( ((( _Pago_Fijo - (_Interes_Regular_Original * (1 + Iva.Intereses)) ))), _Stopper_Capital_Original _Actual )</f>
        <v>2453.6439518651705</v>
      </c>
      <c r="AS28" s="97">
        <f ca="1">MAX(_Saldo_Inicial_Original _Actual - _Capital_Original _Actual, 0)</f>
        <v>119404.35440012022</v>
      </c>
      <c r="AT28"/>
      <c r="AU28" s="20">
        <f t="shared" ca="1" si="18"/>
        <v>2453.6439518651705</v>
      </c>
      <c r="AV28" s="20">
        <f t="shared" ca="1" si="19"/>
        <v>2452.3555393294318</v>
      </c>
      <c r="AW28" s="20">
        <f t="shared" ca="1" si="20"/>
        <v>684.67947340702199</v>
      </c>
      <c r="AX28" s="97">
        <f ca="1">IF( AND(_Abono_Anticipado _Anterior = 0, _Ciclicas &lt;&gt; 1 ), _Pago_Proyectado _Anterior, SUM(_Componentes_Pago_Proyectado _Actual))</f>
        <v>3138.3234252721923</v>
      </c>
      <c r="AY28" s="335">
        <f t="shared" ca="1" si="21"/>
        <v>2453.6439518651705</v>
      </c>
      <c r="AZ28" s="335">
        <f t="shared" ca="1" si="22"/>
        <v>2453.6439518651705</v>
      </c>
      <c r="BB28" s="20">
        <f t="shared" ca="1" si="23"/>
        <v>43.665782742794768</v>
      </c>
      <c r="BC28" s="309">
        <f t="shared" si="24"/>
        <v>14</v>
      </c>
      <c r="BD28" s="20">
        <f t="shared" ca="1" si="25"/>
        <v>611.32095839912677</v>
      </c>
      <c r="BE28" s="97">
        <f t="shared" ca="1" si="26"/>
        <v>3064.964910264297</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119404.35440012022</v>
      </c>
      <c r="M29" s="97">
        <f ca="1">MIN( CHOOSE(Opcion.Abono, _Capital_Opcion_1, _Capital_Opcion_2, _Capital_Opcion_3) _Actual, _Saldo_Inicial _Actual)</f>
        <v>2467.4301593493833</v>
      </c>
      <c r="N29" s="97">
        <f t="shared" ca="1" si="0"/>
        <v>0</v>
      </c>
      <c r="O29" s="309">
        <f ca="1">MAX( _Capital_Elegida _Actual, _Stopper_Capital _Actual)</f>
        <v>2467.4301593493833</v>
      </c>
      <c r="P29" s="118">
        <f t="shared" ca="1" si="1"/>
        <v>42.786560326709747</v>
      </c>
      <c r="Q29" s="118">
        <f t="shared" ca="1" si="2"/>
        <v>599.01184457393651</v>
      </c>
      <c r="R29" s="309">
        <f ca="1">Fechas!_Dias_Interes_Pago</f>
        <v>14</v>
      </c>
      <c r="S29" s="20">
        <f t="shared" ca="1" si="3"/>
        <v>599.01184457393651</v>
      </c>
      <c r="T29" s="20">
        <f t="shared" ca="1" si="4"/>
        <v>71.881421348872379</v>
      </c>
      <c r="U29" s="20">
        <f t="shared" ca="1" si="5"/>
        <v>3138.3234252721923</v>
      </c>
      <c r="V29" s="310">
        <f ca="1">T_Merger!_Salida_Abono_1</f>
        <v>0</v>
      </c>
      <c r="W29" s="20">
        <f t="shared" ca="1" si="6"/>
        <v>116936.92424077084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43</v>
      </c>
      <c r="AE29" s="14">
        <f t="shared" ca="1" si="9"/>
        <v>10</v>
      </c>
      <c r="AF29" s="14">
        <f t="shared" ca="1" si="10"/>
        <v>43</v>
      </c>
      <c r="AG29" s="14">
        <f ca="1">MIN(_Ciclicas_Remanentes _Actual, _Remanentes _Actual)</f>
        <v>43</v>
      </c>
      <c r="AH29" s="32">
        <f t="shared" ca="1" si="11"/>
        <v>1</v>
      </c>
      <c r="AJ29" s="20">
        <f t="shared" ca="1" si="12"/>
        <v>0</v>
      </c>
      <c r="AK29" s="97">
        <f t="shared" ca="1" si="13"/>
        <v>3138.3234252721923</v>
      </c>
      <c r="AM29" s="97">
        <f ca="1">MAX( _Saldo_Final_Original _Anterior + _Saldo_Ciclico, 0)</f>
        <v>119404.35440012022</v>
      </c>
      <c r="AN29" s="20">
        <f t="shared" ca="1" si="14"/>
        <v>42.786560326709747</v>
      </c>
      <c r="AO29" s="20">
        <f t="shared" ca="1" si="15"/>
        <v>599.01184457393651</v>
      </c>
      <c r="AP29" s="20">
        <f t="shared" ca="1" si="16"/>
        <v>599.01184457393651</v>
      </c>
      <c r="AQ29" s="20">
        <f t="shared" ca="1" si="17"/>
        <v>0</v>
      </c>
      <c r="AR29" s="335">
        <f ca="1">MAX( ((( _Pago_Fijo - (_Interes_Regular_Original * (1 + Iva.Intereses)) ))), _Stopper_Capital_Original _Actual )</f>
        <v>2467.4301593493833</v>
      </c>
      <c r="AS29" s="97">
        <f ca="1">MAX(_Saldo_Inicial_Original _Actual - _Capital_Original _Actual, 0)</f>
        <v>116936.92424077084</v>
      </c>
      <c r="AT29"/>
      <c r="AU29" s="20">
        <f t="shared" ca="1" si="18"/>
        <v>2467.4301593493833</v>
      </c>
      <c r="AV29" s="20">
        <f t="shared" ca="1" si="19"/>
        <v>2465.9564819314819</v>
      </c>
      <c r="AW29" s="20">
        <f t="shared" ca="1" si="20"/>
        <v>670.89326592280884</v>
      </c>
      <c r="AX29" s="97">
        <f ca="1">IF( AND(_Abono_Anticipado _Anterior = 0, _Ciclicas &lt;&gt; 1 ), _Pago_Proyectado _Anterior, SUM(_Componentes_Pago_Proyectado _Actual))</f>
        <v>3138.3234252721923</v>
      </c>
      <c r="AY29" s="335">
        <f t="shared" ca="1" si="21"/>
        <v>2467.4301593493833</v>
      </c>
      <c r="AZ29" s="335">
        <f t="shared" ca="1" si="22"/>
        <v>2467.4301593493833</v>
      </c>
      <c r="BB29" s="20">
        <f t="shared" ca="1" si="23"/>
        <v>42.786560326709747</v>
      </c>
      <c r="BC29" s="309">
        <f t="shared" si="24"/>
        <v>14</v>
      </c>
      <c r="BD29" s="20">
        <f t="shared" ca="1" si="25"/>
        <v>599.01184457393651</v>
      </c>
      <c r="BE29" s="97">
        <f t="shared" ca="1" si="26"/>
        <v>3066.44200392332</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116936.92424077084</v>
      </c>
      <c r="M30" s="97">
        <f ca="1">MIN( CHOOSE(Opcion.Abono, _Capital_Opcion_1, _Capital_Opcion_2, _Capital_Opcion_3) _Actual, _Saldo_Inicial _Actual)</f>
        <v>2481.2938269380479</v>
      </c>
      <c r="N30" s="97">
        <f t="shared" ca="1" si="0"/>
        <v>0</v>
      </c>
      <c r="O30" s="309">
        <f ca="1">MAX( _Capital_Elegida _Actual, _Stopper_Capital _Actual)</f>
        <v>2481.2938269380479</v>
      </c>
      <c r="P30" s="118">
        <f t="shared" ca="1" si="1"/>
        <v>41.902397852942883</v>
      </c>
      <c r="Q30" s="118">
        <f t="shared" ca="1" si="2"/>
        <v>586.63356994120034</v>
      </c>
      <c r="R30" s="309">
        <f ca="1">Fechas!_Dias_Interes_Pago</f>
        <v>14</v>
      </c>
      <c r="S30" s="20">
        <f t="shared" ca="1" si="3"/>
        <v>586.63356994120034</v>
      </c>
      <c r="T30" s="20">
        <f t="shared" ca="1" si="4"/>
        <v>70.396028392944032</v>
      </c>
      <c r="U30" s="20">
        <f t="shared" ca="1" si="5"/>
        <v>3138.3234252721923</v>
      </c>
      <c r="V30" s="310">
        <f ca="1">T_Merger!_Salida_Abono_1</f>
        <v>0</v>
      </c>
      <c r="W30" s="20">
        <f t="shared" ca="1" si="6"/>
        <v>114455.63041383278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42</v>
      </c>
      <c r="AE30" s="14">
        <f t="shared" ca="1" si="9"/>
        <v>11</v>
      </c>
      <c r="AF30" s="14">
        <f t="shared" ca="1" si="10"/>
        <v>42</v>
      </c>
      <c r="AG30" s="14">
        <f ca="1">MIN(_Ciclicas_Remanentes _Actual, _Remanentes _Actual)</f>
        <v>42</v>
      </c>
      <c r="AH30" s="32">
        <f t="shared" ca="1" si="11"/>
        <v>1</v>
      </c>
      <c r="AJ30" s="20">
        <f t="shared" ca="1" si="12"/>
        <v>0</v>
      </c>
      <c r="AK30" s="97">
        <f t="shared" ca="1" si="13"/>
        <v>3138.3234252721923</v>
      </c>
      <c r="AM30" s="97">
        <f ca="1">MAX( _Saldo_Final_Original _Anterior + _Saldo_Ciclico, 0)</f>
        <v>116936.92424077084</v>
      </c>
      <c r="AN30" s="20">
        <f t="shared" ca="1" si="14"/>
        <v>41.902397852942883</v>
      </c>
      <c r="AO30" s="20">
        <f t="shared" ca="1" si="15"/>
        <v>586.63356994120034</v>
      </c>
      <c r="AP30" s="20">
        <f t="shared" ca="1" si="16"/>
        <v>586.63356994120034</v>
      </c>
      <c r="AQ30" s="20">
        <f t="shared" ca="1" si="17"/>
        <v>0</v>
      </c>
      <c r="AR30" s="335">
        <f ca="1">MAX( ((( _Pago_Fijo - (_Interes_Regular_Original * (1 + Iva.Intereses)) ))), _Stopper_Capital_Original _Actual )</f>
        <v>2481.2938269380479</v>
      </c>
      <c r="AS30" s="97">
        <f ca="1">MAX(_Saldo_Inicial_Original _Actual - _Capital_Original _Actual, 0)</f>
        <v>114455.63041383278</v>
      </c>
      <c r="AT30"/>
      <c r="AU30" s="20">
        <f t="shared" ca="1" si="18"/>
        <v>2481.2938269380479</v>
      </c>
      <c r="AV30" s="20">
        <f t="shared" ca="1" si="19"/>
        <v>2479.6283633238627</v>
      </c>
      <c r="AW30" s="20">
        <f t="shared" ca="1" si="20"/>
        <v>657.02959833414445</v>
      </c>
      <c r="AX30" s="97">
        <f ca="1">IF( AND(_Abono_Anticipado _Anterior = 0, _Ciclicas &lt;&gt; 1 ), _Pago_Proyectado _Anterior, SUM(_Componentes_Pago_Proyectado _Actual))</f>
        <v>3138.3234252721923</v>
      </c>
      <c r="AY30" s="335">
        <f t="shared" ca="1" si="21"/>
        <v>2481.2938269380479</v>
      </c>
      <c r="AZ30" s="335">
        <f t="shared" ca="1" si="22"/>
        <v>2481.2938269380479</v>
      </c>
      <c r="BB30" s="20">
        <f t="shared" ca="1" si="23"/>
        <v>41.902397852942883</v>
      </c>
      <c r="BC30" s="309">
        <f t="shared" si="24"/>
        <v>14</v>
      </c>
      <c r="BD30" s="20">
        <f t="shared" ca="1" si="25"/>
        <v>586.63356994120034</v>
      </c>
      <c r="BE30" s="97">
        <f t="shared" ca="1" si="26"/>
        <v>3067.9273968792481</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114455.63041383278</v>
      </c>
      <c r="M31" s="97">
        <f ca="1">MIN( CHOOSE(Opcion.Abono, _Capital_Opcion_1, _Capital_Opcion_2, _Capital_Opcion_3) _Actual, _Saldo_Inicial _Actual)</f>
        <v>2495.2353898536703</v>
      </c>
      <c r="N31" s="97">
        <f t="shared" ca="1" si="0"/>
        <v>0</v>
      </c>
      <c r="O31" s="309">
        <f ca="1">MAX( _Capital_Elegida _Actual, _Stopper_Capital _Actual)</f>
        <v>2495.2353898536703</v>
      </c>
      <c r="P31" s="118">
        <f t="shared" ca="1" si="1"/>
        <v>41.013267564956749</v>
      </c>
      <c r="Q31" s="118">
        <f t="shared" ca="1" si="2"/>
        <v>574.18574590939443</v>
      </c>
      <c r="R31" s="309">
        <f ca="1">Fechas!_Dias_Interes_Pago</f>
        <v>14</v>
      </c>
      <c r="S31" s="20">
        <f t="shared" ca="1" si="3"/>
        <v>574.18574590939443</v>
      </c>
      <c r="T31" s="20">
        <f t="shared" ca="1" si="4"/>
        <v>68.902289509127328</v>
      </c>
      <c r="U31" s="20">
        <f t="shared" ca="1" si="5"/>
        <v>3138.3234252721923</v>
      </c>
      <c r="V31" s="310">
        <f ca="1">T_Merger!_Salida_Abono_1</f>
        <v>0</v>
      </c>
      <c r="W31" s="20">
        <f t="shared" ca="1" si="6"/>
        <v>111960.39502397912</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41</v>
      </c>
      <c r="AE31" s="14">
        <f t="shared" ca="1" si="9"/>
        <v>12</v>
      </c>
      <c r="AF31" s="14">
        <f t="shared" ca="1" si="10"/>
        <v>41</v>
      </c>
      <c r="AG31" s="14">
        <f ca="1">MIN(_Ciclicas_Remanentes _Actual, _Remanentes _Actual)</f>
        <v>41</v>
      </c>
      <c r="AH31" s="32">
        <f t="shared" ca="1" si="11"/>
        <v>1</v>
      </c>
      <c r="AJ31" s="20">
        <f t="shared" ca="1" si="12"/>
        <v>0</v>
      </c>
      <c r="AK31" s="97">
        <f t="shared" ca="1" si="13"/>
        <v>3138.3234252721923</v>
      </c>
      <c r="AM31" s="97">
        <f ca="1">MAX( _Saldo_Final_Original _Anterior + _Saldo_Ciclico, 0)</f>
        <v>114455.63041383278</v>
      </c>
      <c r="AN31" s="20">
        <f t="shared" ca="1" si="14"/>
        <v>41.013267564956749</v>
      </c>
      <c r="AO31" s="20">
        <f t="shared" ca="1" si="15"/>
        <v>574.18574590939443</v>
      </c>
      <c r="AP31" s="20">
        <f t="shared" ca="1" si="16"/>
        <v>574.18574590939443</v>
      </c>
      <c r="AQ31" s="20">
        <f t="shared" ca="1" si="17"/>
        <v>0</v>
      </c>
      <c r="AR31" s="335">
        <f ca="1">MAX( ((( _Pago_Fijo - (_Interes_Regular_Original * (1 + Iva.Intereses)) ))), _Stopper_Capital_Original _Actual )</f>
        <v>2495.2353898536703</v>
      </c>
      <c r="AS31" s="97">
        <f ca="1">MAX(_Saldo_Inicial_Original _Actual - _Capital_Original _Actual, 0)</f>
        <v>111960.39502397912</v>
      </c>
      <c r="AT31"/>
      <c r="AU31" s="20">
        <f t="shared" ca="1" si="18"/>
        <v>2495.2353898536703</v>
      </c>
      <c r="AV31" s="20">
        <f t="shared" ca="1" si="19"/>
        <v>2493.371185924143</v>
      </c>
      <c r="AW31" s="20">
        <f t="shared" ca="1" si="20"/>
        <v>643.08803541852183</v>
      </c>
      <c r="AX31" s="97">
        <f ca="1">IF( AND(_Abono_Anticipado _Anterior = 0, _Ciclicas &lt;&gt; 1 ), _Pago_Proyectado _Anterior, SUM(_Componentes_Pago_Proyectado _Actual))</f>
        <v>3138.3234252721923</v>
      </c>
      <c r="AY31" s="335">
        <f t="shared" ca="1" si="21"/>
        <v>2495.2353898536703</v>
      </c>
      <c r="AZ31" s="335">
        <f t="shared" ca="1" si="22"/>
        <v>2495.2353898536703</v>
      </c>
      <c r="BB31" s="20">
        <f t="shared" ca="1" si="23"/>
        <v>41.013267564956749</v>
      </c>
      <c r="BC31" s="309">
        <f t="shared" si="24"/>
        <v>14</v>
      </c>
      <c r="BD31" s="20">
        <f t="shared" ca="1" si="25"/>
        <v>574.18574590939443</v>
      </c>
      <c r="BE31" s="97">
        <f t="shared" ca="1" si="26"/>
        <v>3069.4211357630647</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111960.39502397912</v>
      </c>
      <c r="M32" s="97">
        <f ca="1">MIN( CHOOSE(Opcion.Abono, _Capital_Opcion_1, _Capital_Opcion_2, _Capital_Opcion_3) _Actual, _Saldo_Inicial _Actual)</f>
        <v>2509.2552857641281</v>
      </c>
      <c r="N32" s="97">
        <f t="shared" ca="1" si="0"/>
        <v>0</v>
      </c>
      <c r="O32" s="309">
        <f ca="1">MAX( _Capital_Elegida _Actual, _Stopper_Capital _Actual)</f>
        <v>2509.2552857641281</v>
      </c>
      <c r="P32" s="118">
        <f t="shared" ca="1" si="1"/>
        <v>40.119141550259187</v>
      </c>
      <c r="Q32" s="118">
        <f t="shared" ca="1" si="2"/>
        <v>561.66798170362858</v>
      </c>
      <c r="R32" s="309">
        <f ca="1">Fechas!_Dias_Interes_Pago</f>
        <v>14</v>
      </c>
      <c r="S32" s="20">
        <f t="shared" ca="1" si="3"/>
        <v>561.66798170362858</v>
      </c>
      <c r="T32" s="20">
        <f t="shared" ca="1" si="4"/>
        <v>67.400157804435423</v>
      </c>
      <c r="U32" s="20">
        <f t="shared" ca="1" si="5"/>
        <v>3138.3234252721923</v>
      </c>
      <c r="V32" s="310">
        <f ca="1">T_Merger!_Salida_Abono_1</f>
        <v>0</v>
      </c>
      <c r="W32" s="20">
        <f t="shared" ca="1" si="6"/>
        <v>109451.13973821499</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40</v>
      </c>
      <c r="AE32" s="14">
        <f t="shared" ca="1" si="9"/>
        <v>13</v>
      </c>
      <c r="AF32" s="14">
        <f t="shared" ca="1" si="10"/>
        <v>40</v>
      </c>
      <c r="AG32" s="14">
        <f ca="1">MIN(_Ciclicas_Remanentes _Actual, _Remanentes _Actual)</f>
        <v>40</v>
      </c>
      <c r="AH32" s="32">
        <f t="shared" ca="1" si="11"/>
        <v>1</v>
      </c>
      <c r="AJ32" s="20">
        <f t="shared" ca="1" si="12"/>
        <v>0</v>
      </c>
      <c r="AK32" s="97">
        <f t="shared" ca="1" si="13"/>
        <v>3138.3234252721923</v>
      </c>
      <c r="AM32" s="97">
        <f ca="1">MAX( _Saldo_Final_Original _Anterior + _Saldo_Ciclico, 0)</f>
        <v>111960.39502397912</v>
      </c>
      <c r="AN32" s="20">
        <f t="shared" ca="1" si="14"/>
        <v>40.119141550259187</v>
      </c>
      <c r="AO32" s="20">
        <f t="shared" ca="1" si="15"/>
        <v>561.66798170362858</v>
      </c>
      <c r="AP32" s="20">
        <f t="shared" ca="1" si="16"/>
        <v>561.66798170362858</v>
      </c>
      <c r="AQ32" s="20">
        <f t="shared" ca="1" si="17"/>
        <v>0</v>
      </c>
      <c r="AR32" s="335">
        <f ca="1">MAX( ((( _Pago_Fijo - (_Interes_Regular_Original * (1 + Iva.Intereses)) ))), _Stopper_Capital_Original _Actual )</f>
        <v>2509.2552857641281</v>
      </c>
      <c r="AS32" s="97">
        <f ca="1">MAX(_Saldo_Inicial_Original _Actual - _Capital_Original _Actual, 0)</f>
        <v>109451.13973821499</v>
      </c>
      <c r="AT32"/>
      <c r="AU32" s="20">
        <f t="shared" ca="1" si="18"/>
        <v>2509.2552857641281</v>
      </c>
      <c r="AV32" s="20">
        <f t="shared" ca="1" si="19"/>
        <v>2507.1849117590755</v>
      </c>
      <c r="AW32" s="20">
        <f t="shared" ca="1" si="20"/>
        <v>629.06813950806395</v>
      </c>
      <c r="AX32" s="97">
        <f ca="1">IF( AND(_Abono_Anticipado _Anterior = 0, _Ciclicas &lt;&gt; 1 ), _Pago_Proyectado _Anterior, SUM(_Componentes_Pago_Proyectado _Actual))</f>
        <v>3138.3234252721923</v>
      </c>
      <c r="AY32" s="335">
        <f t="shared" ca="1" si="21"/>
        <v>2509.2552857641281</v>
      </c>
      <c r="AZ32" s="335">
        <f t="shared" ca="1" si="22"/>
        <v>2509.2552857641281</v>
      </c>
      <c r="BB32" s="20">
        <f t="shared" ca="1" si="23"/>
        <v>40.119141550259187</v>
      </c>
      <c r="BC32" s="309">
        <f t="shared" si="24"/>
        <v>14</v>
      </c>
      <c r="BD32" s="20">
        <f t="shared" ca="1" si="25"/>
        <v>561.66798170362858</v>
      </c>
      <c r="BE32" s="97">
        <f t="shared" ca="1" si="26"/>
        <v>3070.9232674677569</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52</v>
      </c>
      <c r="J33" s="14">
        <v>14</v>
      </c>
      <c r="L33" s="97">
        <f ca="1">MAX( _Saldo_Final _Anterior + _Saldo_Ciclico,0)</f>
        <v>109451.13973821499</v>
      </c>
      <c r="M33" s="97">
        <f ca="1">MIN( CHOOSE(Opcion.Abono, _Capital_Opcion_1, _Capital_Opcion_2, _Capital_Opcion_3) _Actual, _Saldo_Inicial _Actual)</f>
        <v>2523.3539547964083</v>
      </c>
      <c r="N33" s="97">
        <f t="shared" ca="1" si="0"/>
        <v>0</v>
      </c>
      <c r="O33" s="309">
        <f ca="1">MAX( _Capital_Elegida _Actual, _Stopper_Capital _Actual)</f>
        <v>2523.3539547964083</v>
      </c>
      <c r="P33" s="118">
        <f t="shared" ca="1" si="1"/>
        <v>39.219991739527039</v>
      </c>
      <c r="Q33" s="118">
        <f t="shared" ca="1" si="2"/>
        <v>549.07988435337859</v>
      </c>
      <c r="R33" s="309">
        <f ca="1">Fechas!_Dias_Interes_Pago</f>
        <v>14</v>
      </c>
      <c r="S33" s="20">
        <f t="shared" ca="1" si="3"/>
        <v>549.07988435337859</v>
      </c>
      <c r="T33" s="20">
        <f t="shared" ca="1" si="4"/>
        <v>65.889586122405433</v>
      </c>
      <c r="U33" s="20">
        <f t="shared" ca="1" si="5"/>
        <v>3138.3234252721923</v>
      </c>
      <c r="V33" s="310">
        <f ca="1">T_Merger!_Salida_Abono_1</f>
        <v>0</v>
      </c>
      <c r="W33" s="20">
        <f t="shared" ca="1" si="6"/>
        <v>106927.78578341859</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39</v>
      </c>
      <c r="AE33" s="14">
        <f t="shared" ca="1" si="9"/>
        <v>14</v>
      </c>
      <c r="AF33" s="14">
        <f t="shared" ca="1" si="10"/>
        <v>39</v>
      </c>
      <c r="AG33" s="14">
        <f ca="1">MIN(_Ciclicas_Remanentes _Actual, _Remanentes _Actual)</f>
        <v>39</v>
      </c>
      <c r="AH33" s="32">
        <f t="shared" ca="1" si="11"/>
        <v>1</v>
      </c>
      <c r="AJ33" s="20">
        <f t="shared" ca="1" si="12"/>
        <v>0</v>
      </c>
      <c r="AK33" s="97">
        <f t="shared" ca="1" si="13"/>
        <v>3138.3234252721923</v>
      </c>
      <c r="AM33" s="97">
        <f ca="1">MAX( _Saldo_Final_Original _Anterior + _Saldo_Ciclico, 0)</f>
        <v>109451.13973821499</v>
      </c>
      <c r="AN33" s="20">
        <f t="shared" ca="1" si="14"/>
        <v>39.219991739527039</v>
      </c>
      <c r="AO33" s="20">
        <f t="shared" ca="1" si="15"/>
        <v>549.07988435337859</v>
      </c>
      <c r="AP33" s="20">
        <f t="shared" ca="1" si="16"/>
        <v>549.07988435337859</v>
      </c>
      <c r="AQ33" s="20">
        <f t="shared" ca="1" si="17"/>
        <v>0</v>
      </c>
      <c r="AR33" s="335">
        <f ca="1">MAX( ((( _Pago_Fijo - (_Interes_Regular_Original * (1 + Iva.Intereses)) ))), _Stopper_Capital_Original _Actual )</f>
        <v>2523.3539547964083</v>
      </c>
      <c r="AS33" s="97">
        <f ca="1">MAX(_Saldo_Inicial_Original _Actual - _Capital_Original _Actual, 0)</f>
        <v>106927.78578341859</v>
      </c>
      <c r="AT33"/>
      <c r="AU33" s="20">
        <f t="shared" ca="1" si="18"/>
        <v>2523.3539547964083</v>
      </c>
      <c r="AV33" s="20">
        <f t="shared" ca="1" si="19"/>
        <v>2521.0694569899701</v>
      </c>
      <c r="AW33" s="20">
        <f t="shared" ca="1" si="20"/>
        <v>614.96947047578396</v>
      </c>
      <c r="AX33" s="97">
        <f ca="1">IF( AND(_Abono_Anticipado _Anterior = 0, _Ciclicas &lt;&gt; 1 ), _Pago_Proyectado _Anterior, SUM(_Componentes_Pago_Proyectado _Actual))</f>
        <v>3138.3234252721923</v>
      </c>
      <c r="AY33" s="335">
        <f t="shared" ca="1" si="21"/>
        <v>2523.3539547964083</v>
      </c>
      <c r="AZ33" s="335">
        <f t="shared" ca="1" si="22"/>
        <v>2523.3539547964083</v>
      </c>
      <c r="BB33" s="20">
        <f t="shared" ca="1" si="23"/>
        <v>39.219991739527039</v>
      </c>
      <c r="BC33" s="309">
        <f t="shared" si="24"/>
        <v>14</v>
      </c>
      <c r="BD33" s="20">
        <f t="shared" ca="1" si="25"/>
        <v>549.07988435337859</v>
      </c>
      <c r="BE33" s="97">
        <f t="shared" ca="1" si="26"/>
        <v>3072.4338391497868</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106927.78578341859</v>
      </c>
      <c r="M34" s="97">
        <f ca="1">MIN( CHOOSE(Opcion.Abono, _Capital_Opcion_1, _Capital_Opcion_2, _Capital_Opcion_3) _Actual, _Saldo_Inicial _Actual)</f>
        <v>2537.5318395504246</v>
      </c>
      <c r="N34" s="97">
        <f t="shared" ca="1" si="0"/>
        <v>0</v>
      </c>
      <c r="O34" s="309">
        <f ca="1">MAX( _Capital_Elegida _Actual, _Stopper_Capital _Actual)</f>
        <v>2537.5318395504246</v>
      </c>
      <c r="P34" s="118">
        <f t="shared" ca="1" si="1"/>
        <v>38.315789905724991</v>
      </c>
      <c r="Q34" s="118">
        <f t="shared" ca="1" si="2"/>
        <v>536.42105868014983</v>
      </c>
      <c r="R34" s="309">
        <f ca="1">Fechas!_Dias_Interes_Pago</f>
        <v>14</v>
      </c>
      <c r="S34" s="20">
        <f t="shared" ca="1" si="3"/>
        <v>536.42105868014983</v>
      </c>
      <c r="T34" s="20">
        <f t="shared" ca="1" si="4"/>
        <v>64.370527041617976</v>
      </c>
      <c r="U34" s="20">
        <f t="shared" ca="1" si="5"/>
        <v>3138.3234252721927</v>
      </c>
      <c r="V34" s="310">
        <f ca="1">T_Merger!_Salida_Abono_1</f>
        <v>0</v>
      </c>
      <c r="W34" s="20">
        <f t="shared" ca="1" si="6"/>
        <v>104390.25394386816</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38</v>
      </c>
      <c r="AE34" s="14">
        <f t="shared" ca="1" si="9"/>
        <v>15</v>
      </c>
      <c r="AF34" s="14">
        <f t="shared" ca="1" si="10"/>
        <v>38</v>
      </c>
      <c r="AG34" s="14">
        <f ca="1">MIN(_Ciclicas_Remanentes _Actual, _Remanentes _Actual)</f>
        <v>38</v>
      </c>
      <c r="AH34" s="32">
        <f t="shared" ca="1" si="11"/>
        <v>1</v>
      </c>
      <c r="AJ34" s="20">
        <f t="shared" ca="1" si="12"/>
        <v>0</v>
      </c>
      <c r="AK34" s="97">
        <f t="shared" ca="1" si="13"/>
        <v>3138.3234252721923</v>
      </c>
      <c r="AM34" s="97">
        <f ca="1">MAX( _Saldo_Final_Original _Anterior + _Saldo_Ciclico, 0)</f>
        <v>106927.78578341859</v>
      </c>
      <c r="AN34" s="20">
        <f t="shared" ca="1" si="14"/>
        <v>38.315789905724991</v>
      </c>
      <c r="AO34" s="20">
        <f t="shared" ca="1" si="15"/>
        <v>536.42105868014983</v>
      </c>
      <c r="AP34" s="20">
        <f t="shared" ca="1" si="16"/>
        <v>536.42105868014983</v>
      </c>
      <c r="AQ34" s="20">
        <f t="shared" ca="1" si="17"/>
        <v>0</v>
      </c>
      <c r="AR34" s="335">
        <f ca="1">MAX( ((( _Pago_Fijo - (_Interes_Regular_Original * (1 + Iva.Intereses)) ))), _Stopper_Capital_Original _Actual )</f>
        <v>2537.5318395504246</v>
      </c>
      <c r="AS34" s="97">
        <f ca="1">MAX(_Saldo_Inicial_Original _Actual - _Capital_Original _Actual, 0)</f>
        <v>104390.25394386816</v>
      </c>
      <c r="AT34"/>
      <c r="AU34" s="20">
        <f t="shared" ca="1" si="18"/>
        <v>2537.5318395504246</v>
      </c>
      <c r="AV34" s="20">
        <f t="shared" ca="1" si="19"/>
        <v>2535.0246855715295</v>
      </c>
      <c r="AW34" s="20">
        <f t="shared" ca="1" si="20"/>
        <v>600.79158572176789</v>
      </c>
      <c r="AX34" s="97">
        <f ca="1">IF( AND(_Abono_Anticipado _Anterior = 0, _Ciclicas &lt;&gt; 1 ), _Pago_Proyectado _Anterior, SUM(_Componentes_Pago_Proyectado _Actual))</f>
        <v>3138.3234252721923</v>
      </c>
      <c r="AY34" s="335">
        <f t="shared" ca="1" si="21"/>
        <v>2537.5318395504246</v>
      </c>
      <c r="AZ34" s="335">
        <f t="shared" ca="1" si="22"/>
        <v>2537.5318395504246</v>
      </c>
      <c r="BB34" s="20">
        <f t="shared" ca="1" si="23"/>
        <v>38.315789905724991</v>
      </c>
      <c r="BC34" s="309">
        <f t="shared" si="24"/>
        <v>14</v>
      </c>
      <c r="BD34" s="20">
        <f t="shared" ca="1" si="25"/>
        <v>536.42105868014983</v>
      </c>
      <c r="BE34" s="97">
        <f t="shared" ca="1" si="26"/>
        <v>3073.9528982305746</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104390.25394386816</v>
      </c>
      <c r="M35" s="97">
        <f ca="1">MIN( CHOOSE(Opcion.Abono, _Capital_Opcion_1, _Capital_Opcion_2, _Capital_Opcion_3) _Actual, _Saldo_Inicial _Actual)</f>
        <v>2551.7893851129115</v>
      </c>
      <c r="N35" s="97">
        <f t="shared" ca="1" si="0"/>
        <v>0</v>
      </c>
      <c r="O35" s="309">
        <f ca="1">MAX( _Capital_Elegida _Actual, _Stopper_Capital _Actual)</f>
        <v>2551.7893851129115</v>
      </c>
      <c r="P35" s="118">
        <f t="shared" ca="1" si="1"/>
        <v>37.406507663219422</v>
      </c>
      <c r="Q35" s="118">
        <f t="shared" ca="1" si="2"/>
        <v>523.69110728507189</v>
      </c>
      <c r="R35" s="309">
        <f ca="1">Fechas!_Dias_Interes_Pago</f>
        <v>14</v>
      </c>
      <c r="S35" s="20">
        <f t="shared" ca="1" si="3"/>
        <v>523.69110728507189</v>
      </c>
      <c r="T35" s="20">
        <f t="shared" ca="1" si="4"/>
        <v>62.842932874208628</v>
      </c>
      <c r="U35" s="20">
        <f t="shared" ca="1" si="5"/>
        <v>3138.3234252721923</v>
      </c>
      <c r="V35" s="310">
        <f ca="1">T_Merger!_Salida_Abono_1</f>
        <v>0</v>
      </c>
      <c r="W35" s="20">
        <f t="shared" ca="1" si="6"/>
        <v>101838.46455875525</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37</v>
      </c>
      <c r="AE35" s="14">
        <f t="shared" ca="1" si="9"/>
        <v>16</v>
      </c>
      <c r="AF35" s="14">
        <f t="shared" ca="1" si="10"/>
        <v>37</v>
      </c>
      <c r="AG35" s="14">
        <f ca="1">MIN(_Ciclicas_Remanentes _Actual, _Remanentes _Actual)</f>
        <v>37</v>
      </c>
      <c r="AH35" s="32">
        <f t="shared" ca="1" si="11"/>
        <v>1</v>
      </c>
      <c r="AJ35" s="20">
        <f t="shared" ca="1" si="12"/>
        <v>0</v>
      </c>
      <c r="AK35" s="97">
        <f t="shared" ca="1" si="13"/>
        <v>3138.3234252721923</v>
      </c>
      <c r="AM35" s="97">
        <f ca="1">MAX( _Saldo_Final_Original _Anterior + _Saldo_Ciclico, 0)</f>
        <v>104390.25394386816</v>
      </c>
      <c r="AN35" s="20">
        <f t="shared" ca="1" si="14"/>
        <v>37.406507663219422</v>
      </c>
      <c r="AO35" s="20">
        <f t="shared" ca="1" si="15"/>
        <v>523.69110728507189</v>
      </c>
      <c r="AP35" s="20">
        <f t="shared" ca="1" si="16"/>
        <v>523.69110728507189</v>
      </c>
      <c r="AQ35" s="20">
        <f t="shared" ca="1" si="17"/>
        <v>0</v>
      </c>
      <c r="AR35" s="335">
        <f ca="1">MAX( ((( _Pago_Fijo - (_Interes_Regular_Original * (1 + Iva.Intereses)) ))), _Stopper_Capital_Original _Actual )</f>
        <v>2551.7893851129115</v>
      </c>
      <c r="AS35" s="97">
        <f ca="1">MAX(_Saldo_Inicial_Original _Actual - _Capital_Original _Actual, 0)</f>
        <v>101838.46455875525</v>
      </c>
      <c r="AT35"/>
      <c r="AU35" s="20">
        <f t="shared" ca="1" si="18"/>
        <v>2551.7893851129115</v>
      </c>
      <c r="AV35" s="20">
        <f t="shared" ca="1" si="19"/>
        <v>2549.0504018803067</v>
      </c>
      <c r="AW35" s="20">
        <f t="shared" ca="1" si="20"/>
        <v>586.53404015928061</v>
      </c>
      <c r="AX35" s="97">
        <f ca="1">IF( AND(_Abono_Anticipado _Anterior = 0, _Ciclicas &lt;&gt; 1 ), _Pago_Proyectado _Anterior, SUM(_Componentes_Pago_Proyectado _Actual))</f>
        <v>3138.3234252721923</v>
      </c>
      <c r="AY35" s="335">
        <f t="shared" ca="1" si="21"/>
        <v>2551.7893851129115</v>
      </c>
      <c r="AZ35" s="335">
        <f t="shared" ca="1" si="22"/>
        <v>2551.7893851129115</v>
      </c>
      <c r="BB35" s="20">
        <f t="shared" ca="1" si="23"/>
        <v>37.406507663219422</v>
      </c>
      <c r="BC35" s="309">
        <f t="shared" si="24"/>
        <v>14</v>
      </c>
      <c r="BD35" s="20">
        <f t="shared" ca="1" si="25"/>
        <v>523.69110728507189</v>
      </c>
      <c r="BE35" s="97">
        <f t="shared" ca="1" si="26"/>
        <v>3075.4804923979837</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101838.46455875525</v>
      </c>
      <c r="M36" s="97">
        <f ca="1">MIN( CHOOSE(Opcion.Abono, _Capital_Opcion_1, _Capital_Opcion_2, _Capital_Opcion_3) _Actual, _Saldo_Inicial _Actual)</f>
        <v>2566.1270390713994</v>
      </c>
      <c r="N36" s="97">
        <f t="shared" ca="1" si="0"/>
        <v>0</v>
      </c>
      <c r="O36" s="309">
        <f ca="1">MAX( _Capital_Elegida _Actual, _Stopper_Capital _Actual)</f>
        <v>2566.1270390713994</v>
      </c>
      <c r="P36" s="118">
        <f t="shared" ca="1" si="1"/>
        <v>36.492116466887296</v>
      </c>
      <c r="Q36" s="118">
        <f t="shared" ca="1" si="2"/>
        <v>510.88963053642215</v>
      </c>
      <c r="R36" s="309">
        <f ca="1">Fechas!_Dias_Interes_Pago</f>
        <v>14</v>
      </c>
      <c r="S36" s="20">
        <f t="shared" ca="1" si="3"/>
        <v>510.88963053642215</v>
      </c>
      <c r="T36" s="20">
        <f t="shared" ca="1" si="4"/>
        <v>61.306755664370655</v>
      </c>
      <c r="U36" s="20">
        <f t="shared" ca="1" si="5"/>
        <v>3138.3234252721918</v>
      </c>
      <c r="V36" s="310">
        <f ca="1">T_Merger!_Salida_Abono_1</f>
        <v>0</v>
      </c>
      <c r="W36" s="20">
        <f t="shared" ca="1" si="6"/>
        <v>99272.337519683846</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36</v>
      </c>
      <c r="AE36" s="14">
        <f t="shared" ca="1" si="9"/>
        <v>17</v>
      </c>
      <c r="AF36" s="14">
        <f t="shared" ca="1" si="10"/>
        <v>36</v>
      </c>
      <c r="AG36" s="14">
        <f ca="1">MIN(_Ciclicas_Remanentes _Actual, _Remanentes _Actual)</f>
        <v>36</v>
      </c>
      <c r="AH36" s="32">
        <f t="shared" ca="1" si="11"/>
        <v>1</v>
      </c>
      <c r="AJ36" s="20">
        <f t="shared" ca="1" si="12"/>
        <v>0</v>
      </c>
      <c r="AK36" s="97">
        <f t="shared" ca="1" si="13"/>
        <v>3138.3234252721923</v>
      </c>
      <c r="AM36" s="97">
        <f ca="1">MAX( _Saldo_Final_Original _Anterior + _Saldo_Ciclico, 0)</f>
        <v>101838.46455875525</v>
      </c>
      <c r="AN36" s="20">
        <f t="shared" ca="1" si="14"/>
        <v>36.492116466887296</v>
      </c>
      <c r="AO36" s="20">
        <f t="shared" ca="1" si="15"/>
        <v>510.88963053642215</v>
      </c>
      <c r="AP36" s="20">
        <f t="shared" ca="1" si="16"/>
        <v>510.88963053642215</v>
      </c>
      <c r="AQ36" s="20">
        <f t="shared" ca="1" si="17"/>
        <v>0</v>
      </c>
      <c r="AR36" s="335">
        <f ca="1">MAX( ((( _Pago_Fijo - (_Interes_Regular_Original * (1 + Iva.Intereses)) ))), _Stopper_Capital_Original _Actual )</f>
        <v>2566.1270390713994</v>
      </c>
      <c r="AS36" s="97">
        <f ca="1">MAX(_Saldo_Inicial_Original _Actual - _Capital_Original _Actual, 0)</f>
        <v>99272.337519683846</v>
      </c>
      <c r="AT36"/>
      <c r="AU36" s="20">
        <f t="shared" ca="1" si="18"/>
        <v>2566.1270390713994</v>
      </c>
      <c r="AV36" s="20">
        <f t="shared" ca="1" si="19"/>
        <v>2563.1463421123099</v>
      </c>
      <c r="AW36" s="20">
        <f t="shared" ca="1" si="20"/>
        <v>572.19638620079286</v>
      </c>
      <c r="AX36" s="97">
        <f ca="1">IF( AND(_Abono_Anticipado _Anterior = 0, _Ciclicas &lt;&gt; 1 ), _Pago_Proyectado _Anterior, SUM(_Componentes_Pago_Proyectado _Actual))</f>
        <v>3138.3234252721923</v>
      </c>
      <c r="AY36" s="335">
        <f t="shared" ca="1" si="21"/>
        <v>2566.1270390713994</v>
      </c>
      <c r="AZ36" s="335">
        <f t="shared" ca="1" si="22"/>
        <v>2566.1270390713994</v>
      </c>
      <c r="BB36" s="20">
        <f t="shared" ca="1" si="23"/>
        <v>36.492116466887296</v>
      </c>
      <c r="BC36" s="309">
        <f t="shared" si="24"/>
        <v>14</v>
      </c>
      <c r="BD36" s="20">
        <f t="shared" ca="1" si="25"/>
        <v>510.88963053642215</v>
      </c>
      <c r="BE36" s="97">
        <f t="shared" ca="1" si="26"/>
        <v>3077.0166696078213</v>
      </c>
      <c r="BF36" s="14"/>
      <c r="BG36" s="14"/>
      <c r="BI36" s="44"/>
      <c r="BJ36" s="102"/>
      <c r="BK36" s="32"/>
      <c r="BL36" s="32"/>
      <c r="BR36" s="14"/>
      <c r="BS36" s="14"/>
      <c r="BT36" s="14"/>
      <c r="BU36" s="14"/>
      <c r="BV36" s="14"/>
      <c r="BY36" s="14"/>
      <c r="BZ36" s="14"/>
      <c r="CA36" s="14"/>
    </row>
    <row r="37" spans="2:79">
      <c r="J37" s="14">
        <v>18</v>
      </c>
      <c r="L37" s="97">
        <f ca="1">MAX( _Saldo_Final _Anterior + _Saldo_Ciclico,0)</f>
        <v>99272.337519683846</v>
      </c>
      <c r="M37" s="97">
        <f ca="1">MIN( CHOOSE(Opcion.Abono, _Capital_Opcion_1, _Capital_Opcion_2, _Capital_Opcion_3) _Actual, _Saldo_Inicial _Actual)</f>
        <v>2580.5452515282618</v>
      </c>
      <c r="N37" s="97">
        <f t="shared" ca="1" si="0"/>
        <v>0</v>
      </c>
      <c r="O37" s="309">
        <f ca="1">MAX( _Capital_Elegida _Actual, _Stopper_Capital _Actual)</f>
        <v>2580.5452515282618</v>
      </c>
      <c r="P37" s="118">
        <f t="shared" ca="1" si="1"/>
        <v>35.572587611220044</v>
      </c>
      <c r="Q37" s="118">
        <f t="shared" ca="1" si="2"/>
        <v>498.01622655708059</v>
      </c>
      <c r="R37" s="309">
        <f ca="1">Fechas!_Dias_Interes_Pago</f>
        <v>14</v>
      </c>
      <c r="S37" s="20">
        <f t="shared" ca="1" si="3"/>
        <v>498.01622655708059</v>
      </c>
      <c r="T37" s="20">
        <f t="shared" ca="1" si="4"/>
        <v>59.761947186849667</v>
      </c>
      <c r="U37" s="20">
        <f t="shared" ca="1" si="5"/>
        <v>3138.3234252721923</v>
      </c>
      <c r="V37" s="310">
        <f ca="1">T_Merger!_Salida_Abono_1</f>
        <v>0</v>
      </c>
      <c r="W37" s="20">
        <f t="shared" ca="1" si="6"/>
        <v>96691.792268155579</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35</v>
      </c>
      <c r="AE37" s="14">
        <f t="shared" ca="1" si="9"/>
        <v>18</v>
      </c>
      <c r="AF37" s="14">
        <f t="shared" ca="1" si="10"/>
        <v>35</v>
      </c>
      <c r="AG37" s="14">
        <f ca="1">MIN(_Ciclicas_Remanentes _Actual, _Remanentes _Actual)</f>
        <v>35</v>
      </c>
      <c r="AH37" s="32">
        <f t="shared" ca="1" si="11"/>
        <v>1</v>
      </c>
      <c r="AJ37" s="20">
        <f t="shared" ca="1" si="12"/>
        <v>0</v>
      </c>
      <c r="AK37" s="97">
        <f t="shared" ca="1" si="13"/>
        <v>3138.3234252721923</v>
      </c>
      <c r="AM37" s="97">
        <f ca="1">MAX( _Saldo_Final_Original _Anterior + _Saldo_Ciclico, 0)</f>
        <v>99272.337519683846</v>
      </c>
      <c r="AN37" s="20">
        <f t="shared" ca="1" si="14"/>
        <v>35.572587611220044</v>
      </c>
      <c r="AO37" s="20">
        <f t="shared" ca="1" si="15"/>
        <v>498.01622655708059</v>
      </c>
      <c r="AP37" s="20">
        <f t="shared" ca="1" si="16"/>
        <v>498.01622655708059</v>
      </c>
      <c r="AQ37" s="20">
        <f t="shared" ca="1" si="17"/>
        <v>0</v>
      </c>
      <c r="AR37" s="335">
        <f ca="1">MAX( ((( _Pago_Fijo - (_Interes_Regular_Original * (1 + Iva.Intereses)) ))), _Stopper_Capital_Original _Actual )</f>
        <v>2580.5452515282618</v>
      </c>
      <c r="AS37" s="97">
        <f ca="1">MAX(_Saldo_Inicial_Original _Actual - _Capital_Original _Actual, 0)</f>
        <v>96691.792268155579</v>
      </c>
      <c r="AT37"/>
      <c r="AU37" s="20">
        <f t="shared" ca="1" si="18"/>
        <v>2580.5452515282618</v>
      </c>
      <c r="AV37" s="20">
        <f t="shared" ca="1" si="19"/>
        <v>2577.3121642036508</v>
      </c>
      <c r="AW37" s="20">
        <f t="shared" ca="1" si="20"/>
        <v>557.77817374393032</v>
      </c>
      <c r="AX37" s="97">
        <f ca="1">IF( AND(_Abono_Anticipado _Anterior = 0, _Ciclicas &lt;&gt; 1 ), _Pago_Proyectado _Anterior, SUM(_Componentes_Pago_Proyectado _Actual))</f>
        <v>3138.3234252721923</v>
      </c>
      <c r="AY37" s="335">
        <f t="shared" ca="1" si="21"/>
        <v>2580.5452515282618</v>
      </c>
      <c r="AZ37" s="335">
        <f t="shared" ca="1" si="22"/>
        <v>2580.5452515282618</v>
      </c>
      <c r="BB37" s="20">
        <f t="shared" ca="1" si="23"/>
        <v>35.572587611220044</v>
      </c>
      <c r="BC37" s="309">
        <f t="shared" si="24"/>
        <v>14</v>
      </c>
      <c r="BD37" s="20">
        <f t="shared" ca="1" si="25"/>
        <v>498.01622655708059</v>
      </c>
      <c r="BE37" s="97">
        <f t="shared" ca="1" si="26"/>
        <v>3078.5614780853425</v>
      </c>
      <c r="BF37" s="14"/>
      <c r="BG37" s="14"/>
      <c r="BI37" s="44"/>
      <c r="BJ37" s="102"/>
      <c r="BK37" s="32"/>
      <c r="BL37" s="32"/>
      <c r="BR37" s="14"/>
      <c r="BS37" s="14"/>
      <c r="BT37" s="14"/>
      <c r="BU37" s="14"/>
      <c r="BV37" s="14"/>
      <c r="BY37" s="14"/>
      <c r="BZ37" s="14"/>
      <c r="CA37" s="14"/>
    </row>
    <row r="38" spans="2:79">
      <c r="J38" s="14">
        <v>19</v>
      </c>
      <c r="L38" s="97">
        <f ca="1">MAX( _Saldo_Final _Anterior + _Saldo_Ciclico,0)</f>
        <v>96691.792268155579</v>
      </c>
      <c r="M38" s="97">
        <f ca="1">MIN( CHOOSE(Opcion.Abono, _Capital_Opcion_1, _Capital_Opcion_2, _Capital_Opcion_3) _Actual, _Saldo_Inicial _Actual)</f>
        <v>2595.0444751148489</v>
      </c>
      <c r="N38" s="97">
        <f t="shared" ca="1" si="0"/>
        <v>0</v>
      </c>
      <c r="O38" s="309">
        <f ca="1">MAX( _Capital_Elegida _Actual, _Stopper_Capital _Actual)</f>
        <v>2595.0444751148489</v>
      </c>
      <c r="P38" s="118">
        <f t="shared" ca="1" si="1"/>
        <v>34.647892229422418</v>
      </c>
      <c r="Q38" s="118">
        <f t="shared" ca="1" si="2"/>
        <v>485.07049121191386</v>
      </c>
      <c r="R38" s="309">
        <f ca="1">Fechas!_Dias_Interes_Pago</f>
        <v>14</v>
      </c>
      <c r="S38" s="20">
        <f t="shared" ca="1" si="3"/>
        <v>485.07049121191386</v>
      </c>
      <c r="T38" s="20">
        <f t="shared" ca="1" si="4"/>
        <v>58.208458945429662</v>
      </c>
      <c r="U38" s="20">
        <f t="shared" ca="1" si="5"/>
        <v>3138.3234252721927</v>
      </c>
      <c r="V38" s="310">
        <f ca="1">T_Merger!_Salida_Abono_1</f>
        <v>0</v>
      </c>
      <c r="W38" s="20">
        <f t="shared" ca="1" si="6"/>
        <v>94096.747793040733</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34</v>
      </c>
      <c r="AE38" s="14">
        <f t="shared" ca="1" si="9"/>
        <v>19</v>
      </c>
      <c r="AF38" s="14">
        <f t="shared" ca="1" si="10"/>
        <v>34</v>
      </c>
      <c r="AG38" s="14">
        <f ca="1">MIN(_Ciclicas_Remanentes _Actual, _Remanentes _Actual)</f>
        <v>34</v>
      </c>
      <c r="AH38" s="32">
        <f t="shared" ca="1" si="11"/>
        <v>1</v>
      </c>
      <c r="AJ38" s="20">
        <f t="shared" ca="1" si="12"/>
        <v>0</v>
      </c>
      <c r="AK38" s="97">
        <f t="shared" ca="1" si="13"/>
        <v>3138.3234252721923</v>
      </c>
      <c r="AM38" s="97">
        <f ca="1">MAX( _Saldo_Final_Original _Anterior + _Saldo_Ciclico, 0)</f>
        <v>96691.792268155579</v>
      </c>
      <c r="AN38" s="20">
        <f t="shared" ca="1" si="14"/>
        <v>34.647892229422418</v>
      </c>
      <c r="AO38" s="20">
        <f t="shared" ca="1" si="15"/>
        <v>485.07049121191386</v>
      </c>
      <c r="AP38" s="20">
        <f t="shared" ca="1" si="16"/>
        <v>485.07049121191386</v>
      </c>
      <c r="AQ38" s="20">
        <f t="shared" ca="1" si="17"/>
        <v>0</v>
      </c>
      <c r="AR38" s="335">
        <f ca="1">MAX( ((( _Pago_Fijo - (_Interes_Regular_Original * (1 + Iva.Intereses)) ))), _Stopper_Capital_Original _Actual )</f>
        <v>2595.0444751148489</v>
      </c>
      <c r="AS38" s="97">
        <f ca="1">MAX(_Saldo_Inicial_Original _Actual - _Capital_Original _Actual, 0)</f>
        <v>94096.747793040733</v>
      </c>
      <c r="AT38"/>
      <c r="AU38" s="20">
        <f t="shared" ca="1" si="18"/>
        <v>2595.0444751148489</v>
      </c>
      <c r="AV38" s="20">
        <f t="shared" ca="1" si="19"/>
        <v>2591.5474359701011</v>
      </c>
      <c r="AW38" s="20">
        <f t="shared" ca="1" si="20"/>
        <v>543.2789501573435</v>
      </c>
      <c r="AX38" s="97">
        <f ca="1">IF( AND(_Abono_Anticipado _Anterior = 0, _Ciclicas &lt;&gt; 1 ), _Pago_Proyectado _Anterior, SUM(_Componentes_Pago_Proyectado _Actual))</f>
        <v>3138.3234252721923</v>
      </c>
      <c r="AY38" s="335">
        <f t="shared" ca="1" si="21"/>
        <v>2595.0444751148489</v>
      </c>
      <c r="AZ38" s="335">
        <f t="shared" ca="1" si="22"/>
        <v>2595.0444751148489</v>
      </c>
      <c r="BB38" s="20">
        <f t="shared" ca="1" si="23"/>
        <v>34.647892229422418</v>
      </c>
      <c r="BC38" s="309">
        <f t="shared" si="24"/>
        <v>14</v>
      </c>
      <c r="BD38" s="20">
        <f t="shared" ca="1" si="25"/>
        <v>485.07049121191386</v>
      </c>
      <c r="BE38" s="97">
        <f t="shared" ca="1" si="26"/>
        <v>3080.1149663267629</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94096.747793040733</v>
      </c>
      <c r="M39" s="97">
        <f ca="1">MIN( CHOOSE(Opcion.Abono, _Capital_Opcion_1, _Capital_Opcion_2, _Capital_Opcion_3) _Actual, _Saldo_Inicial _Actual)</f>
        <v>2609.6251650056938</v>
      </c>
      <c r="N39" s="97">
        <f t="shared" ca="1" si="0"/>
        <v>0</v>
      </c>
      <c r="O39" s="309">
        <f ca="1">MAX( _Capital_Elegida _Actual, _Stopper_Capital _Actual)</f>
        <v>2609.6251650056938</v>
      </c>
      <c r="P39" s="118">
        <f t="shared" ca="1" si="1"/>
        <v>33.718001292506266</v>
      </c>
      <c r="Q39" s="118">
        <f t="shared" ca="1" si="2"/>
        <v>472.0520180950877</v>
      </c>
      <c r="R39" s="309">
        <f ca="1">Fechas!_Dias_Interes_Pago</f>
        <v>14</v>
      </c>
      <c r="S39" s="20">
        <f t="shared" ca="1" si="3"/>
        <v>472.0520180950877</v>
      </c>
      <c r="T39" s="20">
        <f t="shared" ca="1" si="4"/>
        <v>56.64624217141052</v>
      </c>
      <c r="U39" s="20">
        <f t="shared" ca="1" si="5"/>
        <v>3138.3234252721918</v>
      </c>
      <c r="V39" s="310">
        <f ca="1">T_Merger!_Salida_Abono_1</f>
        <v>0</v>
      </c>
      <c r="W39" s="20">
        <f t="shared" ca="1" si="6"/>
        <v>91487.122628035038</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33</v>
      </c>
      <c r="AE39" s="14">
        <f t="shared" ca="1" si="9"/>
        <v>20</v>
      </c>
      <c r="AF39" s="14">
        <f t="shared" ca="1" si="10"/>
        <v>33</v>
      </c>
      <c r="AG39" s="14">
        <f ca="1">MIN(_Ciclicas_Remanentes _Actual, _Remanentes _Actual)</f>
        <v>33</v>
      </c>
      <c r="AH39" s="32">
        <f t="shared" ca="1" si="11"/>
        <v>1</v>
      </c>
      <c r="AJ39" s="20">
        <f t="shared" ca="1" si="12"/>
        <v>0</v>
      </c>
      <c r="AK39" s="97">
        <f t="shared" ca="1" si="13"/>
        <v>3138.3234252721923</v>
      </c>
      <c r="AM39" s="97">
        <f ca="1">MAX( _Saldo_Final_Original _Anterior + _Saldo_Ciclico, 0)</f>
        <v>94096.747793040733</v>
      </c>
      <c r="AN39" s="20">
        <f t="shared" ca="1" si="14"/>
        <v>33.718001292506266</v>
      </c>
      <c r="AO39" s="20">
        <f t="shared" ca="1" si="15"/>
        <v>472.0520180950877</v>
      </c>
      <c r="AP39" s="20">
        <f t="shared" ca="1" si="16"/>
        <v>472.0520180950877</v>
      </c>
      <c r="AQ39" s="20">
        <f t="shared" ca="1" si="17"/>
        <v>0</v>
      </c>
      <c r="AR39" s="335">
        <f ca="1">MAX( ((( _Pago_Fijo - (_Interes_Regular_Original * (1 + Iva.Intereses)) ))), _Stopper_Capital_Original _Actual )</f>
        <v>2609.6251650056938</v>
      </c>
      <c r="AS39" s="97">
        <f ca="1">MAX(_Saldo_Inicial_Original _Actual - _Capital_Original _Actual, 0)</f>
        <v>91487.122628035038</v>
      </c>
      <c r="AT39"/>
      <c r="AU39" s="20">
        <f t="shared" ca="1" si="18"/>
        <v>2609.6251650056938</v>
      </c>
      <c r="AV39" s="20">
        <f t="shared" ca="1" si="19"/>
        <v>2605.8516210877306</v>
      </c>
      <c r="AW39" s="20">
        <f t="shared" ca="1" si="20"/>
        <v>528.69826026649821</v>
      </c>
      <c r="AX39" s="97">
        <f ca="1">IF( AND(_Abono_Anticipado _Anterior = 0, _Ciclicas &lt;&gt; 1 ), _Pago_Proyectado _Anterior, SUM(_Componentes_Pago_Proyectado _Actual))</f>
        <v>3138.3234252721923</v>
      </c>
      <c r="AY39" s="335">
        <f t="shared" ca="1" si="21"/>
        <v>2609.6251650056938</v>
      </c>
      <c r="AZ39" s="335">
        <f t="shared" ca="1" si="22"/>
        <v>2609.6251650056938</v>
      </c>
      <c r="BB39" s="20">
        <f t="shared" ca="1" si="23"/>
        <v>33.718001292506266</v>
      </c>
      <c r="BC39" s="309">
        <f t="shared" si="24"/>
        <v>14</v>
      </c>
      <c r="BD39" s="20">
        <f t="shared" ca="1" si="25"/>
        <v>472.0520180950877</v>
      </c>
      <c r="BE39" s="97">
        <f t="shared" ca="1" si="26"/>
        <v>3081.6771831007813</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91487.122628035038</v>
      </c>
      <c r="M40" s="97">
        <f ca="1">MIN( CHOOSE(Opcion.Abono, _Capital_Opcion_1, _Capital_Opcion_2, _Capital_Opcion_3) _Actual, _Saldo_Inicial _Actual)</f>
        <v>2624.2877789328058</v>
      </c>
      <c r="N40" s="97">
        <f t="shared" ca="1" si="0"/>
        <v>0</v>
      </c>
      <c r="O40" s="309">
        <f ca="1">MAX( _Capital_Elegida _Actual, _Stopper_Capital _Actual)</f>
        <v>2624.2877789328058</v>
      </c>
      <c r="P40" s="118">
        <f t="shared" ca="1" si="1"/>
        <v>32.782885608379225</v>
      </c>
      <c r="Q40" s="118">
        <f t="shared" ca="1" si="2"/>
        <v>458.96039851730916</v>
      </c>
      <c r="R40" s="309">
        <f ca="1">Fechas!_Dias_Interes_Pago</f>
        <v>14</v>
      </c>
      <c r="S40" s="20">
        <f t="shared" ca="1" si="3"/>
        <v>458.96039851730916</v>
      </c>
      <c r="T40" s="20">
        <f t="shared" ca="1" si="4"/>
        <v>55.075247822077095</v>
      </c>
      <c r="U40" s="20">
        <f t="shared" ca="1" si="5"/>
        <v>3138.3234252721918</v>
      </c>
      <c r="V40" s="310">
        <f ca="1">T_Merger!_Salida_Abono_1</f>
        <v>0</v>
      </c>
      <c r="W40" s="20">
        <f t="shared" ca="1" si="6"/>
        <v>88862.834849102233</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32</v>
      </c>
      <c r="AE40" s="14">
        <f t="shared" ca="1" si="9"/>
        <v>21</v>
      </c>
      <c r="AF40" s="14">
        <f t="shared" ca="1" si="10"/>
        <v>32</v>
      </c>
      <c r="AG40" s="14">
        <f ca="1">MIN(_Ciclicas_Remanentes _Actual, _Remanentes _Actual)</f>
        <v>32</v>
      </c>
      <c r="AH40" s="32">
        <f t="shared" ca="1" si="11"/>
        <v>1</v>
      </c>
      <c r="AJ40" s="20">
        <f t="shared" ca="1" si="12"/>
        <v>0</v>
      </c>
      <c r="AK40" s="97">
        <f t="shared" ca="1" si="13"/>
        <v>3138.3234252721923</v>
      </c>
      <c r="AM40" s="97">
        <f ca="1">MAX( _Saldo_Final_Original _Anterior + _Saldo_Ciclico, 0)</f>
        <v>91487.122628035038</v>
      </c>
      <c r="AN40" s="20">
        <f t="shared" ca="1" si="14"/>
        <v>32.782885608379225</v>
      </c>
      <c r="AO40" s="20">
        <f t="shared" ca="1" si="15"/>
        <v>458.96039851730916</v>
      </c>
      <c r="AP40" s="20">
        <f t="shared" ca="1" si="16"/>
        <v>458.96039851730916</v>
      </c>
      <c r="AQ40" s="20">
        <f t="shared" ca="1" si="17"/>
        <v>0</v>
      </c>
      <c r="AR40" s="335">
        <f ca="1">MAX( ((( _Pago_Fijo - (_Interes_Regular_Original * (1 + Iva.Intereses)) ))), _Stopper_Capital_Original _Actual )</f>
        <v>2624.2877789328058</v>
      </c>
      <c r="AS40" s="97">
        <f ca="1">MAX(_Saldo_Inicial_Original _Actual - _Capital_Original _Actual, 0)</f>
        <v>88862.834849102233</v>
      </c>
      <c r="AT40"/>
      <c r="AU40" s="20">
        <f t="shared" ca="1" si="18"/>
        <v>2624.2877789328058</v>
      </c>
      <c r="AV40" s="20">
        <f t="shared" ca="1" si="19"/>
        <v>2620.2240624423839</v>
      </c>
      <c r="AW40" s="20">
        <f t="shared" ca="1" si="20"/>
        <v>514.03564633938618</v>
      </c>
      <c r="AX40" s="97">
        <f ca="1">IF( AND(_Abono_Anticipado _Anterior = 0, _Ciclicas &lt;&gt; 1 ), _Pago_Proyectado _Anterior, SUM(_Componentes_Pago_Proyectado _Actual))</f>
        <v>3138.3234252721923</v>
      </c>
      <c r="AY40" s="335">
        <f t="shared" ca="1" si="21"/>
        <v>2624.2877789328058</v>
      </c>
      <c r="AZ40" s="335">
        <f t="shared" ca="1" si="22"/>
        <v>2624.2877789328058</v>
      </c>
      <c r="BB40" s="20">
        <f t="shared" ca="1" si="23"/>
        <v>32.782885608379225</v>
      </c>
      <c r="BC40" s="309">
        <f t="shared" si="24"/>
        <v>14</v>
      </c>
      <c r="BD40" s="20">
        <f t="shared" ca="1" si="25"/>
        <v>458.96039851730916</v>
      </c>
      <c r="BE40" s="97">
        <f t="shared" ca="1" si="26"/>
        <v>3083.2481774501148</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88862.834849102233</v>
      </c>
      <c r="M41" s="97">
        <f ca="1">MIN( CHOOSE(Opcion.Abono, _Capital_Opcion_1, _Capital_Opcion_2, _Capital_Opcion_3) _Actual, _Saldo_Inicial _Actual)</f>
        <v>2639.0327772000364</v>
      </c>
      <c r="N41" s="97">
        <f t="shared" ca="1" si="0"/>
        <v>0</v>
      </c>
      <c r="O41" s="309">
        <f ca="1">MAX( _Capital_Elegida _Actual, _Stopper_Capital _Actual)</f>
        <v>2639.0327772000364</v>
      </c>
      <c r="P41" s="118">
        <f t="shared" ca="1" si="1"/>
        <v>31.842515820928302</v>
      </c>
      <c r="Q41" s="118">
        <f t="shared" ca="1" si="2"/>
        <v>445.79522149299623</v>
      </c>
      <c r="R41" s="309">
        <f ca="1">Fechas!_Dias_Interes_Pago</f>
        <v>14</v>
      </c>
      <c r="S41" s="20">
        <f t="shared" ca="1" si="3"/>
        <v>445.79522149299623</v>
      </c>
      <c r="T41" s="20">
        <f t="shared" ca="1" si="4"/>
        <v>53.495426579159549</v>
      </c>
      <c r="U41" s="20">
        <f t="shared" ca="1" si="5"/>
        <v>3138.3234252721923</v>
      </c>
      <c r="V41" s="310">
        <f ca="1">T_Merger!_Salida_Abono_1</f>
        <v>0</v>
      </c>
      <c r="W41" s="20">
        <f t="shared" ca="1" si="6"/>
        <v>86223.802071902202</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31</v>
      </c>
      <c r="AE41" s="14">
        <f t="shared" ca="1" si="9"/>
        <v>22</v>
      </c>
      <c r="AF41" s="14">
        <f t="shared" ca="1" si="10"/>
        <v>31</v>
      </c>
      <c r="AG41" s="14">
        <f ca="1">MIN(_Ciclicas_Remanentes _Actual, _Remanentes _Actual)</f>
        <v>31</v>
      </c>
      <c r="AH41" s="32">
        <f t="shared" ca="1" si="11"/>
        <v>1</v>
      </c>
      <c r="AJ41" s="20">
        <f t="shared" ca="1" si="12"/>
        <v>0</v>
      </c>
      <c r="AK41" s="97">
        <f t="shared" ca="1" si="13"/>
        <v>3138.3234252721923</v>
      </c>
      <c r="AM41" s="97">
        <f ca="1">MAX( _Saldo_Final_Original _Anterior + _Saldo_Ciclico, 0)</f>
        <v>88862.834849102233</v>
      </c>
      <c r="AN41" s="20">
        <f t="shared" ca="1" si="14"/>
        <v>31.842515820928302</v>
      </c>
      <c r="AO41" s="20">
        <f t="shared" ca="1" si="15"/>
        <v>445.79522149299623</v>
      </c>
      <c r="AP41" s="20">
        <f t="shared" ca="1" si="16"/>
        <v>445.79522149299623</v>
      </c>
      <c r="AQ41" s="20">
        <f t="shared" ca="1" si="17"/>
        <v>0</v>
      </c>
      <c r="AR41" s="335">
        <f ca="1">MAX( ((( _Pago_Fijo - (_Interes_Regular_Original * (1 + Iva.Intereses)) ))), _Stopper_Capital_Original _Actual )</f>
        <v>2639.0327772000364</v>
      </c>
      <c r="AS41" s="97">
        <f ca="1">MAX(_Saldo_Inicial_Original _Actual - _Capital_Original _Actual, 0)</f>
        <v>86223.802071902202</v>
      </c>
      <c r="AT41"/>
      <c r="AU41" s="20">
        <f t="shared" ca="1" si="18"/>
        <v>2639.0327772000364</v>
      </c>
      <c r="AV41" s="20">
        <f t="shared" ca="1" si="19"/>
        <v>2634.6639622537978</v>
      </c>
      <c r="AW41" s="20">
        <f t="shared" ca="1" si="20"/>
        <v>499.29064807215576</v>
      </c>
      <c r="AX41" s="97">
        <f ca="1">IF( AND(_Abono_Anticipado _Anterior = 0, _Ciclicas &lt;&gt; 1 ), _Pago_Proyectado _Anterior, SUM(_Componentes_Pago_Proyectado _Actual))</f>
        <v>3138.3234252721923</v>
      </c>
      <c r="AY41" s="335">
        <f t="shared" ca="1" si="21"/>
        <v>2639.0327772000364</v>
      </c>
      <c r="AZ41" s="335">
        <f t="shared" ca="1" si="22"/>
        <v>2639.0327772000364</v>
      </c>
      <c r="BB41" s="20">
        <f t="shared" ca="1" si="23"/>
        <v>31.842515820928302</v>
      </c>
      <c r="BC41" s="309">
        <f t="shared" si="24"/>
        <v>14</v>
      </c>
      <c r="BD41" s="20">
        <f t="shared" ca="1" si="25"/>
        <v>445.79522149299623</v>
      </c>
      <c r="BE41" s="97">
        <f t="shared" ca="1" si="26"/>
        <v>3084.8279986930329</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86223.802071902202</v>
      </c>
      <c r="M42" s="97">
        <f ca="1">MIN( CHOOSE(Opcion.Abono, _Capital_Opcion_1, _Capital_Opcion_2, _Capital_Opcion_3) _Actual, _Saldo_Inicial _Actual)</f>
        <v>2653.8606226975307</v>
      </c>
      <c r="N42" s="97">
        <f t="shared" ca="1" si="0"/>
        <v>0</v>
      </c>
      <c r="O42" s="309">
        <f ca="1">MAX( _Capital_Elegida _Actual, _Stopper_Capital _Actual)</f>
        <v>2653.8606226975307</v>
      </c>
      <c r="P42" s="118">
        <f t="shared" ca="1" si="1"/>
        <v>30.89686240909829</v>
      </c>
      <c r="Q42" s="118">
        <f t="shared" ca="1" si="2"/>
        <v>432.55607372737609</v>
      </c>
      <c r="R42" s="309">
        <f ca="1">Fechas!_Dias_Interes_Pago</f>
        <v>14</v>
      </c>
      <c r="S42" s="20">
        <f t="shared" ca="1" si="3"/>
        <v>432.55607372737609</v>
      </c>
      <c r="T42" s="20">
        <f t="shared" ca="1" si="4"/>
        <v>51.90672884728513</v>
      </c>
      <c r="U42" s="20">
        <f t="shared" ca="1" si="5"/>
        <v>3138.3234252721923</v>
      </c>
      <c r="V42" s="310">
        <f ca="1">T_Merger!_Salida_Abono_1</f>
        <v>0</v>
      </c>
      <c r="W42" s="20">
        <f t="shared" ca="1" si="6"/>
        <v>83569.941449204678</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30</v>
      </c>
      <c r="AE42" s="14">
        <f t="shared" ca="1" si="9"/>
        <v>23</v>
      </c>
      <c r="AF42" s="14">
        <f t="shared" ca="1" si="10"/>
        <v>30</v>
      </c>
      <c r="AG42" s="14">
        <f ca="1">MIN(_Ciclicas_Remanentes _Actual, _Remanentes _Actual)</f>
        <v>30</v>
      </c>
      <c r="AH42" s="32">
        <f t="shared" ca="1" si="11"/>
        <v>1</v>
      </c>
      <c r="AJ42" s="20">
        <f t="shared" ca="1" si="12"/>
        <v>0</v>
      </c>
      <c r="AK42" s="97">
        <f t="shared" ca="1" si="13"/>
        <v>3138.3234252721923</v>
      </c>
      <c r="AM42" s="97">
        <f ca="1">MAX( _Saldo_Final_Original _Anterior + _Saldo_Ciclico, 0)</f>
        <v>86223.802071902202</v>
      </c>
      <c r="AN42" s="20">
        <f t="shared" ca="1" si="14"/>
        <v>30.89686240909829</v>
      </c>
      <c r="AO42" s="20">
        <f t="shared" ca="1" si="15"/>
        <v>432.55607372737609</v>
      </c>
      <c r="AP42" s="20">
        <f t="shared" ca="1" si="16"/>
        <v>432.55607372737609</v>
      </c>
      <c r="AQ42" s="20">
        <f t="shared" ca="1" si="17"/>
        <v>0</v>
      </c>
      <c r="AR42" s="335">
        <f ca="1">MAX( ((( _Pago_Fijo - (_Interes_Regular_Original * (1 + Iva.Intereses)) ))), _Stopper_Capital_Original _Actual )</f>
        <v>2653.8606226975307</v>
      </c>
      <c r="AS42" s="97">
        <f ca="1">MAX(_Saldo_Inicial_Original _Actual - _Capital_Original _Actual, 0)</f>
        <v>83569.941449204678</v>
      </c>
      <c r="AT42"/>
      <c r="AU42" s="20">
        <f t="shared" ca="1" si="18"/>
        <v>2653.8606226975307</v>
      </c>
      <c r="AV42" s="20">
        <f t="shared" ca="1" si="19"/>
        <v>2649.1703582217788</v>
      </c>
      <c r="AW42" s="20">
        <f t="shared" ca="1" si="20"/>
        <v>484.46280257466117</v>
      </c>
      <c r="AX42" s="97">
        <f ca="1">IF( AND(_Abono_Anticipado _Anterior = 0, _Ciclicas &lt;&gt; 1 ), _Pago_Proyectado _Anterior, SUM(_Componentes_Pago_Proyectado _Actual))</f>
        <v>3138.3234252721923</v>
      </c>
      <c r="AY42" s="335">
        <f t="shared" ca="1" si="21"/>
        <v>2653.8606226975307</v>
      </c>
      <c r="AZ42" s="335">
        <f t="shared" ca="1" si="22"/>
        <v>2653.8606226975307</v>
      </c>
      <c r="BB42" s="20">
        <f t="shared" ca="1" si="23"/>
        <v>30.89686240909829</v>
      </c>
      <c r="BC42" s="309">
        <f t="shared" si="24"/>
        <v>14</v>
      </c>
      <c r="BD42" s="20">
        <f t="shared" ca="1" si="25"/>
        <v>432.55607372737609</v>
      </c>
      <c r="BE42" s="97">
        <f t="shared" ca="1" si="26"/>
        <v>3086.4166964249071</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83569.941449204678</v>
      </c>
      <c r="M43" s="97">
        <f ca="1">MIN( CHOOSE(Opcion.Abono, _Capital_Opcion_1, _Capital_Opcion_2, _Capital_Opcion_3) _Actual, _Saldo_Inicial _Actual)</f>
        <v>2668.7717809162609</v>
      </c>
      <c r="N43" s="97">
        <f t="shared" ca="1" si="0"/>
        <v>0</v>
      </c>
      <c r="O43" s="309">
        <f ca="1">MAX( _Capital_Elegida _Actual, _Stopper_Capital _Actual)</f>
        <v>2668.7717809162609</v>
      </c>
      <c r="P43" s="118">
        <f t="shared" ca="1" si="1"/>
        <v>29.945895685965009</v>
      </c>
      <c r="Q43" s="118">
        <f t="shared" ca="1" si="2"/>
        <v>419.24253960351012</v>
      </c>
      <c r="R43" s="309">
        <f ca="1">Fechas!_Dias_Interes_Pago</f>
        <v>14</v>
      </c>
      <c r="S43" s="20">
        <f t="shared" ca="1" si="3"/>
        <v>419.24253960351012</v>
      </c>
      <c r="T43" s="20">
        <f t="shared" ca="1" si="4"/>
        <v>50.309104752421213</v>
      </c>
      <c r="U43" s="20">
        <f t="shared" ca="1" si="5"/>
        <v>3138.3234252721923</v>
      </c>
      <c r="V43" s="310">
        <f ca="1">T_Merger!_Salida_Abono_1</f>
        <v>0</v>
      </c>
      <c r="W43" s="20">
        <f t="shared" ca="1" si="6"/>
        <v>80901.169668288421</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29</v>
      </c>
      <c r="AE43" s="14">
        <f t="shared" ca="1" si="9"/>
        <v>24</v>
      </c>
      <c r="AF43" s="14">
        <f t="shared" ca="1" si="10"/>
        <v>29</v>
      </c>
      <c r="AG43" s="14">
        <f ca="1">MIN(_Ciclicas_Remanentes _Actual, _Remanentes _Actual)</f>
        <v>29</v>
      </c>
      <c r="AH43" s="32">
        <f t="shared" ca="1" si="11"/>
        <v>1</v>
      </c>
      <c r="AJ43" s="20">
        <f t="shared" ca="1" si="12"/>
        <v>0</v>
      </c>
      <c r="AK43" s="97">
        <f t="shared" ca="1" si="13"/>
        <v>3138.3234252721923</v>
      </c>
      <c r="AM43" s="97">
        <f ca="1">MAX( _Saldo_Final_Original _Anterior + _Saldo_Ciclico, 0)</f>
        <v>83569.941449204678</v>
      </c>
      <c r="AN43" s="20">
        <f t="shared" ca="1" si="14"/>
        <v>29.945895685965009</v>
      </c>
      <c r="AO43" s="20">
        <f t="shared" ca="1" si="15"/>
        <v>419.24253960351012</v>
      </c>
      <c r="AP43" s="20">
        <f t="shared" ca="1" si="16"/>
        <v>419.24253960351012</v>
      </c>
      <c r="AQ43" s="20">
        <f t="shared" ca="1" si="17"/>
        <v>0</v>
      </c>
      <c r="AR43" s="335">
        <f ca="1">MAX( ((( _Pago_Fijo - (_Interes_Regular_Original * (1 + Iva.Intereses)) ))), _Stopper_Capital_Original _Actual )</f>
        <v>2668.7717809162609</v>
      </c>
      <c r="AS43" s="97">
        <f ca="1">MAX(_Saldo_Inicial_Original _Actual - _Capital_Original _Actual, 0)</f>
        <v>80901.169668288421</v>
      </c>
      <c r="AT43"/>
      <c r="AU43" s="20">
        <f t="shared" ca="1" si="18"/>
        <v>2668.7717809162609</v>
      </c>
      <c r="AV43" s="20">
        <f t="shared" ca="1" si="19"/>
        <v>2663.7420947342594</v>
      </c>
      <c r="AW43" s="20">
        <f t="shared" ca="1" si="20"/>
        <v>469.55164435593139</v>
      </c>
      <c r="AX43" s="97">
        <f ca="1">IF( AND(_Abono_Anticipado _Anterior = 0, _Ciclicas &lt;&gt; 1 ), _Pago_Proyectado _Anterior, SUM(_Componentes_Pago_Proyectado _Actual))</f>
        <v>3138.3234252721923</v>
      </c>
      <c r="AY43" s="335">
        <f t="shared" ca="1" si="21"/>
        <v>2668.7717809162609</v>
      </c>
      <c r="AZ43" s="335">
        <f t="shared" ca="1" si="22"/>
        <v>2668.7717809162609</v>
      </c>
      <c r="BB43" s="20">
        <f t="shared" ca="1" si="23"/>
        <v>29.945895685965009</v>
      </c>
      <c r="BC43" s="309">
        <f t="shared" si="24"/>
        <v>14</v>
      </c>
      <c r="BD43" s="20">
        <f t="shared" ca="1" si="25"/>
        <v>419.24253960351012</v>
      </c>
      <c r="BE43" s="97">
        <f t="shared" ca="1" si="26"/>
        <v>3088.014320519771</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80901.169668288421</v>
      </c>
      <c r="M44" s="97">
        <f ca="1">MIN( CHOOSE(Opcion.Abono, _Capital_Opcion_1, _Capital_Opcion_2, _Capital_Opcion_3) _Actual, _Saldo_Inicial _Actual)</f>
        <v>2683.7667199626358</v>
      </c>
      <c r="N44" s="97">
        <f t="shared" ca="1" si="0"/>
        <v>0</v>
      </c>
      <c r="O44" s="309">
        <f ca="1">MAX( _Capital_Elegida _Actual, _Stopper_Capital _Actual)</f>
        <v>2683.7667199626358</v>
      </c>
      <c r="P44" s="118">
        <f t="shared" ca="1" si="1"/>
        <v>28.98958579780335</v>
      </c>
      <c r="Q44" s="118">
        <f t="shared" ca="1" si="2"/>
        <v>405.85420116924689</v>
      </c>
      <c r="R44" s="309">
        <f ca="1">Fechas!_Dias_Interes_Pago</f>
        <v>14</v>
      </c>
      <c r="S44" s="20">
        <f t="shared" ca="1" si="3"/>
        <v>405.85420116924689</v>
      </c>
      <c r="T44" s="20">
        <f t="shared" ca="1" si="4"/>
        <v>48.702504140309628</v>
      </c>
      <c r="U44" s="20">
        <f t="shared" ca="1" si="5"/>
        <v>3138.3234252721923</v>
      </c>
      <c r="V44" s="310">
        <f ca="1">T_Merger!_Salida_Abono_1</f>
        <v>0</v>
      </c>
      <c r="W44" s="20">
        <f t="shared" ca="1" si="6"/>
        <v>78217.402948325791</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28</v>
      </c>
      <c r="AE44" s="14">
        <f t="shared" ca="1" si="9"/>
        <v>25</v>
      </c>
      <c r="AF44" s="14">
        <f t="shared" ca="1" si="10"/>
        <v>28</v>
      </c>
      <c r="AG44" s="14">
        <f ca="1">MIN(_Ciclicas_Remanentes _Actual, _Remanentes _Actual)</f>
        <v>28</v>
      </c>
      <c r="AH44" s="32">
        <f t="shared" ca="1" si="11"/>
        <v>1</v>
      </c>
      <c r="AI44"/>
      <c r="AJ44" s="20">
        <f t="shared" ca="1" si="12"/>
        <v>0</v>
      </c>
      <c r="AK44" s="97">
        <f t="shared" ca="1" si="13"/>
        <v>3138.3234252721923</v>
      </c>
      <c r="AL44"/>
      <c r="AM44" s="97">
        <f ca="1">MAX( _Saldo_Final_Original _Anterior + _Saldo_Ciclico, 0)</f>
        <v>80901.169668288421</v>
      </c>
      <c r="AN44" s="20">
        <f t="shared" ca="1" si="14"/>
        <v>28.98958579780335</v>
      </c>
      <c r="AO44" s="20">
        <f t="shared" ca="1" si="15"/>
        <v>405.85420116924689</v>
      </c>
      <c r="AP44" s="20">
        <f t="shared" ca="1" si="16"/>
        <v>405.85420116924689</v>
      </c>
      <c r="AQ44" s="20">
        <f t="shared" ca="1" si="17"/>
        <v>0</v>
      </c>
      <c r="AR44" s="335">
        <f ca="1">MAX( ((( _Pago_Fijo - (_Interes_Regular_Original * (1 + Iva.Intereses)) ))), _Stopper_Capital_Original _Actual )</f>
        <v>2683.7667199626358</v>
      </c>
      <c r="AS44" s="97">
        <f ca="1">MAX(_Saldo_Inicial_Original _Actual - _Capital_Original _Actual, 0)</f>
        <v>78217.402948325791</v>
      </c>
      <c r="AT44" s="41"/>
      <c r="AU44" s="20">
        <f t="shared" ca="1" si="18"/>
        <v>2683.7667199626358</v>
      </c>
      <c r="AV44" s="20">
        <f t="shared" ca="1" si="19"/>
        <v>2678.3777879026302</v>
      </c>
      <c r="AW44" s="20">
        <f t="shared" ca="1" si="20"/>
        <v>454.55670530955655</v>
      </c>
      <c r="AX44" s="97">
        <f ca="1">IF( AND(_Abono_Anticipado _Anterior = 0, _Ciclicas &lt;&gt; 1 ), _Pago_Proyectado _Anterior, SUM(_Componentes_Pago_Proyectado _Actual))</f>
        <v>3138.3234252721923</v>
      </c>
      <c r="AY44" s="335">
        <f t="shared" ca="1" si="21"/>
        <v>2683.7667199626358</v>
      </c>
      <c r="AZ44" s="335">
        <f t="shared" ca="1" si="22"/>
        <v>2683.7667199626358</v>
      </c>
      <c r="BB44" s="20">
        <f t="shared" ca="1" si="23"/>
        <v>28.98958579780335</v>
      </c>
      <c r="BC44" s="309">
        <f t="shared" si="24"/>
        <v>14</v>
      </c>
      <c r="BD44" s="20">
        <f t="shared" ca="1" si="25"/>
        <v>405.85420116924689</v>
      </c>
      <c r="BE44" s="97">
        <f t="shared" ca="1" si="26"/>
        <v>3089.6209211318828</v>
      </c>
      <c r="BH44"/>
      <c r="BI44" s="44"/>
      <c r="BJ44" s="102"/>
      <c r="BK44" s="301"/>
      <c r="BL44" s="301"/>
    </row>
    <row r="45" spans="2:79">
      <c r="B45" s="301"/>
      <c r="C45" s="301"/>
      <c r="E45" s="116"/>
      <c r="F45" s="116"/>
      <c r="J45" s="14">
        <v>26</v>
      </c>
      <c r="L45" s="97">
        <f ca="1">MAX( _Saldo_Final _Anterior + _Saldo_Ciclico,0)</f>
        <v>78217.402948325791</v>
      </c>
      <c r="M45" s="97">
        <f ca="1">MIN( CHOOSE(Opcion.Abono, _Capital_Opcion_1, _Capital_Opcion_2, _Capital_Opcion_3) _Actual, _Saldo_Inicial _Actual)</f>
        <v>2698.845910573199</v>
      </c>
      <c r="N45" s="97">
        <f t="shared" ca="1" si="0"/>
        <v>0</v>
      </c>
      <c r="O45" s="309">
        <f ca="1">MAX( _Capital_Elegida _Actual, _Stopper_Capital _Actual)</f>
        <v>2698.845910573199</v>
      </c>
      <c r="P45" s="118">
        <f t="shared" ca="1" si="1"/>
        <v>28.027902723150074</v>
      </c>
      <c r="Q45" s="118">
        <f t="shared" ca="1" si="2"/>
        <v>392.39063812410103</v>
      </c>
      <c r="R45" s="309">
        <f ca="1">Fechas!_Dias_Interes_Pago</f>
        <v>14</v>
      </c>
      <c r="S45" s="20">
        <f t="shared" ca="1" si="3"/>
        <v>392.39063812410103</v>
      </c>
      <c r="T45" s="20">
        <f t="shared" ca="1" si="4"/>
        <v>47.086876574892123</v>
      </c>
      <c r="U45" s="20">
        <f t="shared" ca="1" si="5"/>
        <v>3138.3234252721918</v>
      </c>
      <c r="V45" s="310">
        <f ca="1">T_Merger!_Salida_Abono_1</f>
        <v>0</v>
      </c>
      <c r="W45" s="20">
        <f t="shared" ca="1" si="6"/>
        <v>75518.557037752587</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27</v>
      </c>
      <c r="AE45" s="14">
        <f t="shared" ca="1" si="9"/>
        <v>26</v>
      </c>
      <c r="AF45" s="14">
        <f t="shared" ca="1" si="10"/>
        <v>27</v>
      </c>
      <c r="AG45" s="14">
        <f ca="1">MIN(_Ciclicas_Remanentes _Actual, _Remanentes _Actual)</f>
        <v>27</v>
      </c>
      <c r="AH45" s="32">
        <f t="shared" ca="1" si="11"/>
        <v>1</v>
      </c>
      <c r="AJ45" s="20">
        <f t="shared" ca="1" si="12"/>
        <v>0</v>
      </c>
      <c r="AK45" s="97">
        <f t="shared" ca="1" si="13"/>
        <v>3138.3234252721923</v>
      </c>
      <c r="AM45" s="97">
        <f ca="1">MAX( _Saldo_Final_Original _Anterior + _Saldo_Ciclico, 0)</f>
        <v>78217.402948325791</v>
      </c>
      <c r="AN45" s="20">
        <f t="shared" ca="1" si="14"/>
        <v>28.027902723150074</v>
      </c>
      <c r="AO45" s="20">
        <f t="shared" ca="1" si="15"/>
        <v>392.39063812410103</v>
      </c>
      <c r="AP45" s="20">
        <f t="shared" ca="1" si="16"/>
        <v>392.39063812410103</v>
      </c>
      <c r="AQ45" s="20">
        <f t="shared" ca="1" si="17"/>
        <v>0</v>
      </c>
      <c r="AR45" s="335">
        <f ca="1">MAX( ((( _Pago_Fijo - (_Interes_Regular_Original * (1 + Iva.Intereses)) ))), _Stopper_Capital_Original _Actual )</f>
        <v>2698.845910573199</v>
      </c>
      <c r="AS45" s="97">
        <f ca="1">MAX(_Saldo_Inicial_Original _Actual - _Capital_Original _Actual, 0)</f>
        <v>75518.557037752587</v>
      </c>
      <c r="AT45"/>
      <c r="AU45" s="20">
        <f t="shared" ca="1" si="18"/>
        <v>2698.845910573199</v>
      </c>
      <c r="AV45" s="20">
        <f t="shared" ca="1" si="19"/>
        <v>2693.0757828239834</v>
      </c>
      <c r="AW45" s="20">
        <f t="shared" ca="1" si="20"/>
        <v>439.47751469899316</v>
      </c>
      <c r="AX45" s="97">
        <f ca="1">IF( AND(_Abono_Anticipado _Anterior = 0, _Ciclicas &lt;&gt; 1 ), _Pago_Proyectado _Anterior, SUM(_Componentes_Pago_Proyectado _Actual))</f>
        <v>3138.3234252721923</v>
      </c>
      <c r="AY45" s="335">
        <f t="shared" ca="1" si="21"/>
        <v>2698.845910573199</v>
      </c>
      <c r="AZ45" s="335">
        <f t="shared" ca="1" si="22"/>
        <v>2698.845910573199</v>
      </c>
      <c r="BB45" s="20">
        <f t="shared" ca="1" si="23"/>
        <v>28.027902723150074</v>
      </c>
      <c r="BC45" s="309">
        <f t="shared" si="24"/>
        <v>14</v>
      </c>
      <c r="BD45" s="20">
        <f t="shared" ca="1" si="25"/>
        <v>392.39063812410103</v>
      </c>
      <c r="BE45" s="97">
        <f t="shared" ca="1" si="26"/>
        <v>3091.2365486972999</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75518.557037752587</v>
      </c>
      <c r="M46" s="97">
        <f ca="1">MIN( CHOOSE(Opcion.Abono, _Capital_Opcion_1, _Capital_Opcion_2, _Capital_Opcion_3) _Actual, _Saldo_Inicial _Actual)</f>
        <v>2714.0098261294061</v>
      </c>
      <c r="N46" s="97">
        <f t="shared" ca="1" si="0"/>
        <v>0</v>
      </c>
      <c r="O46" s="309">
        <f ca="1">MAX( _Capital_Elegida _Actual, _Stopper_Capital _Actual)</f>
        <v>2714.0098261294061</v>
      </c>
      <c r="P46" s="118">
        <f t="shared" ca="1" si="1"/>
        <v>27.060816271861345</v>
      </c>
      <c r="Q46" s="118">
        <f t="shared" ca="1" si="2"/>
        <v>378.85142780605884</v>
      </c>
      <c r="R46" s="309">
        <f ca="1">Fechas!_Dias_Interes_Pago</f>
        <v>14</v>
      </c>
      <c r="S46" s="20">
        <f t="shared" ca="1" si="3"/>
        <v>378.85142780605884</v>
      </c>
      <c r="T46" s="20">
        <f t="shared" ca="1" si="4"/>
        <v>45.46217133672706</v>
      </c>
      <c r="U46" s="20">
        <f t="shared" ca="1" si="5"/>
        <v>3138.3234252721918</v>
      </c>
      <c r="V46" s="310">
        <f ca="1">T_Merger!_Salida_Abono_1</f>
        <v>0</v>
      </c>
      <c r="W46" s="20">
        <f t="shared" ca="1" si="6"/>
        <v>72804.547211623183</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26</v>
      </c>
      <c r="AE46" s="14">
        <f t="shared" ca="1" si="9"/>
        <v>27</v>
      </c>
      <c r="AF46" s="14">
        <f t="shared" ca="1" si="10"/>
        <v>26</v>
      </c>
      <c r="AG46" s="14">
        <f ca="1">MIN(_Ciclicas_Remanentes _Actual, _Remanentes _Actual)</f>
        <v>26</v>
      </c>
      <c r="AH46" s="32">
        <f t="shared" ca="1" si="11"/>
        <v>1</v>
      </c>
      <c r="AJ46" s="20">
        <f t="shared" ca="1" si="12"/>
        <v>0</v>
      </c>
      <c r="AK46" s="97">
        <f t="shared" ca="1" si="13"/>
        <v>3138.3234252721923</v>
      </c>
      <c r="AM46" s="97">
        <f ca="1">MAX( _Saldo_Final_Original _Anterior + _Saldo_Ciclico, 0)</f>
        <v>75518.557037752587</v>
      </c>
      <c r="AN46" s="20">
        <f t="shared" ca="1" si="14"/>
        <v>27.060816271861345</v>
      </c>
      <c r="AO46" s="20">
        <f t="shared" ca="1" si="15"/>
        <v>378.85142780605884</v>
      </c>
      <c r="AP46" s="20">
        <f t="shared" ca="1" si="16"/>
        <v>378.85142780605884</v>
      </c>
      <c r="AQ46" s="20">
        <f t="shared" ca="1" si="17"/>
        <v>0</v>
      </c>
      <c r="AR46" s="335">
        <f ca="1">MAX( ((( _Pago_Fijo - (_Interes_Regular_Original * (1 + Iva.Intereses)) ))), _Stopper_Capital_Original _Actual )</f>
        <v>2714.0098261294061</v>
      </c>
      <c r="AS46" s="97">
        <f ca="1">MAX(_Saldo_Inicial_Original _Actual - _Capital_Original _Actual, 0)</f>
        <v>72804.547211623183</v>
      </c>
      <c r="AT46"/>
      <c r="AU46" s="20">
        <f t="shared" ca="1" si="18"/>
        <v>2714.0098261294061</v>
      </c>
      <c r="AV46" s="20">
        <f t="shared" ca="1" si="19"/>
        <v>2707.834100977615</v>
      </c>
      <c r="AW46" s="20">
        <f t="shared" ca="1" si="20"/>
        <v>424.3135991427859</v>
      </c>
      <c r="AX46" s="97">
        <f ca="1">IF( AND(_Abono_Anticipado _Anterior = 0, _Ciclicas &lt;&gt; 1 ), _Pago_Proyectado _Anterior, SUM(_Componentes_Pago_Proyectado _Actual))</f>
        <v>3138.3234252721923</v>
      </c>
      <c r="AY46" s="335">
        <f t="shared" ca="1" si="21"/>
        <v>2714.0098261294061</v>
      </c>
      <c r="AZ46" s="335">
        <f t="shared" ca="1" si="22"/>
        <v>2714.0098261294061</v>
      </c>
      <c r="BB46" s="20">
        <f t="shared" ca="1" si="23"/>
        <v>27.060816271861345</v>
      </c>
      <c r="BC46" s="309">
        <f t="shared" si="24"/>
        <v>14</v>
      </c>
      <c r="BD46" s="20">
        <f t="shared" ca="1" si="25"/>
        <v>378.85142780605884</v>
      </c>
      <c r="BE46" s="97">
        <f t="shared" ca="1" si="26"/>
        <v>3092.8612539354649</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72804.547211623183</v>
      </c>
      <c r="M47" s="97">
        <f ca="1">MIN( CHOOSE(Opcion.Abono, _Capital_Opcion_1, _Capital_Opcion_2, _Capital_Opcion_3) _Actual, _Saldo_Inicial _Actual)</f>
        <v>2729.2589426724853</v>
      </c>
      <c r="N47" s="97">
        <f t="shared" ca="1" si="0"/>
        <v>0</v>
      </c>
      <c r="O47" s="309">
        <f ca="1">MAX( _Capital_Elegida _Actual, _Stopper_Capital _Actual)</f>
        <v>2729.2589426724853</v>
      </c>
      <c r="P47" s="118">
        <f t="shared" ca="1" si="1"/>
        <v>26.088296084164973</v>
      </c>
      <c r="Q47" s="118">
        <f t="shared" ca="1" si="2"/>
        <v>365.23614517830964</v>
      </c>
      <c r="R47" s="309">
        <f ca="1">Fechas!_Dias_Interes_Pago</f>
        <v>14</v>
      </c>
      <c r="S47" s="20">
        <f t="shared" ca="1" si="3"/>
        <v>365.23614517830964</v>
      </c>
      <c r="T47" s="20">
        <f t="shared" ca="1" si="4"/>
        <v>43.828337421397158</v>
      </c>
      <c r="U47" s="20">
        <f t="shared" ca="1" si="5"/>
        <v>3138.3234252721918</v>
      </c>
      <c r="V47" s="310">
        <f ca="1">T_Merger!_Salida_Abono_1</f>
        <v>0</v>
      </c>
      <c r="W47" s="20">
        <f t="shared" ca="1" si="6"/>
        <v>70075.288268950695</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25</v>
      </c>
      <c r="AE47" s="14">
        <f t="shared" ca="1" si="9"/>
        <v>28</v>
      </c>
      <c r="AF47" s="14">
        <f t="shared" ca="1" si="10"/>
        <v>25</v>
      </c>
      <c r="AG47" s="14">
        <f ca="1">MIN(_Ciclicas_Remanentes _Actual, _Remanentes _Actual)</f>
        <v>25</v>
      </c>
      <c r="AH47" s="32">
        <f t="shared" ca="1" si="11"/>
        <v>1</v>
      </c>
      <c r="AJ47" s="20">
        <f t="shared" ca="1" si="12"/>
        <v>0</v>
      </c>
      <c r="AK47" s="97">
        <f t="shared" ca="1" si="13"/>
        <v>3138.3234252721923</v>
      </c>
      <c r="AM47" s="97">
        <f ca="1">MAX( _Saldo_Final_Original _Anterior + _Saldo_Ciclico, 0)</f>
        <v>72804.547211623183</v>
      </c>
      <c r="AN47" s="20">
        <f t="shared" ca="1" si="14"/>
        <v>26.088296084164973</v>
      </c>
      <c r="AO47" s="20">
        <f t="shared" ca="1" si="15"/>
        <v>365.23614517830964</v>
      </c>
      <c r="AP47" s="20">
        <f t="shared" ca="1" si="16"/>
        <v>365.23614517830964</v>
      </c>
      <c r="AQ47" s="20">
        <f t="shared" ca="1" si="17"/>
        <v>0</v>
      </c>
      <c r="AR47" s="335">
        <f ca="1">MAX( ((( _Pago_Fijo - (_Interes_Regular_Original * (1 + Iva.Intereses)) ))), _Stopper_Capital_Original _Actual )</f>
        <v>2729.2589426724853</v>
      </c>
      <c r="AS47" s="97">
        <f ca="1">MAX(_Saldo_Inicial_Original _Actual - _Capital_Original _Actual, 0)</f>
        <v>70075.288268950695</v>
      </c>
      <c r="AT47"/>
      <c r="AU47" s="20">
        <f t="shared" ca="1" si="18"/>
        <v>2729.2589426724853</v>
      </c>
      <c r="AV47" s="20">
        <f t="shared" ca="1" si="19"/>
        <v>2722.650374993168</v>
      </c>
      <c r="AW47" s="20">
        <f t="shared" ca="1" si="20"/>
        <v>409.06448259970682</v>
      </c>
      <c r="AX47" s="97">
        <f ca="1">IF( AND(_Abono_Anticipado _Anterior = 0, _Ciclicas &lt;&gt; 1 ), _Pago_Proyectado _Anterior, SUM(_Componentes_Pago_Proyectado _Actual))</f>
        <v>3138.3234252721923</v>
      </c>
      <c r="AY47" s="335">
        <f t="shared" ca="1" si="21"/>
        <v>2729.2589426724853</v>
      </c>
      <c r="AZ47" s="335">
        <f t="shared" ca="1" si="22"/>
        <v>2729.2589426724853</v>
      </c>
      <c r="BB47" s="20">
        <f t="shared" ca="1" si="23"/>
        <v>26.088296084164973</v>
      </c>
      <c r="BC47" s="309">
        <f t="shared" si="24"/>
        <v>14</v>
      </c>
      <c r="BD47" s="20">
        <f t="shared" ca="1" si="25"/>
        <v>365.23614517830964</v>
      </c>
      <c r="BE47" s="97">
        <f t="shared" ca="1" si="26"/>
        <v>3094.4950878507948</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70075.288268950695</v>
      </c>
      <c r="M48" s="97">
        <f ca="1">MIN( CHOOSE(Opcion.Abono, _Capital_Opcion_1, _Capital_Opcion_2, _Capital_Opcion_3) _Actual, _Saldo_Inicial _Actual)</f>
        <v>2744.5937389183814</v>
      </c>
      <c r="N48" s="97">
        <f t="shared" ca="1" si="0"/>
        <v>0</v>
      </c>
      <c r="O48" s="309">
        <f ca="1">MAX( _Capital_Elegida _Actual, _Stopper_Capital _Actual)</f>
        <v>2744.5937389183814</v>
      </c>
      <c r="P48" s="118">
        <f t="shared" ca="1" si="1"/>
        <v>25.110311629707333</v>
      </c>
      <c r="Q48" s="118">
        <f t="shared" ca="1" si="2"/>
        <v>351.54436281590267</v>
      </c>
      <c r="R48" s="309">
        <f ca="1">Fechas!_Dias_Interes_Pago</f>
        <v>14</v>
      </c>
      <c r="S48" s="20">
        <f t="shared" ca="1" si="3"/>
        <v>351.54436281590267</v>
      </c>
      <c r="T48" s="20">
        <f t="shared" ca="1" si="4"/>
        <v>42.185323537908317</v>
      </c>
      <c r="U48" s="20">
        <f t="shared" ca="1" si="5"/>
        <v>3138.3234252721927</v>
      </c>
      <c r="V48" s="310">
        <f ca="1">T_Merger!_Salida_Abono_1</f>
        <v>0</v>
      </c>
      <c r="W48" s="20">
        <f t="shared" ca="1" si="6"/>
        <v>67330.694530032313</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24</v>
      </c>
      <c r="AE48" s="14">
        <f t="shared" ca="1" si="9"/>
        <v>29</v>
      </c>
      <c r="AF48" s="14">
        <f t="shared" ca="1" si="10"/>
        <v>24</v>
      </c>
      <c r="AG48" s="14">
        <f ca="1">MIN(_Ciclicas_Remanentes _Actual, _Remanentes _Actual)</f>
        <v>24</v>
      </c>
      <c r="AH48" s="32">
        <f t="shared" ca="1" si="11"/>
        <v>1</v>
      </c>
      <c r="AJ48" s="20">
        <f t="shared" ca="1" si="12"/>
        <v>0</v>
      </c>
      <c r="AK48" s="97">
        <f t="shared" ca="1" si="13"/>
        <v>3138.3234252721923</v>
      </c>
      <c r="AM48" s="97">
        <f ca="1">MAX( _Saldo_Final_Original _Anterior + _Saldo_Ciclico, 0)</f>
        <v>70075.288268950695</v>
      </c>
      <c r="AN48" s="20">
        <f t="shared" ca="1" si="14"/>
        <v>25.110311629707333</v>
      </c>
      <c r="AO48" s="20">
        <f t="shared" ca="1" si="15"/>
        <v>351.54436281590267</v>
      </c>
      <c r="AP48" s="20">
        <f t="shared" ca="1" si="16"/>
        <v>351.54436281590267</v>
      </c>
      <c r="AQ48" s="20">
        <f t="shared" ca="1" si="17"/>
        <v>0</v>
      </c>
      <c r="AR48" s="335">
        <f ca="1">MAX( ((( _Pago_Fijo - (_Interes_Regular_Original * (1 + Iva.Intereses)) ))), _Stopper_Capital_Original _Actual )</f>
        <v>2744.5937389183814</v>
      </c>
      <c r="AS48" s="97">
        <f ca="1">MAX(_Saldo_Inicial_Original _Actual - _Capital_Original _Actual, 0)</f>
        <v>67330.694530032313</v>
      </c>
      <c r="AT48"/>
      <c r="AU48" s="20">
        <f t="shared" ca="1" si="18"/>
        <v>2744.5937389183814</v>
      </c>
      <c r="AV48" s="20">
        <f t="shared" ca="1" si="19"/>
        <v>2737.5217671072683</v>
      </c>
      <c r="AW48" s="20">
        <f t="shared" ca="1" si="20"/>
        <v>393.72968635381096</v>
      </c>
      <c r="AX48" s="97">
        <f ca="1">IF( AND(_Abono_Anticipado _Anterior = 0, _Ciclicas &lt;&gt; 1 ), _Pago_Proyectado _Anterior, SUM(_Componentes_Pago_Proyectado _Actual))</f>
        <v>3138.3234252721923</v>
      </c>
      <c r="AY48" s="335">
        <f t="shared" ca="1" si="21"/>
        <v>2744.5937389183814</v>
      </c>
      <c r="AZ48" s="335">
        <f t="shared" ca="1" si="22"/>
        <v>2744.5937389183814</v>
      </c>
      <c r="BB48" s="20">
        <f t="shared" ca="1" si="23"/>
        <v>25.110311629707333</v>
      </c>
      <c r="BC48" s="309">
        <f t="shared" si="24"/>
        <v>14</v>
      </c>
      <c r="BD48" s="20">
        <f t="shared" ca="1" si="25"/>
        <v>351.54436281590267</v>
      </c>
      <c r="BE48" s="97">
        <f t="shared" ca="1" si="26"/>
        <v>3096.1381017342842</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67330.694530032313</v>
      </c>
      <c r="M49" s="97">
        <f ca="1">MIN( CHOOSE(Opcion.Abono, _Capital_Opcion_1, _Capital_Opcion_2, _Capital_Opcion_3) _Actual, _Saldo_Inicial _Actual)</f>
        <v>2760.014696272784</v>
      </c>
      <c r="N49" s="97">
        <f t="shared" ca="1" si="0"/>
        <v>0</v>
      </c>
      <c r="O49" s="309">
        <f ca="1">MAX( _Capital_Elegida _Actual, _Stopper_Capital _Actual)</f>
        <v>2760.014696272784</v>
      </c>
      <c r="P49" s="118">
        <f t="shared" ca="1" si="1"/>
        <v>24.126832206594912</v>
      </c>
      <c r="Q49" s="118">
        <f t="shared" ca="1" si="2"/>
        <v>337.77565089232877</v>
      </c>
      <c r="R49" s="309">
        <f ca="1">Fechas!_Dias_Interes_Pago</f>
        <v>14</v>
      </c>
      <c r="S49" s="20">
        <f t="shared" ca="1" si="3"/>
        <v>337.77565089232877</v>
      </c>
      <c r="T49" s="20">
        <f t="shared" ca="1" si="4"/>
        <v>40.533078107079454</v>
      </c>
      <c r="U49" s="20">
        <f t="shared" ca="1" si="5"/>
        <v>3138.3234252721923</v>
      </c>
      <c r="V49" s="310">
        <f ca="1">T_Merger!_Salida_Abono_1</f>
        <v>0</v>
      </c>
      <c r="W49" s="20">
        <f t="shared" ca="1" si="6"/>
        <v>64570.679833759532</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23</v>
      </c>
      <c r="AE49" s="14">
        <f t="shared" ca="1" si="9"/>
        <v>30</v>
      </c>
      <c r="AF49" s="14">
        <f t="shared" ca="1" si="10"/>
        <v>23</v>
      </c>
      <c r="AG49" s="14">
        <f ca="1">MIN(_Ciclicas_Remanentes _Actual, _Remanentes _Actual)</f>
        <v>23</v>
      </c>
      <c r="AH49" s="32">
        <f t="shared" ca="1" si="11"/>
        <v>1</v>
      </c>
      <c r="AJ49" s="20">
        <f t="shared" ca="1" si="12"/>
        <v>0</v>
      </c>
      <c r="AK49" s="97">
        <f t="shared" ca="1" si="13"/>
        <v>3138.3234252721923</v>
      </c>
      <c r="AM49" s="97">
        <f ca="1">MAX( _Saldo_Final_Original _Anterior + _Saldo_Ciclico, 0)</f>
        <v>67330.694530032313</v>
      </c>
      <c r="AN49" s="20">
        <f t="shared" ca="1" si="14"/>
        <v>24.126832206594912</v>
      </c>
      <c r="AO49" s="20">
        <f t="shared" ca="1" si="15"/>
        <v>337.77565089232877</v>
      </c>
      <c r="AP49" s="20">
        <f t="shared" ca="1" si="16"/>
        <v>337.77565089232877</v>
      </c>
      <c r="AQ49" s="20">
        <f t="shared" ca="1" si="17"/>
        <v>0</v>
      </c>
      <c r="AR49" s="335">
        <f ca="1">MAX( ((( _Pago_Fijo - (_Interes_Regular_Original * (1 + Iva.Intereses)) ))), _Stopper_Capital_Original _Actual )</f>
        <v>2760.014696272784</v>
      </c>
      <c r="AS49" s="97">
        <f ca="1">MAX(_Saldo_Inicial_Original _Actual - _Capital_Original _Actual, 0)</f>
        <v>64570.679833759532</v>
      </c>
      <c r="AT49"/>
      <c r="AU49" s="20">
        <f t="shared" ca="1" si="18"/>
        <v>2760.014696272784</v>
      </c>
      <c r="AV49" s="20">
        <f t="shared" ca="1" si="19"/>
        <v>2752.4448663442208</v>
      </c>
      <c r="AW49" s="20">
        <f t="shared" ca="1" si="20"/>
        <v>378.30872899940823</v>
      </c>
      <c r="AX49" s="97">
        <f ca="1">IF( AND(_Abono_Anticipado _Anterior = 0, _Ciclicas &lt;&gt; 1 ), _Pago_Proyectado _Anterior, SUM(_Componentes_Pago_Proyectado _Actual))</f>
        <v>3138.3234252721923</v>
      </c>
      <c r="AY49" s="335">
        <f t="shared" ca="1" si="21"/>
        <v>2760.014696272784</v>
      </c>
      <c r="AZ49" s="335">
        <f t="shared" ca="1" si="22"/>
        <v>2760.014696272784</v>
      </c>
      <c r="BB49" s="20">
        <f t="shared" ca="1" si="23"/>
        <v>24.126832206594912</v>
      </c>
      <c r="BC49" s="309">
        <f t="shared" si="24"/>
        <v>14</v>
      </c>
      <c r="BD49" s="20">
        <f t="shared" ca="1" si="25"/>
        <v>337.77565089232877</v>
      </c>
      <c r="BE49" s="97">
        <f t="shared" ca="1" si="26"/>
        <v>3097.790347165113</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64570.679833759532</v>
      </c>
      <c r="M50" s="97">
        <f ca="1">MIN( CHOOSE(Opcion.Abono, _Capital_Opcion_1, _Capital_Opcion_2, _Capital_Opcion_3) _Actual, _Saldo_Inicial _Actual)</f>
        <v>2775.5222988462419</v>
      </c>
      <c r="N50" s="97">
        <f t="shared" ca="1" si="0"/>
        <v>0</v>
      </c>
      <c r="O50" s="309">
        <f ca="1">MAX( _Capital_Elegida _Actual, _Stopper_Capital _Actual)</f>
        <v>2775.5222988462419</v>
      </c>
      <c r="P50" s="118">
        <f t="shared" ca="1" si="1"/>
        <v>23.1378269404305</v>
      </c>
      <c r="Q50" s="118">
        <f t="shared" ca="1" si="2"/>
        <v>323.929577166027</v>
      </c>
      <c r="R50" s="309">
        <f ca="1">Fechas!_Dias_Interes_Pago</f>
        <v>14</v>
      </c>
      <c r="S50" s="20">
        <f t="shared" ca="1" si="3"/>
        <v>323.929577166027</v>
      </c>
      <c r="T50" s="20">
        <f t="shared" ca="1" si="4"/>
        <v>38.871549259923242</v>
      </c>
      <c r="U50" s="20">
        <f t="shared" ca="1" si="5"/>
        <v>3138.3234252721923</v>
      </c>
      <c r="V50" s="310">
        <f ca="1">T_Merger!_Salida_Abono_1</f>
        <v>0</v>
      </c>
      <c r="W50" s="20">
        <f t="shared" ca="1" si="6"/>
        <v>61795.157534913291</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22</v>
      </c>
      <c r="AE50" s="14">
        <f t="shared" ca="1" si="9"/>
        <v>31</v>
      </c>
      <c r="AF50" s="14">
        <f t="shared" ca="1" si="10"/>
        <v>22</v>
      </c>
      <c r="AG50" s="14">
        <f ca="1">MIN(_Ciclicas_Remanentes _Actual, _Remanentes _Actual)</f>
        <v>22</v>
      </c>
      <c r="AH50" s="32">
        <f t="shared" ca="1" si="11"/>
        <v>1</v>
      </c>
      <c r="AJ50" s="20">
        <f t="shared" ca="1" si="12"/>
        <v>0</v>
      </c>
      <c r="AK50" s="97">
        <f t="shared" ca="1" si="13"/>
        <v>3138.3234252721923</v>
      </c>
      <c r="AM50" s="97">
        <f ca="1">MAX( _Saldo_Final_Original _Anterior + _Saldo_Ciclico, 0)</f>
        <v>64570.679833759532</v>
      </c>
      <c r="AN50" s="20">
        <f t="shared" ca="1" si="14"/>
        <v>23.1378269404305</v>
      </c>
      <c r="AO50" s="20">
        <f t="shared" ca="1" si="15"/>
        <v>323.929577166027</v>
      </c>
      <c r="AP50" s="20">
        <f t="shared" ca="1" si="16"/>
        <v>323.929577166027</v>
      </c>
      <c r="AQ50" s="20">
        <f t="shared" ca="1" si="17"/>
        <v>0</v>
      </c>
      <c r="AR50" s="335">
        <f ca="1">MAX( ((( _Pago_Fijo - (_Interes_Regular_Original * (1 + Iva.Intereses)) ))), _Stopper_Capital_Original _Actual )</f>
        <v>2775.5222988462419</v>
      </c>
      <c r="AS50" s="97">
        <f ca="1">MAX(_Saldo_Inicial_Original _Actual - _Capital_Original _Actual, 0)</f>
        <v>61795.157534913291</v>
      </c>
      <c r="AT50"/>
      <c r="AU50" s="20">
        <f t="shared" ca="1" si="18"/>
        <v>2775.5222988462419</v>
      </c>
      <c r="AV50" s="20">
        <f t="shared" ca="1" si="19"/>
        <v>2767.4155576510279</v>
      </c>
      <c r="AW50" s="20">
        <f t="shared" ca="1" si="20"/>
        <v>362.80112642595026</v>
      </c>
      <c r="AX50" s="97">
        <f ca="1">IF( AND(_Abono_Anticipado _Anterior = 0, _Ciclicas &lt;&gt; 1 ), _Pago_Proyectado _Anterior, SUM(_Componentes_Pago_Proyectado _Actual))</f>
        <v>3138.3234252721923</v>
      </c>
      <c r="AY50" s="335">
        <f t="shared" ca="1" si="21"/>
        <v>2775.5222988462419</v>
      </c>
      <c r="AZ50" s="335">
        <f t="shared" ca="1" si="22"/>
        <v>2775.5222988462419</v>
      </c>
      <c r="BB50" s="20">
        <f t="shared" ca="1" si="23"/>
        <v>23.1378269404305</v>
      </c>
      <c r="BC50" s="309">
        <f t="shared" si="24"/>
        <v>14</v>
      </c>
      <c r="BD50" s="20">
        <f t="shared" ca="1" si="25"/>
        <v>323.929577166027</v>
      </c>
      <c r="BE50" s="97">
        <f t="shared" ca="1" si="26"/>
        <v>3099.4518760122692</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61795.157534913291</v>
      </c>
      <c r="M51" s="97">
        <f ca="1">MIN( CHOOSE(Opcion.Abono, _Capital_Opcion_1, _Capital_Opcion_2, _Capital_Opcion_3) _Actual, _Saldo_Inicial _Actual)</f>
        <v>2791.1170334693593</v>
      </c>
      <c r="N51" s="97">
        <f t="shared" ca="1" si="0"/>
        <v>0</v>
      </c>
      <c r="O51" s="309">
        <f ca="1">MAX( _Capital_Elegida _Actual, _Stopper_Capital _Actual)</f>
        <v>2791.1170334693593</v>
      </c>
      <c r="P51" s="118">
        <f t="shared" ca="1" si="1"/>
        <v>22.14326478334393</v>
      </c>
      <c r="Q51" s="118">
        <f t="shared" ca="1" si="2"/>
        <v>310.00570696681501</v>
      </c>
      <c r="R51" s="309">
        <f ca="1">Fechas!_Dias_Interes_Pago</f>
        <v>14</v>
      </c>
      <c r="S51" s="20">
        <f t="shared" ca="1" si="3"/>
        <v>310.00570696681501</v>
      </c>
      <c r="T51" s="20">
        <f t="shared" ca="1" si="4"/>
        <v>37.2006848360178</v>
      </c>
      <c r="U51" s="20">
        <f t="shared" ca="1" si="5"/>
        <v>3138.3234252721923</v>
      </c>
      <c r="V51" s="310">
        <f ca="1">T_Merger!_Salida_Abono_1</f>
        <v>0</v>
      </c>
      <c r="W51" s="20">
        <f t="shared" ca="1" si="6"/>
        <v>59004.040501443931</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21</v>
      </c>
      <c r="AE51" s="14">
        <f t="shared" ca="1" si="9"/>
        <v>32</v>
      </c>
      <c r="AF51" s="14">
        <f t="shared" ca="1" si="10"/>
        <v>21</v>
      </c>
      <c r="AG51" s="14">
        <f ca="1">MIN(_Ciclicas_Remanentes _Actual, _Remanentes _Actual)</f>
        <v>21</v>
      </c>
      <c r="AH51" s="32">
        <f t="shared" ca="1" si="11"/>
        <v>1</v>
      </c>
      <c r="AJ51" s="20">
        <f t="shared" ca="1" si="12"/>
        <v>0</v>
      </c>
      <c r="AK51" s="97">
        <f t="shared" ca="1" si="13"/>
        <v>3138.3234252721923</v>
      </c>
      <c r="AM51" s="97">
        <f ca="1">MAX( _Saldo_Final_Original _Anterior + _Saldo_Ciclico, 0)</f>
        <v>61795.157534913291</v>
      </c>
      <c r="AN51" s="20">
        <f t="shared" ca="1" si="14"/>
        <v>22.14326478334393</v>
      </c>
      <c r="AO51" s="20">
        <f t="shared" ca="1" si="15"/>
        <v>310.00570696681501</v>
      </c>
      <c r="AP51" s="20">
        <f t="shared" ca="1" si="16"/>
        <v>310.00570696681501</v>
      </c>
      <c r="AQ51" s="20">
        <f t="shared" ca="1" si="17"/>
        <v>0</v>
      </c>
      <c r="AR51" s="335">
        <f ca="1">MAX( ((( _Pago_Fijo - (_Interes_Regular_Original * (1 + Iva.Intereses)) ))), _Stopper_Capital_Original _Actual )</f>
        <v>2791.1170334693593</v>
      </c>
      <c r="AS51" s="97">
        <f ca="1">MAX(_Saldo_Inicial_Original _Actual - _Capital_Original _Actual, 0)</f>
        <v>59004.040501443931</v>
      </c>
      <c r="AT51"/>
      <c r="AU51" s="20">
        <f t="shared" ca="1" si="18"/>
        <v>2791.1170334693593</v>
      </c>
      <c r="AV51" s="20">
        <f t="shared" ca="1" si="19"/>
        <v>2782.4288536383551</v>
      </c>
      <c r="AW51" s="20">
        <f t="shared" ca="1" si="20"/>
        <v>347.2063918028328</v>
      </c>
      <c r="AX51" s="97">
        <f ca="1">IF( AND(_Abono_Anticipado _Anterior = 0, _Ciclicas &lt;&gt; 1 ), _Pago_Proyectado _Anterior, SUM(_Componentes_Pago_Proyectado _Actual))</f>
        <v>3138.3234252721923</v>
      </c>
      <c r="AY51" s="335">
        <f t="shared" ca="1" si="21"/>
        <v>2791.1170334693593</v>
      </c>
      <c r="AZ51" s="335">
        <f t="shared" ca="1" si="22"/>
        <v>2791.1170334693593</v>
      </c>
      <c r="BB51" s="20">
        <f t="shared" ca="1" si="23"/>
        <v>22.14326478334393</v>
      </c>
      <c r="BC51" s="309">
        <f t="shared" si="24"/>
        <v>14</v>
      </c>
      <c r="BD51" s="20">
        <f t="shared" ca="1" si="25"/>
        <v>310.00570696681501</v>
      </c>
      <c r="BE51" s="97">
        <f t="shared" ca="1" si="26"/>
        <v>3101.1227404361744</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59004.040501443931</v>
      </c>
      <c r="M52" s="97">
        <f ca="1">MIN( CHOOSE(Opcion.Abono, _Capital_Opcion_1, _Capital_Opcion_2, _Capital_Opcion_3) _Actual, _Saldo_Inicial _Actual)</f>
        <v>2806.7993897080792</v>
      </c>
      <c r="N52" s="97">
        <f t="shared" ref="N52:N78" ca="1" si="27">_Saldo_Inicial * ( _Amortizacion = Numero.Pagos )</f>
        <v>0</v>
      </c>
      <c r="O52" s="309">
        <f ca="1">MAX( _Capital_Elegida _Actual, _Stopper_Capital _Actual)</f>
        <v>2806.7993897080792</v>
      </c>
      <c r="P52" s="118">
        <f t="shared" ref="P52:P78" ca="1" si="28">_Saldo_Inicial * Tasa.Diaria</f>
        <v>21.143114513017409</v>
      </c>
      <c r="Q52" s="118">
        <f t="shared" ca="1" si="2"/>
        <v>296.00360318224375</v>
      </c>
      <c r="R52" s="309">
        <f ca="1">Fechas!_Dias_Interes_Pago</f>
        <v>14</v>
      </c>
      <c r="S52" s="20">
        <f t="shared" ref="S52:S78" ca="1" si="29">_Interes_Diario * _Dias_Interes_Periodo</f>
        <v>296.00360318224375</v>
      </c>
      <c r="T52" s="20">
        <f t="shared" ref="T52:T78" ca="1" si="30">_Interes *Iva.Intereses</f>
        <v>35.520432381869249</v>
      </c>
      <c r="U52" s="20">
        <f t="shared" ref="U52:U78" ca="1" si="31">_Capital + _Interes + _Iva</f>
        <v>3138.3234252721923</v>
      </c>
      <c r="V52" s="310">
        <f ca="1">T_Merger!_Salida_Abono_1</f>
        <v>0</v>
      </c>
      <c r="W52" s="20">
        <f t="shared" ref="W52:W78" ca="1" si="32">MAX( _Saldo_Inicial - _Capital-_Abono_Anticipado,0)</f>
        <v>56197.24111173585</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20</v>
      </c>
      <c r="AE52" s="14">
        <f t="shared" ref="AE52:AE78" ca="1" si="35">MOD( _Amortizacion - 1, Periodos.Por.Ciclo ) + 1</f>
        <v>33</v>
      </c>
      <c r="AF52" s="14">
        <f t="shared" ref="AF52:AF78" ca="1" si="36" xml:space="preserve"> Periodos.Por.Ciclo - _Ciclicas + 1</f>
        <v>20</v>
      </c>
      <c r="AG52" s="14">
        <f ca="1">MIN(_Ciclicas_Remanentes _Actual, _Remanentes _Actual)</f>
        <v>20</v>
      </c>
      <c r="AH52" s="32">
        <f t="shared" ref="AH52:AH78" ca="1" si="37">INT(( _Amortizacion - 1 ) / Periodos.Por.Ciclo ) + 1</f>
        <v>1</v>
      </c>
      <c r="AJ52" s="20">
        <f t="shared" ca="1" si="12"/>
        <v>0</v>
      </c>
      <c r="AK52" s="97">
        <f t="shared" ref="AK52:AK78" ca="1" si="38" xml:space="preserve"> ( Pago.Fijo + ( Pago.Extra.Ciclo.1 * ( _Ciclo = 1 ) ) ) * ( _Amortizacion &lt;= Numero.Pagos )</f>
        <v>3138.3234252721923</v>
      </c>
      <c r="AM52" s="97">
        <f ca="1">MAX( _Saldo_Final_Original _Anterior + _Saldo_Ciclico, 0)</f>
        <v>59004.040501443931</v>
      </c>
      <c r="AN52" s="20">
        <f t="shared" ref="AN52:AN78" ca="1" si="39">_Saldo_Inicial_Original * Tasa.Diaria</f>
        <v>21.143114513017409</v>
      </c>
      <c r="AO52" s="20">
        <f t="shared" ca="1" si="15"/>
        <v>296.00360318224375</v>
      </c>
      <c r="AP52" s="20">
        <f t="shared" ref="AP52:AP78" ca="1" si="40">_Interes_Diario_Original * _Dias_Interes_Periodo</f>
        <v>296.00360318224375</v>
      </c>
      <c r="AQ52" s="20">
        <f t="shared" ref="AQ52:AQ78" ca="1" si="41">_Saldo_Inicial_Original * ( _Amortizacion = Numero.Pagos )</f>
        <v>0</v>
      </c>
      <c r="AR52" s="335">
        <f ca="1">MAX( ((( _Pago_Fijo - (_Interes_Regular_Original * (1 + Iva.Intereses)) ))), _Stopper_Capital_Original _Actual )</f>
        <v>2806.7993897080792</v>
      </c>
      <c r="AS52" s="97">
        <f ca="1">MAX(_Saldo_Inicial_Original _Actual - _Capital_Original _Actual, 0)</f>
        <v>56197.24111173585</v>
      </c>
      <c r="AT52"/>
      <c r="AU52" s="20">
        <f t="shared" ref="AU52:AU78" ca="1" si="42" xml:space="preserve"> _Capital_Original</f>
        <v>2806.7993897080792</v>
      </c>
      <c r="AV52" s="20">
        <f t="shared" ref="AV52:AV78" ca="1" si="43">-PPMT(Tasa.Por.Periodo*(1+Iva.Intereses),1,_Ciclicas_Remanentes,_Saldo_Inicial)</f>
        <v>2797.4786758392383</v>
      </c>
      <c r="AW52" s="20">
        <f t="shared" ref="AW52:AW78" ca="1" si="44">-IPMT(Tasa.Diaria.Por.Periodo*(1+Iva.Intereses),1,_Ciclicas_Remanentes,_Saldo_Inicial)</f>
        <v>331.52403556411298</v>
      </c>
      <c r="AX52" s="97">
        <f ca="1">IF( AND(_Abono_Anticipado _Anterior = 0, _Ciclicas &lt;&gt; 1 ), _Pago_Proyectado _Anterior, SUM(_Componentes_Pago_Proyectado _Actual))</f>
        <v>3138.3234252721923</v>
      </c>
      <c r="AY52" s="335">
        <f t="shared" ca="1" si="21"/>
        <v>2806.7993897080792</v>
      </c>
      <c r="AZ52" s="335">
        <f t="shared" ca="1" si="22"/>
        <v>2806.7993897080792</v>
      </c>
      <c r="BB52" s="20">
        <f t="shared" ref="BB52:BB78" ca="1" si="45">_Interes_Diario_Original</f>
        <v>21.143114513017409</v>
      </c>
      <c r="BC52" s="309">
        <f t="shared" ref="BC52:BC79" si="46">Dias.Por.Periodo</f>
        <v>14</v>
      </c>
      <c r="BD52" s="20">
        <f t="shared" ref="BD52:BD78" ca="1" si="47">_Interes_Diario_CAT * _Dias_Interes_CAT</f>
        <v>296.00360318224375</v>
      </c>
      <c r="BE52" s="97">
        <f t="shared" ca="1" si="26"/>
        <v>3102.8029928903229</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56197.24111173585</v>
      </c>
      <c r="M53" s="97">
        <f ca="1">MIN( CHOOSE(Opcion.Abono, _Capital_Opcion_1, _Capital_Opcion_2, _Capital_Opcion_3) _Actual, _Saldo_Inicial _Actual)</f>
        <v>2822.5698598790523</v>
      </c>
      <c r="N53" s="97">
        <f t="shared" ca="1" si="27"/>
        <v>0</v>
      </c>
      <c r="O53" s="309">
        <f ca="1">MAX( _Capital_Elegida _Actual, _Stopper_Capital _Actual)</f>
        <v>2822.5698598790523</v>
      </c>
      <c r="P53" s="118">
        <f t="shared" ca="1" si="28"/>
        <v>20.137344731705348</v>
      </c>
      <c r="Q53" s="118">
        <f t="shared" ca="1" si="2"/>
        <v>281.92282624387485</v>
      </c>
      <c r="R53" s="309">
        <f ca="1">Fechas!_Dias_Interes_Pago</f>
        <v>14</v>
      </c>
      <c r="S53" s="20">
        <f t="shared" ca="1" si="29"/>
        <v>281.92282624387485</v>
      </c>
      <c r="T53" s="20">
        <f t="shared" ca="1" si="30"/>
        <v>33.830739149264978</v>
      </c>
      <c r="U53" s="20">
        <f t="shared" ca="1" si="31"/>
        <v>3138.3234252721918</v>
      </c>
      <c r="V53" s="310">
        <f ca="1">T_Merger!_Salida_Abono_1</f>
        <v>0</v>
      </c>
      <c r="W53" s="20">
        <f t="shared" ca="1" si="32"/>
        <v>53374.671251856795</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19</v>
      </c>
      <c r="AE53" s="14">
        <f t="shared" ca="1" si="35"/>
        <v>34</v>
      </c>
      <c r="AF53" s="14">
        <f t="shared" ca="1" si="36"/>
        <v>19</v>
      </c>
      <c r="AG53" s="14">
        <f ca="1">MIN(_Ciclicas_Remanentes _Actual, _Remanentes _Actual)</f>
        <v>19</v>
      </c>
      <c r="AH53" s="32">
        <f t="shared" ca="1" si="37"/>
        <v>1</v>
      </c>
      <c r="AJ53" s="20">
        <f t="shared" ca="1" si="12"/>
        <v>0</v>
      </c>
      <c r="AK53" s="97">
        <f t="shared" ca="1" si="38"/>
        <v>3138.3234252721923</v>
      </c>
      <c r="AM53" s="97">
        <f ca="1">MAX( _Saldo_Final_Original _Anterior + _Saldo_Ciclico, 0)</f>
        <v>56197.24111173585</v>
      </c>
      <c r="AN53" s="20">
        <f t="shared" ca="1" si="39"/>
        <v>20.137344731705348</v>
      </c>
      <c r="AO53" s="20">
        <f t="shared" ca="1" si="15"/>
        <v>281.92282624387485</v>
      </c>
      <c r="AP53" s="20">
        <f t="shared" ca="1" si="40"/>
        <v>281.92282624387485</v>
      </c>
      <c r="AQ53" s="20">
        <f t="shared" ca="1" si="41"/>
        <v>0</v>
      </c>
      <c r="AR53" s="335">
        <f ca="1">MAX( ((( _Pago_Fijo - (_Interes_Regular_Original * (1 + Iva.Intereses)) ))), _Stopper_Capital_Original _Actual )</f>
        <v>2822.5698598790523</v>
      </c>
      <c r="AS53" s="97">
        <f ca="1">MAX(_Saldo_Inicial_Original _Actual - _Capital_Original _Actual, 0)</f>
        <v>53374.671251856795</v>
      </c>
      <c r="AT53"/>
      <c r="AU53" s="20">
        <f t="shared" ca="1" si="42"/>
        <v>2822.5698598790523</v>
      </c>
      <c r="AV53" s="20">
        <f t="shared" ca="1" si="43"/>
        <v>2812.5575668869637</v>
      </c>
      <c r="AW53" s="20">
        <f t="shared" ca="1" si="44"/>
        <v>315.75356539313981</v>
      </c>
      <c r="AX53" s="97">
        <f ca="1">IF( AND(_Abono_Anticipado _Anterior = 0, _Ciclicas &lt;&gt; 1 ), _Pago_Proyectado _Anterior, SUM(_Componentes_Pago_Proyectado _Actual))</f>
        <v>3138.3234252721923</v>
      </c>
      <c r="AY53" s="335">
        <f t="shared" ca="1" si="21"/>
        <v>2822.5698598790523</v>
      </c>
      <c r="AZ53" s="335">
        <f t="shared" ca="1" si="22"/>
        <v>2822.5698598790523</v>
      </c>
      <c r="BB53" s="20">
        <f t="shared" ca="1" si="45"/>
        <v>20.137344731705348</v>
      </c>
      <c r="BC53" s="309">
        <f t="shared" si="46"/>
        <v>14</v>
      </c>
      <c r="BD53" s="20">
        <f t="shared" ca="1" si="47"/>
        <v>281.92282624387485</v>
      </c>
      <c r="BE53" s="97">
        <f t="shared" ref="BE53:BE78" ca="1" si="48">( _Capital_Original + _Interes_CAT - _Saldo_Ciclico)  * (_Amortizacion &lt;= Numero.Pagos)</f>
        <v>3104.4926861229269</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53374.671251856795</v>
      </c>
      <c r="M54" s="97">
        <f ca="1">MIN( CHOOSE(Opcion.Abono, _Capital_Opcion_1, _Capital_Opcion_2, _Capital_Opcion_3) _Actual, _Saldo_Inicial _Actual)</f>
        <v>2838.4289390650929</v>
      </c>
      <c r="N54" s="97">
        <f t="shared" ca="1" si="27"/>
        <v>0</v>
      </c>
      <c r="O54" s="309">
        <f ca="1">MAX( _Capital_Elegida _Actual, _Stopper_Capital _Actual)</f>
        <v>2838.4289390650929</v>
      </c>
      <c r="P54" s="118">
        <f t="shared" ca="1" si="28"/>
        <v>19.125923865248684</v>
      </c>
      <c r="Q54" s="118">
        <f t="shared" ca="1" si="2"/>
        <v>267.76293411348155</v>
      </c>
      <c r="R54" s="309">
        <f ca="1">Fechas!_Dias_Interes_Pago</f>
        <v>14</v>
      </c>
      <c r="S54" s="20">
        <f t="shared" ca="1" si="29"/>
        <v>267.76293411348155</v>
      </c>
      <c r="T54" s="20">
        <f t="shared" ca="1" si="30"/>
        <v>32.131552093617785</v>
      </c>
      <c r="U54" s="20">
        <f t="shared" ca="1" si="31"/>
        <v>3138.3234252721923</v>
      </c>
      <c r="V54" s="310">
        <f ca="1">T_Merger!_Salida_Abono_1</f>
        <v>0</v>
      </c>
      <c r="W54" s="20">
        <f t="shared" ca="1" si="32"/>
        <v>50536.242312791699</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18</v>
      </c>
      <c r="AE54" s="14">
        <f t="shared" ca="1" si="35"/>
        <v>35</v>
      </c>
      <c r="AF54" s="14">
        <f t="shared" ca="1" si="36"/>
        <v>18</v>
      </c>
      <c r="AG54" s="14">
        <f ca="1">MIN(_Ciclicas_Remanentes _Actual, _Remanentes _Actual)</f>
        <v>18</v>
      </c>
      <c r="AH54" s="32">
        <f t="shared" ca="1" si="37"/>
        <v>1</v>
      </c>
      <c r="AJ54" s="20">
        <f t="shared" ca="1" si="12"/>
        <v>0</v>
      </c>
      <c r="AK54" s="97">
        <f t="shared" ca="1" si="38"/>
        <v>3138.3234252721923</v>
      </c>
      <c r="AM54" s="97">
        <f ca="1">MAX( _Saldo_Final_Original _Anterior + _Saldo_Ciclico, 0)</f>
        <v>53374.671251856795</v>
      </c>
      <c r="AN54" s="20">
        <f t="shared" ca="1" si="39"/>
        <v>19.125923865248684</v>
      </c>
      <c r="AO54" s="20">
        <f t="shared" ca="1" si="15"/>
        <v>267.76293411348155</v>
      </c>
      <c r="AP54" s="20">
        <f t="shared" ca="1" si="40"/>
        <v>267.76293411348155</v>
      </c>
      <c r="AQ54" s="20">
        <f t="shared" ca="1" si="41"/>
        <v>0</v>
      </c>
      <c r="AR54" s="335">
        <f ca="1">MAX( ((( _Pago_Fijo - (_Interes_Regular_Original * (1 + Iva.Intereses)) ))), _Stopper_Capital_Original _Actual )</f>
        <v>2838.4289390650929</v>
      </c>
      <c r="AS54" s="97">
        <f ca="1">MAX(_Saldo_Inicial_Original _Actual - _Capital_Original _Actual, 0)</f>
        <v>50536.242312791699</v>
      </c>
      <c r="AT54"/>
      <c r="AU54" s="20">
        <f t="shared" ca="1" si="42"/>
        <v>2838.4289390650929</v>
      </c>
      <c r="AV54" s="20">
        <f t="shared" ca="1" si="43"/>
        <v>2827.6563067472634</v>
      </c>
      <c r="AW54" s="20">
        <f t="shared" ca="1" si="44"/>
        <v>299.89448620709936</v>
      </c>
      <c r="AX54" s="97">
        <f ca="1">IF( AND(_Abono_Anticipado _Anterior = 0, _Ciclicas &lt;&gt; 1 ), _Pago_Proyectado _Anterior, SUM(_Componentes_Pago_Proyectado _Actual))</f>
        <v>3138.3234252721923</v>
      </c>
      <c r="AY54" s="335">
        <f t="shared" ca="1" si="21"/>
        <v>2838.4289390650929</v>
      </c>
      <c r="AZ54" s="335">
        <f t="shared" ca="1" si="22"/>
        <v>2838.4289390650929</v>
      </c>
      <c r="BB54" s="20">
        <f t="shared" ca="1" si="45"/>
        <v>19.125923865248684</v>
      </c>
      <c r="BC54" s="309">
        <f t="shared" si="46"/>
        <v>14</v>
      </c>
      <c r="BD54" s="20">
        <f t="shared" ca="1" si="47"/>
        <v>267.76293411348155</v>
      </c>
      <c r="BE54" s="97">
        <f t="shared" ca="1" si="48"/>
        <v>3106.1918731785745</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50536.242312791699</v>
      </c>
      <c r="M55" s="97">
        <f ca="1">MIN( CHOOSE(Opcion.Abono, _Capital_Opcion_1, _Capital_Opcion_2, _Capital_Opcion_3) _Actual, _Saldo_Inicial _Actual)</f>
        <v>2854.3771251307198</v>
      </c>
      <c r="N55" s="97">
        <f t="shared" ca="1" si="27"/>
        <v>0</v>
      </c>
      <c r="O55" s="309">
        <f ca="1">MAX( _Capital_Elegida _Actual, _Stopper_Capital _Actual)</f>
        <v>2854.3771251307198</v>
      </c>
      <c r="P55" s="118">
        <f t="shared" ca="1" si="28"/>
        <v>18.108820162083692</v>
      </c>
      <c r="Q55" s="118">
        <f t="shared" ca="1" si="2"/>
        <v>253.52348226917169</v>
      </c>
      <c r="R55" s="309">
        <f ca="1">Fechas!_Dias_Interes_Pago</f>
        <v>14</v>
      </c>
      <c r="S55" s="20">
        <f t="shared" ca="1" si="29"/>
        <v>253.52348226917169</v>
      </c>
      <c r="T55" s="20">
        <f t="shared" ca="1" si="30"/>
        <v>30.422817872300602</v>
      </c>
      <c r="U55" s="20">
        <f t="shared" ca="1" si="31"/>
        <v>3138.3234252721923</v>
      </c>
      <c r="V55" s="310">
        <f ca="1">T_Merger!_Salida_Abono_1</f>
        <v>0</v>
      </c>
      <c r="W55" s="20">
        <f t="shared" ca="1" si="32"/>
        <v>47681.86518766098</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17</v>
      </c>
      <c r="AE55" s="14">
        <f t="shared" ca="1" si="35"/>
        <v>36</v>
      </c>
      <c r="AF55" s="14">
        <f t="shared" ca="1" si="36"/>
        <v>17</v>
      </c>
      <c r="AG55" s="14">
        <f ca="1">MIN(_Ciclicas_Remanentes _Actual, _Remanentes _Actual)</f>
        <v>17</v>
      </c>
      <c r="AH55" s="32">
        <f t="shared" ca="1" si="37"/>
        <v>1</v>
      </c>
      <c r="AJ55" s="20">
        <f t="shared" ca="1" si="12"/>
        <v>0</v>
      </c>
      <c r="AK55" s="97">
        <f t="shared" ca="1" si="38"/>
        <v>3138.3234252721923</v>
      </c>
      <c r="AM55" s="97">
        <f ca="1">MAX( _Saldo_Final_Original _Anterior + _Saldo_Ciclico, 0)</f>
        <v>50536.242312791699</v>
      </c>
      <c r="AN55" s="20">
        <f t="shared" ca="1" si="39"/>
        <v>18.108820162083692</v>
      </c>
      <c r="AO55" s="20">
        <f t="shared" ca="1" si="15"/>
        <v>253.52348226917169</v>
      </c>
      <c r="AP55" s="20">
        <f t="shared" ca="1" si="40"/>
        <v>253.52348226917169</v>
      </c>
      <c r="AQ55" s="20">
        <f t="shared" ca="1" si="41"/>
        <v>0</v>
      </c>
      <c r="AR55" s="335">
        <f ca="1">MAX( ((( _Pago_Fijo - (_Interes_Regular_Original * (1 + Iva.Intereses)) ))), _Stopper_Capital_Original _Actual )</f>
        <v>2854.3771251307198</v>
      </c>
      <c r="AS55" s="97">
        <f ca="1">MAX(_Saldo_Inicial_Original _Actual - _Capital_Original _Actual, 0)</f>
        <v>47681.86518766098</v>
      </c>
      <c r="AT55"/>
      <c r="AU55" s="20">
        <f t="shared" ca="1" si="42"/>
        <v>2854.3771251307198</v>
      </c>
      <c r="AV55" s="20">
        <f t="shared" ca="1" si="43"/>
        <v>2842.7633934977425</v>
      </c>
      <c r="AW55" s="20">
        <f t="shared" ca="1" si="44"/>
        <v>283.94630014147231</v>
      </c>
      <c r="AX55" s="97">
        <f ca="1">IF( AND(_Abono_Anticipado _Anterior = 0, _Ciclicas &lt;&gt; 1 ), _Pago_Proyectado _Anterior, SUM(_Componentes_Pago_Proyectado _Actual))</f>
        <v>3138.3234252721923</v>
      </c>
      <c r="AY55" s="335">
        <f t="shared" ca="1" si="21"/>
        <v>2854.3771251307198</v>
      </c>
      <c r="AZ55" s="335">
        <f t="shared" ca="1" si="22"/>
        <v>2854.3771251307198</v>
      </c>
      <c r="BB55" s="20">
        <f t="shared" ca="1" si="45"/>
        <v>18.108820162083692</v>
      </c>
      <c r="BC55" s="309">
        <f t="shared" si="46"/>
        <v>14</v>
      </c>
      <c r="BD55" s="20">
        <f t="shared" ca="1" si="47"/>
        <v>253.52348226917169</v>
      </c>
      <c r="BE55" s="97">
        <f t="shared" ca="1" si="48"/>
        <v>3107.9006073998917</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47681.86518766098</v>
      </c>
      <c r="M56" s="97">
        <f ca="1">MIN( CHOOSE(Opcion.Abono, _Capital_Opcion_1, _Capital_Opcion_2, _Capital_Opcion_3) _Actual, _Saldo_Inicial _Actual)</f>
        <v>2870.414918737788</v>
      </c>
      <c r="N56" s="97">
        <f t="shared" ca="1" si="27"/>
        <v>0</v>
      </c>
      <c r="O56" s="309">
        <f ca="1">MAX( _Capital_Elegida _Actual, _Stopper_Capital _Actual)</f>
        <v>2870.414918737788</v>
      </c>
      <c r="P56" s="118">
        <f t="shared" ca="1" si="28"/>
        <v>17.086001692245183</v>
      </c>
      <c r="Q56" s="118">
        <f t="shared" ca="1" si="2"/>
        <v>239.20402369143255</v>
      </c>
      <c r="R56" s="309">
        <f ca="1">Fechas!_Dias_Interes_Pago</f>
        <v>14</v>
      </c>
      <c r="S56" s="20">
        <f t="shared" ca="1" si="29"/>
        <v>239.20402369143255</v>
      </c>
      <c r="T56" s="20">
        <f t="shared" ca="1" si="30"/>
        <v>28.704482842971906</v>
      </c>
      <c r="U56" s="20">
        <f t="shared" ca="1" si="31"/>
        <v>3138.3234252721927</v>
      </c>
      <c r="V56" s="310">
        <f ca="1">T_Merger!_Salida_Abono_1</f>
        <v>0</v>
      </c>
      <c r="W56" s="20">
        <f t="shared" ca="1" si="32"/>
        <v>44811.450268923189</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16</v>
      </c>
      <c r="AE56" s="14">
        <f t="shared" ca="1" si="35"/>
        <v>37</v>
      </c>
      <c r="AF56" s="14">
        <f t="shared" ca="1" si="36"/>
        <v>16</v>
      </c>
      <c r="AG56" s="14">
        <f ca="1">MIN(_Ciclicas_Remanentes _Actual, _Remanentes _Actual)</f>
        <v>16</v>
      </c>
      <c r="AH56" s="32">
        <f t="shared" ca="1" si="37"/>
        <v>1</v>
      </c>
      <c r="AJ56" s="20">
        <f t="shared" ca="1" si="12"/>
        <v>0</v>
      </c>
      <c r="AK56" s="97">
        <f t="shared" ca="1" si="38"/>
        <v>3138.3234252721923</v>
      </c>
      <c r="AM56" s="97">
        <f ca="1">MAX( _Saldo_Final_Original _Anterior + _Saldo_Ciclico, 0)</f>
        <v>47681.86518766098</v>
      </c>
      <c r="AN56" s="20">
        <f t="shared" ca="1" si="39"/>
        <v>17.086001692245183</v>
      </c>
      <c r="AO56" s="20">
        <f t="shared" ca="1" si="15"/>
        <v>239.20402369143255</v>
      </c>
      <c r="AP56" s="20">
        <f t="shared" ca="1" si="40"/>
        <v>239.20402369143255</v>
      </c>
      <c r="AQ56" s="20">
        <f t="shared" ca="1" si="41"/>
        <v>0</v>
      </c>
      <c r="AR56" s="335">
        <f ca="1">MAX( ((( _Pago_Fijo - (_Interes_Regular_Original * (1 + Iva.Intereses)) ))), _Stopper_Capital_Original _Actual )</f>
        <v>2870.414918737788</v>
      </c>
      <c r="AS56" s="97">
        <f ca="1">MAX(_Saldo_Inicial_Original _Actual - _Capital_Original _Actual, 0)</f>
        <v>44811.450268923189</v>
      </c>
      <c r="AT56"/>
      <c r="AU56" s="20">
        <f t="shared" ca="1" si="42"/>
        <v>2870.414918737788</v>
      </c>
      <c r="AV56" s="20">
        <f t="shared" ca="1" si="43"/>
        <v>2857.8643293938735</v>
      </c>
      <c r="AW56" s="20">
        <f t="shared" ca="1" si="44"/>
        <v>267.90850653440452</v>
      </c>
      <c r="AX56" s="97">
        <f ca="1">IF( AND(_Abono_Anticipado _Anterior = 0, _Ciclicas &lt;&gt; 1 ), _Pago_Proyectado _Anterior, SUM(_Componentes_Pago_Proyectado _Actual))</f>
        <v>3138.3234252721923</v>
      </c>
      <c r="AY56" s="335">
        <f t="shared" ca="1" si="21"/>
        <v>2870.414918737788</v>
      </c>
      <c r="AZ56" s="335">
        <f t="shared" ca="1" si="22"/>
        <v>2870.414918737788</v>
      </c>
      <c r="BB56" s="20">
        <f t="shared" ca="1" si="45"/>
        <v>17.086001692245183</v>
      </c>
      <c r="BC56" s="309">
        <f t="shared" si="46"/>
        <v>14</v>
      </c>
      <c r="BD56" s="20">
        <f t="shared" ca="1" si="47"/>
        <v>239.20402369143255</v>
      </c>
      <c r="BE56" s="97">
        <f t="shared" ca="1" si="48"/>
        <v>3109.6189424292206</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44811.450268923189</v>
      </c>
      <c r="M57" s="97">
        <f ca="1">MIN( CHOOSE(Opcion.Abono, _Capital_Opcion_1, _Capital_Opcion_2, _Capital_Opcion_3) _Actual, _Saldo_Inicial _Actual)</f>
        <v>2886.5428233612024</v>
      </c>
      <c r="N57" s="97">
        <f t="shared" ca="1" si="27"/>
        <v>0</v>
      </c>
      <c r="O57" s="309">
        <f ca="1">MAX( _Capital_Elegida _Actual, _Stopper_Capital _Actual)</f>
        <v>2886.5428233612024</v>
      </c>
      <c r="P57" s="118">
        <f t="shared" ca="1" si="28"/>
        <v>16.057436346364142</v>
      </c>
      <c r="Q57" s="118">
        <f t="shared" ca="1" si="2"/>
        <v>224.80410884909799</v>
      </c>
      <c r="R57" s="309">
        <f ca="1">Fechas!_Dias_Interes_Pago</f>
        <v>14</v>
      </c>
      <c r="S57" s="20">
        <f t="shared" ca="1" si="29"/>
        <v>224.80410884909799</v>
      </c>
      <c r="T57" s="20">
        <f t="shared" ca="1" si="30"/>
        <v>26.976493061891759</v>
      </c>
      <c r="U57" s="20">
        <f t="shared" ca="1" si="31"/>
        <v>3138.3234252721923</v>
      </c>
      <c r="V57" s="310">
        <f ca="1">T_Merger!_Salida_Abono_1</f>
        <v>0</v>
      </c>
      <c r="W57" s="20">
        <f t="shared" ca="1" si="32"/>
        <v>41924.907445561985</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15</v>
      </c>
      <c r="AE57" s="14">
        <f t="shared" ca="1" si="35"/>
        <v>38</v>
      </c>
      <c r="AF57" s="14">
        <f t="shared" ca="1" si="36"/>
        <v>15</v>
      </c>
      <c r="AG57" s="14">
        <f ca="1">MIN(_Ciclicas_Remanentes _Actual, _Remanentes _Actual)</f>
        <v>15</v>
      </c>
      <c r="AH57" s="32">
        <f t="shared" ca="1" si="37"/>
        <v>1</v>
      </c>
      <c r="AJ57" s="20">
        <f t="shared" ca="1" si="12"/>
        <v>0</v>
      </c>
      <c r="AK57" s="97">
        <f t="shared" ca="1" si="38"/>
        <v>3138.3234252721923</v>
      </c>
      <c r="AM57" s="97">
        <f ca="1">MAX( _Saldo_Final_Original _Anterior + _Saldo_Ciclico, 0)</f>
        <v>44811.450268923189</v>
      </c>
      <c r="AN57" s="20">
        <f t="shared" ca="1" si="39"/>
        <v>16.057436346364142</v>
      </c>
      <c r="AO57" s="20">
        <f t="shared" ca="1" si="15"/>
        <v>224.80410884909799</v>
      </c>
      <c r="AP57" s="20">
        <f t="shared" ca="1" si="40"/>
        <v>224.80410884909799</v>
      </c>
      <c r="AQ57" s="20">
        <f t="shared" ca="1" si="41"/>
        <v>0</v>
      </c>
      <c r="AR57" s="335">
        <f ca="1">MAX( ((( _Pago_Fijo - (_Interes_Regular_Original * (1 + Iva.Intereses)) ))), _Stopper_Capital_Original _Actual )</f>
        <v>2886.5428233612024</v>
      </c>
      <c r="AS57" s="97">
        <f ca="1">MAX(_Saldo_Inicial_Original _Actual - _Capital_Original _Actual, 0)</f>
        <v>41924.907445561985</v>
      </c>
      <c r="AT57"/>
      <c r="AU57" s="20">
        <f t="shared" ca="1" si="42"/>
        <v>2886.5428233612024</v>
      </c>
      <c r="AV57" s="20">
        <f t="shared" ca="1" si="43"/>
        <v>2872.9406213553425</v>
      </c>
      <c r="AW57" s="20">
        <f t="shared" ca="1" si="44"/>
        <v>251.78060191098976</v>
      </c>
      <c r="AX57" s="97">
        <f ca="1">IF( AND(_Abono_Anticipado _Anterior = 0, _Ciclicas &lt;&gt; 1 ), _Pago_Proyectado _Anterior, SUM(_Componentes_Pago_Proyectado _Actual))</f>
        <v>3138.3234252721923</v>
      </c>
      <c r="AY57" s="335">
        <f t="shared" ca="1" si="21"/>
        <v>2886.5428233612024</v>
      </c>
      <c r="AZ57" s="335">
        <f t="shared" ca="1" si="22"/>
        <v>2886.5428233612024</v>
      </c>
      <c r="BB57" s="20">
        <f t="shared" ca="1" si="45"/>
        <v>16.057436346364142</v>
      </c>
      <c r="BC57" s="309">
        <f t="shared" si="46"/>
        <v>14</v>
      </c>
      <c r="BD57" s="20">
        <f t="shared" ca="1" si="47"/>
        <v>224.80410884909799</v>
      </c>
      <c r="BE57" s="97">
        <f t="shared" ca="1" si="48"/>
        <v>3111.3469322103006</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41924.907445561985</v>
      </c>
      <c r="M58" s="97">
        <f ca="1">MIN( CHOOSE(Opcion.Abono, _Capital_Opcion_1, _Capital_Opcion_2, _Capital_Opcion_3) _Actual, _Saldo_Inicial _Actual)</f>
        <v>2902.7613453047279</v>
      </c>
      <c r="N58" s="97">
        <f t="shared" ca="1" si="27"/>
        <v>0</v>
      </c>
      <c r="O58" s="309">
        <f ca="1">MAX( _Capital_Elegida _Actual, _Stopper_Capital _Actual)</f>
        <v>2902.7613453047279</v>
      </c>
      <c r="P58" s="118">
        <f t="shared" ca="1" si="28"/>
        <v>15.023091834659711</v>
      </c>
      <c r="Q58" s="118">
        <f t="shared" ca="1" si="2"/>
        <v>210.32328568523596</v>
      </c>
      <c r="R58" s="309">
        <f ca="1">Fechas!_Dias_Interes_Pago</f>
        <v>14</v>
      </c>
      <c r="S58" s="20">
        <f t="shared" ca="1" si="29"/>
        <v>210.32328568523596</v>
      </c>
      <c r="T58" s="20">
        <f t="shared" ca="1" si="30"/>
        <v>25.238794282228316</v>
      </c>
      <c r="U58" s="20">
        <f t="shared" ca="1" si="31"/>
        <v>3138.3234252721923</v>
      </c>
      <c r="V58" s="310">
        <f ca="1">T_Merger!_Salida_Abono_1</f>
        <v>0</v>
      </c>
      <c r="W58" s="20">
        <f t="shared" ca="1" si="32"/>
        <v>39022.146100257254</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14</v>
      </c>
      <c r="AE58" s="14">
        <f t="shared" ca="1" si="35"/>
        <v>39</v>
      </c>
      <c r="AF58" s="14">
        <f t="shared" ca="1" si="36"/>
        <v>14</v>
      </c>
      <c r="AG58" s="14">
        <f ca="1">MIN(_Ciclicas_Remanentes _Actual, _Remanentes _Actual)</f>
        <v>14</v>
      </c>
      <c r="AH58" s="32">
        <f t="shared" ca="1" si="37"/>
        <v>1</v>
      </c>
      <c r="AJ58" s="20">
        <f t="shared" ca="1" si="12"/>
        <v>0</v>
      </c>
      <c r="AK58" s="97">
        <f t="shared" ca="1" si="38"/>
        <v>3138.3234252721923</v>
      </c>
      <c r="AM58" s="97">
        <f ca="1">MAX( _Saldo_Final_Original _Anterior + _Saldo_Ciclico, 0)</f>
        <v>41924.907445561985</v>
      </c>
      <c r="AN58" s="20">
        <f t="shared" ca="1" si="39"/>
        <v>15.023091834659711</v>
      </c>
      <c r="AO58" s="20">
        <f t="shared" ca="1" si="15"/>
        <v>210.32328568523596</v>
      </c>
      <c r="AP58" s="20">
        <f t="shared" ca="1" si="40"/>
        <v>210.32328568523596</v>
      </c>
      <c r="AQ58" s="20">
        <f t="shared" ca="1" si="41"/>
        <v>0</v>
      </c>
      <c r="AR58" s="335">
        <f ca="1">MAX( ((( _Pago_Fijo - (_Interes_Regular_Original * (1 + Iva.Intereses)) ))), _Stopper_Capital_Original _Actual )</f>
        <v>2902.7613453047279</v>
      </c>
      <c r="AS58" s="97">
        <f ca="1">MAX(_Saldo_Inicial_Original _Actual - _Capital_Original _Actual, 0)</f>
        <v>39022.146100257254</v>
      </c>
      <c r="AT58"/>
      <c r="AU58" s="20">
        <f t="shared" ca="1" si="42"/>
        <v>2902.7613453047279</v>
      </c>
      <c r="AV58" s="20">
        <f t="shared" ca="1" si="43"/>
        <v>2887.968353082777</v>
      </c>
      <c r="AW58" s="20">
        <f t="shared" ca="1" si="44"/>
        <v>235.56207996746429</v>
      </c>
      <c r="AX58" s="97">
        <f ca="1">IF( AND(_Abono_Anticipado _Anterior = 0, _Ciclicas &lt;&gt; 1 ), _Pago_Proyectado _Anterior, SUM(_Componentes_Pago_Proyectado _Actual))</f>
        <v>3138.3234252721923</v>
      </c>
      <c r="AY58" s="335">
        <f t="shared" ca="1" si="21"/>
        <v>2902.7613453047279</v>
      </c>
      <c r="AZ58" s="335">
        <f t="shared" ca="1" si="22"/>
        <v>2902.7613453047279</v>
      </c>
      <c r="BB58" s="20">
        <f t="shared" ca="1" si="45"/>
        <v>15.023091834659711</v>
      </c>
      <c r="BC58" s="309">
        <f t="shared" si="46"/>
        <v>14</v>
      </c>
      <c r="BD58" s="20">
        <f t="shared" ca="1" si="47"/>
        <v>210.32328568523596</v>
      </c>
      <c r="BE58" s="97">
        <f t="shared" ca="1" si="48"/>
        <v>3113.0846309899639</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39022.146100257254</v>
      </c>
      <c r="M59" s="97">
        <f ca="1">MIN( CHOOSE(Opcion.Abono, _Capital_Opcion_1, _Capital_Opcion_2, _Capital_Opcion_3) _Actual, _Saldo_Inicial _Actual)</f>
        <v>2919.0709937168799</v>
      </c>
      <c r="N59" s="97">
        <f t="shared" ca="1" si="27"/>
        <v>0</v>
      </c>
      <c r="O59" s="309">
        <f ca="1">MAX( _Capital_Elegida _Actual, _Stopper_Capital _Actual)</f>
        <v>2919.0709937168799</v>
      </c>
      <c r="P59" s="118">
        <f t="shared" ca="1" si="28"/>
        <v>13.982935685925517</v>
      </c>
      <c r="Q59" s="118">
        <f t="shared" ca="1" si="2"/>
        <v>195.76109960295724</v>
      </c>
      <c r="R59" s="309">
        <f ca="1">Fechas!_Dias_Interes_Pago</f>
        <v>14</v>
      </c>
      <c r="S59" s="20">
        <f t="shared" ca="1" si="29"/>
        <v>195.76109960295724</v>
      </c>
      <c r="T59" s="20">
        <f t="shared" ca="1" si="30"/>
        <v>23.491331952354869</v>
      </c>
      <c r="U59" s="20">
        <f t="shared" ca="1" si="31"/>
        <v>3138.3234252721918</v>
      </c>
      <c r="V59" s="310">
        <f ca="1">T_Merger!_Salida_Abono_1</f>
        <v>0</v>
      </c>
      <c r="W59" s="20">
        <f t="shared" ca="1" si="32"/>
        <v>36103.075106540375</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13</v>
      </c>
      <c r="AE59" s="14">
        <f t="shared" ca="1" si="35"/>
        <v>40</v>
      </c>
      <c r="AF59" s="14">
        <f t="shared" ca="1" si="36"/>
        <v>13</v>
      </c>
      <c r="AG59" s="14">
        <f ca="1">MIN(_Ciclicas_Remanentes _Actual, _Remanentes _Actual)</f>
        <v>13</v>
      </c>
      <c r="AH59" s="32">
        <f t="shared" ca="1" si="37"/>
        <v>1</v>
      </c>
      <c r="AJ59" s="20">
        <f t="shared" ca="1" si="12"/>
        <v>0</v>
      </c>
      <c r="AK59" s="97">
        <f t="shared" ca="1" si="38"/>
        <v>3138.3234252721923</v>
      </c>
      <c r="AM59" s="97">
        <f ca="1">MAX( _Saldo_Final_Original _Anterior + _Saldo_Ciclico, 0)</f>
        <v>39022.146100257254</v>
      </c>
      <c r="AN59" s="20">
        <f t="shared" ca="1" si="39"/>
        <v>13.982935685925517</v>
      </c>
      <c r="AO59" s="20">
        <f t="shared" ca="1" si="15"/>
        <v>195.76109960295724</v>
      </c>
      <c r="AP59" s="20">
        <f t="shared" ca="1" si="40"/>
        <v>195.76109960295724</v>
      </c>
      <c r="AQ59" s="20">
        <f t="shared" ca="1" si="41"/>
        <v>0</v>
      </c>
      <c r="AR59" s="335">
        <f ca="1">MAX( ((( _Pago_Fijo - (_Interes_Regular_Original * (1 + Iva.Intereses)) ))), _Stopper_Capital_Original _Actual )</f>
        <v>2919.0709937168799</v>
      </c>
      <c r="AS59" s="97">
        <f ca="1">MAX(_Saldo_Inicial_Original _Actual - _Capital_Original _Actual, 0)</f>
        <v>36103.075106540375</v>
      </c>
      <c r="AT59"/>
      <c r="AU59" s="20">
        <f t="shared" ca="1" si="42"/>
        <v>2919.0709937168799</v>
      </c>
      <c r="AV59" s="20">
        <f t="shared" ca="1" si="43"/>
        <v>2902.9160981443838</v>
      </c>
      <c r="AW59" s="20">
        <f t="shared" ca="1" si="44"/>
        <v>219.25243155531209</v>
      </c>
      <c r="AX59" s="97">
        <f ca="1">IF( AND(_Abono_Anticipado _Anterior = 0, _Ciclicas &lt;&gt; 1 ), _Pago_Proyectado _Anterior, SUM(_Componentes_Pago_Proyectado _Actual))</f>
        <v>3138.3234252721923</v>
      </c>
      <c r="AY59" s="335">
        <f t="shared" ca="1" si="21"/>
        <v>2919.0709937168799</v>
      </c>
      <c r="AZ59" s="335">
        <f t="shared" ca="1" si="22"/>
        <v>2919.0709937168799</v>
      </c>
      <c r="BB59" s="20">
        <f t="shared" ca="1" si="45"/>
        <v>13.982935685925517</v>
      </c>
      <c r="BC59" s="309">
        <f t="shared" si="46"/>
        <v>14</v>
      </c>
      <c r="BD59" s="20">
        <f t="shared" ca="1" si="47"/>
        <v>195.76109960295724</v>
      </c>
      <c r="BE59" s="97">
        <f t="shared" ca="1" si="48"/>
        <v>3114.832093319837</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36103.075106540375</v>
      </c>
      <c r="M60" s="97">
        <f ca="1">MIN( CHOOSE(Opcion.Abono, _Capital_Opcion_1, _Capital_Opcion_2, _Capital_Opcion_3) _Actual, _Saldo_Inicial _Actual)</f>
        <v>2935.4722806069108</v>
      </c>
      <c r="N60" s="97">
        <f t="shared" ca="1" si="27"/>
        <v>0</v>
      </c>
      <c r="O60" s="309">
        <f ca="1">MAX( _Capital_Elegida _Actual, _Stopper_Capital _Actual)</f>
        <v>2935.4722806069108</v>
      </c>
      <c r="P60" s="118">
        <f t="shared" ca="1" si="28"/>
        <v>12.9369352465103</v>
      </c>
      <c r="Q60" s="118">
        <f t="shared" ca="1" si="2"/>
        <v>181.1170934511442</v>
      </c>
      <c r="R60" s="309">
        <f ca="1">Fechas!_Dias_Interes_Pago</f>
        <v>14</v>
      </c>
      <c r="S60" s="20">
        <f t="shared" ca="1" si="29"/>
        <v>181.1170934511442</v>
      </c>
      <c r="T60" s="20">
        <f t="shared" ca="1" si="30"/>
        <v>21.734051214137303</v>
      </c>
      <c r="U60" s="20">
        <f t="shared" ca="1" si="31"/>
        <v>3138.3234252721923</v>
      </c>
      <c r="V60" s="310">
        <f ca="1">T_Merger!_Salida_Abono_1</f>
        <v>0</v>
      </c>
      <c r="W60" s="20">
        <f t="shared" ca="1" si="32"/>
        <v>33167.602825933463</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12</v>
      </c>
      <c r="AE60" s="14">
        <f t="shared" ca="1" si="35"/>
        <v>41</v>
      </c>
      <c r="AF60" s="14">
        <f t="shared" ca="1" si="36"/>
        <v>12</v>
      </c>
      <c r="AG60" s="14">
        <f ca="1">MIN(_Ciclicas_Remanentes _Actual, _Remanentes _Actual)</f>
        <v>12</v>
      </c>
      <c r="AH60" s="32">
        <f t="shared" ca="1" si="37"/>
        <v>1</v>
      </c>
      <c r="AJ60" s="20">
        <f t="shared" ca="1" si="12"/>
        <v>0</v>
      </c>
      <c r="AK60" s="97">
        <f t="shared" ca="1" si="38"/>
        <v>3138.3234252721923</v>
      </c>
      <c r="AM60" s="97">
        <f ca="1">MAX( _Saldo_Final_Original _Anterior + _Saldo_Ciclico, 0)</f>
        <v>36103.075106540375</v>
      </c>
      <c r="AN60" s="20">
        <f t="shared" ca="1" si="39"/>
        <v>12.9369352465103</v>
      </c>
      <c r="AO60" s="20">
        <f t="shared" ca="1" si="15"/>
        <v>181.1170934511442</v>
      </c>
      <c r="AP60" s="20">
        <f t="shared" ca="1" si="40"/>
        <v>181.1170934511442</v>
      </c>
      <c r="AQ60" s="20">
        <f t="shared" ca="1" si="41"/>
        <v>0</v>
      </c>
      <c r="AR60" s="335">
        <f ca="1">MAX( ((( _Pago_Fijo - (_Interes_Regular_Original * (1 + Iva.Intereses)) ))), _Stopper_Capital_Original _Actual )</f>
        <v>2935.4722806069108</v>
      </c>
      <c r="AS60" s="97">
        <f ca="1">MAX(_Saldo_Inicial_Original _Actual - _Capital_Original _Actual, 0)</f>
        <v>33167.602825933463</v>
      </c>
      <c r="AT60"/>
      <c r="AU60" s="20">
        <f t="shared" ca="1" si="42"/>
        <v>2935.4722806069108</v>
      </c>
      <c r="AV60" s="20">
        <f t="shared" ca="1" si="43"/>
        <v>2917.7417895980466</v>
      </c>
      <c r="AW60" s="20">
        <f t="shared" ca="1" si="44"/>
        <v>202.85114466528151</v>
      </c>
      <c r="AX60" s="97">
        <f ca="1">IF( AND(_Abono_Anticipado _Anterior = 0, _Ciclicas &lt;&gt; 1 ), _Pago_Proyectado _Anterior, SUM(_Componentes_Pago_Proyectado _Actual))</f>
        <v>3138.3234252721923</v>
      </c>
      <c r="AY60" s="335">
        <f t="shared" ca="1" si="21"/>
        <v>2935.4722806069108</v>
      </c>
      <c r="AZ60" s="335">
        <f t="shared" ca="1" si="22"/>
        <v>2935.4722806069108</v>
      </c>
      <c r="BB60" s="20">
        <f t="shared" ca="1" si="45"/>
        <v>12.9369352465103</v>
      </c>
      <c r="BC60" s="309">
        <f t="shared" si="46"/>
        <v>14</v>
      </c>
      <c r="BD60" s="20">
        <f t="shared" ca="1" si="47"/>
        <v>181.1170934511442</v>
      </c>
      <c r="BE60" s="97">
        <f t="shared" ca="1" si="48"/>
        <v>3116.589374058055</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33167.602825933463</v>
      </c>
      <c r="M61" s="97">
        <f ca="1">MIN( CHOOSE(Opcion.Abono, _Capital_Opcion_1, _Capital_Opcion_2, _Capital_Opcion_3) _Actual, _Saldo_Inicial _Actual)</f>
        <v>2951.9657208608805</v>
      </c>
      <c r="N61" s="97">
        <f t="shared" ca="1" si="27"/>
        <v>0</v>
      </c>
      <c r="O61" s="309">
        <f ca="1">MAX( _Capital_Elegida _Actual, _Stopper_Capital _Actual)</f>
        <v>2951.9657208608805</v>
      </c>
      <c r="P61" s="118">
        <f t="shared" ca="1" si="28"/>
        <v>11.885057679292824</v>
      </c>
      <c r="Q61" s="118">
        <f t="shared" ca="1" si="2"/>
        <v>166.39080751009953</v>
      </c>
      <c r="R61" s="309">
        <f ca="1">Fechas!_Dias_Interes_Pago</f>
        <v>14</v>
      </c>
      <c r="S61" s="20">
        <f t="shared" ca="1" si="29"/>
        <v>166.39080751009953</v>
      </c>
      <c r="T61" s="20">
        <f t="shared" ca="1" si="30"/>
        <v>19.966896901211943</v>
      </c>
      <c r="U61" s="20">
        <f t="shared" ca="1" si="31"/>
        <v>3138.3234252721918</v>
      </c>
      <c r="V61" s="310">
        <f ca="1">T_Merger!_Salida_Abono_1</f>
        <v>0</v>
      </c>
      <c r="W61" s="20">
        <f t="shared" ca="1" si="32"/>
        <v>30215.637105072583</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11</v>
      </c>
      <c r="AE61" s="14">
        <f t="shared" ca="1" si="35"/>
        <v>42</v>
      </c>
      <c r="AF61" s="14">
        <f t="shared" ca="1" si="36"/>
        <v>11</v>
      </c>
      <c r="AG61" s="14">
        <f ca="1">MIN(_Ciclicas_Remanentes _Actual, _Remanentes _Actual)</f>
        <v>11</v>
      </c>
      <c r="AH61" s="32">
        <f t="shared" ca="1" si="37"/>
        <v>1</v>
      </c>
      <c r="AJ61" s="20">
        <f t="shared" ca="1" si="12"/>
        <v>0</v>
      </c>
      <c r="AK61" s="97">
        <f t="shared" ca="1" si="38"/>
        <v>3138.3234252721923</v>
      </c>
      <c r="AM61" s="97">
        <f ca="1">MAX( _Saldo_Final_Original _Anterior + _Saldo_Ciclico, 0)</f>
        <v>33167.602825933463</v>
      </c>
      <c r="AN61" s="20">
        <f t="shared" ca="1" si="39"/>
        <v>11.885057679292824</v>
      </c>
      <c r="AO61" s="20">
        <f t="shared" ca="1" si="15"/>
        <v>166.39080751009953</v>
      </c>
      <c r="AP61" s="20">
        <f t="shared" ca="1" si="40"/>
        <v>166.39080751009953</v>
      </c>
      <c r="AQ61" s="20">
        <f t="shared" ca="1" si="41"/>
        <v>0</v>
      </c>
      <c r="AR61" s="335">
        <f ca="1">MAX( ((( _Pago_Fijo - (_Interes_Regular_Original * (1 + Iva.Intereses)) ))), _Stopper_Capital_Original _Actual )</f>
        <v>2951.9657208608805</v>
      </c>
      <c r="AS61" s="97">
        <f ca="1">MAX(_Saldo_Inicial_Original _Actual - _Capital_Original _Actual, 0)</f>
        <v>30215.637105072583</v>
      </c>
      <c r="AT61"/>
      <c r="AU61" s="20">
        <f t="shared" ca="1" si="42"/>
        <v>2951.9657208608805</v>
      </c>
      <c r="AV61" s="20">
        <f t="shared" ca="1" si="43"/>
        <v>2932.3878821260018</v>
      </c>
      <c r="AW61" s="20">
        <f t="shared" ca="1" si="44"/>
        <v>186.35770441131149</v>
      </c>
      <c r="AX61" s="97">
        <f ca="1">IF( AND(_Abono_Anticipado _Anterior = 0, _Ciclicas &lt;&gt; 1 ), _Pago_Proyectado _Anterior, SUM(_Componentes_Pago_Proyectado _Actual))</f>
        <v>3138.3234252721923</v>
      </c>
      <c r="AY61" s="335">
        <f t="shared" ca="1" si="21"/>
        <v>2951.9657208608805</v>
      </c>
      <c r="AZ61" s="335">
        <f t="shared" ca="1" si="22"/>
        <v>2951.9657208608805</v>
      </c>
      <c r="BB61" s="20">
        <f t="shared" ca="1" si="45"/>
        <v>11.885057679292824</v>
      </c>
      <c r="BC61" s="309">
        <f t="shared" si="46"/>
        <v>14</v>
      </c>
      <c r="BD61" s="20">
        <f t="shared" ca="1" si="47"/>
        <v>166.39080751009953</v>
      </c>
      <c r="BE61" s="97">
        <f t="shared" ca="1" si="48"/>
        <v>3118.35652837098</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30215.637105072583</v>
      </c>
      <c r="M62" s="97">
        <f ca="1">MIN( CHOOSE(Opcion.Abono, _Capital_Opcion_1, _Capital_Opcion_2, _Capital_Opcion_3) _Actual, _Saldo_Inicial _Actual)</f>
        <v>2968.5518322578246</v>
      </c>
      <c r="N62" s="97">
        <f t="shared" ca="1" si="27"/>
        <v>0</v>
      </c>
      <c r="O62" s="309">
        <f ca="1">MAX( _Capital_Elegida _Actual, _Stopper_Capital _Actual)</f>
        <v>2968.5518322578246</v>
      </c>
      <c r="P62" s="118">
        <f t="shared" ca="1" si="28"/>
        <v>10.827269962651009</v>
      </c>
      <c r="Q62" s="118">
        <f t="shared" ca="1" si="2"/>
        <v>151.58177947711414</v>
      </c>
      <c r="R62" s="309">
        <f ca="1">Fechas!_Dias_Interes_Pago</f>
        <v>14</v>
      </c>
      <c r="S62" s="20">
        <f t="shared" ca="1" si="29"/>
        <v>151.58177947711414</v>
      </c>
      <c r="T62" s="20">
        <f t="shared" ca="1" si="30"/>
        <v>18.189813537253695</v>
      </c>
      <c r="U62" s="20">
        <f t="shared" ca="1" si="31"/>
        <v>3138.3234252721923</v>
      </c>
      <c r="V62" s="310">
        <f ca="1">T_Merger!_Salida_Abono_1</f>
        <v>0</v>
      </c>
      <c r="W62" s="20">
        <f t="shared" ca="1" si="32"/>
        <v>27247.085272814758</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10</v>
      </c>
      <c r="AE62" s="14">
        <f t="shared" ca="1" si="35"/>
        <v>43</v>
      </c>
      <c r="AF62" s="14">
        <f t="shared" ca="1" si="36"/>
        <v>10</v>
      </c>
      <c r="AG62" s="14">
        <f ca="1">MIN(_Ciclicas_Remanentes _Actual, _Remanentes _Actual)</f>
        <v>10</v>
      </c>
      <c r="AH62" s="32">
        <f t="shared" ca="1" si="37"/>
        <v>1</v>
      </c>
      <c r="AJ62" s="20">
        <f t="shared" ca="1" si="12"/>
        <v>0</v>
      </c>
      <c r="AK62" s="97">
        <f t="shared" ca="1" si="38"/>
        <v>3138.3234252721923</v>
      </c>
      <c r="AM62" s="97">
        <f ca="1">MAX( _Saldo_Final_Original _Anterior + _Saldo_Ciclico, 0)</f>
        <v>30215.637105072583</v>
      </c>
      <c r="AN62" s="20">
        <f t="shared" ca="1" si="39"/>
        <v>10.827269962651009</v>
      </c>
      <c r="AO62" s="20">
        <f t="shared" ca="1" si="15"/>
        <v>151.58177947711414</v>
      </c>
      <c r="AP62" s="20">
        <f t="shared" ca="1" si="40"/>
        <v>151.58177947711414</v>
      </c>
      <c r="AQ62" s="20">
        <f t="shared" ca="1" si="41"/>
        <v>0</v>
      </c>
      <c r="AR62" s="335">
        <f ca="1">MAX( ((( _Pago_Fijo - (_Interes_Regular_Original * (1 + Iva.Intereses)) ))), _Stopper_Capital_Original _Actual )</f>
        <v>2968.5518322578246</v>
      </c>
      <c r="AS62" s="97">
        <f ca="1">MAX(_Saldo_Inicial_Original _Actual - _Capital_Original _Actual, 0)</f>
        <v>27247.085272814758</v>
      </c>
      <c r="AT62"/>
      <c r="AU62" s="20">
        <f t="shared" ca="1" si="42"/>
        <v>2968.5518322578246</v>
      </c>
      <c r="AV62" s="20">
        <f t="shared" ca="1" si="43"/>
        <v>2946.7736114410563</v>
      </c>
      <c r="AW62" s="20">
        <f t="shared" ca="1" si="44"/>
        <v>169.77159301436782</v>
      </c>
      <c r="AX62" s="97">
        <f ca="1">IF( AND(_Abono_Anticipado _Anterior = 0, _Ciclicas &lt;&gt; 1 ), _Pago_Proyectado _Anterior, SUM(_Componentes_Pago_Proyectado _Actual))</f>
        <v>3138.3234252721923</v>
      </c>
      <c r="AY62" s="335">
        <f t="shared" ca="1" si="21"/>
        <v>2968.5518322578246</v>
      </c>
      <c r="AZ62" s="335">
        <f t="shared" ca="1" si="22"/>
        <v>2968.5518322578246</v>
      </c>
      <c r="BB62" s="20">
        <f t="shared" ca="1" si="45"/>
        <v>10.827269962651009</v>
      </c>
      <c r="BC62" s="309">
        <f t="shared" si="46"/>
        <v>14</v>
      </c>
      <c r="BD62" s="20">
        <f t="shared" ca="1" si="47"/>
        <v>151.58177947711414</v>
      </c>
      <c r="BE62" s="97">
        <f t="shared" ca="1" si="48"/>
        <v>3120.1336117349388</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27247.085272814758</v>
      </c>
      <c r="M63" s="97">
        <f ca="1">MIN( CHOOSE(Opcion.Abono, _Capital_Opcion_1, _Capital_Opcion_2, _Capital_Opcion_3) _Actual, _Saldo_Inicial _Actual)</f>
        <v>2985.231135486004</v>
      </c>
      <c r="N63" s="97">
        <f t="shared" ca="1" si="27"/>
        <v>0</v>
      </c>
      <c r="O63" s="309">
        <f ca="1">MAX( _Capital_Elegida _Actual, _Stopper_Capital _Actual)</f>
        <v>2985.231135486004</v>
      </c>
      <c r="P63" s="118">
        <f t="shared" ca="1" si="28"/>
        <v>9.7635388894252877</v>
      </c>
      <c r="Q63" s="118">
        <f t="shared" ca="1" si="2"/>
        <v>136.68954445195402</v>
      </c>
      <c r="R63" s="309">
        <f ca="1">Fechas!_Dias_Interes_Pago</f>
        <v>14</v>
      </c>
      <c r="S63" s="20">
        <f t="shared" ca="1" si="29"/>
        <v>136.68954445195402</v>
      </c>
      <c r="T63" s="20">
        <f t="shared" ca="1" si="30"/>
        <v>16.402745334234481</v>
      </c>
      <c r="U63" s="20">
        <f t="shared" ca="1" si="31"/>
        <v>3138.3234252721927</v>
      </c>
      <c r="V63" s="310">
        <f ca="1">T_Merger!_Salida_Abono_1</f>
        <v>0</v>
      </c>
      <c r="W63" s="20">
        <f t="shared" ca="1" si="32"/>
        <v>24261.854137328755</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9</v>
      </c>
      <c r="AE63" s="14">
        <f t="shared" ca="1" si="35"/>
        <v>44</v>
      </c>
      <c r="AF63" s="14">
        <f t="shared" ca="1" si="36"/>
        <v>9</v>
      </c>
      <c r="AG63" s="14">
        <f ca="1">MIN(_Ciclicas_Remanentes _Actual, _Remanentes _Actual)</f>
        <v>9</v>
      </c>
      <c r="AH63" s="32">
        <f t="shared" ca="1" si="37"/>
        <v>1</v>
      </c>
      <c r="AJ63" s="20">
        <f t="shared" ca="1" si="12"/>
        <v>0</v>
      </c>
      <c r="AK63" s="97">
        <f t="shared" ca="1" si="38"/>
        <v>3138.3234252721923</v>
      </c>
      <c r="AM63" s="97">
        <f ca="1">MAX( _Saldo_Final_Original _Anterior + _Saldo_Ciclico, 0)</f>
        <v>27247.085272814758</v>
      </c>
      <c r="AN63" s="20">
        <f t="shared" ca="1" si="39"/>
        <v>9.7635388894252877</v>
      </c>
      <c r="AO63" s="20">
        <f t="shared" ca="1" si="15"/>
        <v>136.68954445195402</v>
      </c>
      <c r="AP63" s="20">
        <f t="shared" ca="1" si="40"/>
        <v>136.68954445195402</v>
      </c>
      <c r="AQ63" s="20">
        <f t="shared" ca="1" si="41"/>
        <v>0</v>
      </c>
      <c r="AR63" s="335">
        <f ca="1">MAX( ((( _Pago_Fijo - (_Interes_Regular_Original * (1 + Iva.Intereses)) ))), _Stopper_Capital_Original _Actual )</f>
        <v>2985.231135486004</v>
      </c>
      <c r="AS63" s="97">
        <f ca="1">MAX(_Saldo_Inicial_Original _Actual - _Capital_Original _Actual, 0)</f>
        <v>24261.854137328755</v>
      </c>
      <c r="AT63"/>
      <c r="AU63" s="20">
        <f t="shared" ca="1" si="42"/>
        <v>2985.231135486004</v>
      </c>
      <c r="AV63" s="20">
        <f t="shared" ca="1" si="43"/>
        <v>2960.7820932861941</v>
      </c>
      <c r="AW63" s="20">
        <f t="shared" ca="1" si="44"/>
        <v>153.09228978618853</v>
      </c>
      <c r="AX63" s="97">
        <f ca="1">IF( AND(_Abono_Anticipado _Anterior = 0, _Ciclicas &lt;&gt; 1 ), _Pago_Proyectado _Anterior, SUM(_Componentes_Pago_Proyectado _Actual))</f>
        <v>3138.3234252721923</v>
      </c>
      <c r="AY63" s="335">
        <f t="shared" ca="1" si="21"/>
        <v>2985.231135486004</v>
      </c>
      <c r="AZ63" s="335">
        <f t="shared" ca="1" si="22"/>
        <v>2985.231135486004</v>
      </c>
      <c r="BB63" s="20">
        <f t="shared" ca="1" si="45"/>
        <v>9.7635388894252877</v>
      </c>
      <c r="BC63" s="309">
        <f t="shared" si="46"/>
        <v>14</v>
      </c>
      <c r="BD63" s="20">
        <f t="shared" ca="1" si="47"/>
        <v>136.68954445195402</v>
      </c>
      <c r="BE63" s="97">
        <f t="shared" ca="1" si="48"/>
        <v>3121.9206799379581</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24261.854137328755</v>
      </c>
      <c r="M64" s="97">
        <f ca="1">MIN( CHOOSE(Opcion.Abono, _Capital_Opcion_1, _Capital_Opcion_2, _Capital_Opcion_3) _Actual, _Saldo_Inicial _Actual)</f>
        <v>3002.0041541592545</v>
      </c>
      <c r="N64" s="97">
        <f t="shared" ca="1" si="27"/>
        <v>0</v>
      </c>
      <c r="O64" s="309">
        <f ca="1">MAX( _Capital_Elegida _Actual, _Stopper_Capital _Actual)</f>
        <v>3002.0041541592545</v>
      </c>
      <c r="P64" s="118">
        <f t="shared" ca="1" si="28"/>
        <v>8.6938310658761377</v>
      </c>
      <c r="Q64" s="118">
        <f t="shared" ca="1" si="2"/>
        <v>121.71363492226592</v>
      </c>
      <c r="R64" s="309">
        <f ca="1">Fechas!_Dias_Interes_Pago</f>
        <v>14</v>
      </c>
      <c r="S64" s="20">
        <f t="shared" ca="1" si="29"/>
        <v>121.71363492226592</v>
      </c>
      <c r="T64" s="20">
        <f t="shared" ca="1" si="30"/>
        <v>14.605636190671911</v>
      </c>
      <c r="U64" s="20">
        <f t="shared" ca="1" si="31"/>
        <v>3138.3234252721923</v>
      </c>
      <c r="V64" s="310">
        <f ca="1">T_Merger!_Salida_Abono_1</f>
        <v>0</v>
      </c>
      <c r="W64" s="20">
        <f t="shared" ca="1" si="32"/>
        <v>21259.849983169501</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8</v>
      </c>
      <c r="AE64" s="14">
        <f t="shared" ca="1" si="35"/>
        <v>45</v>
      </c>
      <c r="AF64" s="14">
        <f t="shared" ca="1" si="36"/>
        <v>8</v>
      </c>
      <c r="AG64" s="14">
        <f ca="1">MIN(_Ciclicas_Remanentes _Actual, _Remanentes _Actual)</f>
        <v>8</v>
      </c>
      <c r="AH64" s="32">
        <f t="shared" ca="1" si="37"/>
        <v>1</v>
      </c>
      <c r="AJ64" s="20">
        <f t="shared" ca="1" si="12"/>
        <v>0</v>
      </c>
      <c r="AK64" s="97">
        <f t="shared" ca="1" si="38"/>
        <v>3138.3234252721923</v>
      </c>
      <c r="AM64" s="97">
        <f ca="1">MAX( _Saldo_Final_Original _Anterior + _Saldo_Ciclico, 0)</f>
        <v>24261.854137328755</v>
      </c>
      <c r="AN64" s="20">
        <f t="shared" ca="1" si="39"/>
        <v>8.6938310658761377</v>
      </c>
      <c r="AO64" s="20">
        <f t="shared" ca="1" si="15"/>
        <v>121.71363492226592</v>
      </c>
      <c r="AP64" s="20">
        <f t="shared" ca="1" si="40"/>
        <v>121.71363492226592</v>
      </c>
      <c r="AQ64" s="20">
        <f t="shared" ca="1" si="41"/>
        <v>0</v>
      </c>
      <c r="AR64" s="335">
        <f ca="1">MAX( ((( _Pago_Fijo - (_Interes_Regular_Original * (1 + Iva.Intereses)) ))), _Stopper_Capital_Original _Actual )</f>
        <v>3002.0041541592545</v>
      </c>
      <c r="AS64" s="97">
        <f ca="1">MAX(_Saldo_Inicial_Original _Actual - _Capital_Original _Actual, 0)</f>
        <v>21259.849983169501</v>
      </c>
      <c r="AT64"/>
      <c r="AU64" s="20">
        <f t="shared" ca="1" si="42"/>
        <v>3002.0041541592545</v>
      </c>
      <c r="AV64" s="20">
        <f t="shared" ca="1" si="43"/>
        <v>2974.2377466719372</v>
      </c>
      <c r="AW64" s="20">
        <f t="shared" ca="1" si="44"/>
        <v>136.31927111293783</v>
      </c>
      <c r="AX64" s="97">
        <f ca="1">IF( AND(_Abono_Anticipado _Anterior = 0, _Ciclicas &lt;&gt; 1 ), _Pago_Proyectado _Anterior, SUM(_Componentes_Pago_Proyectado _Actual))</f>
        <v>3138.3234252721923</v>
      </c>
      <c r="AY64" s="335">
        <f t="shared" ca="1" si="21"/>
        <v>3002.0041541592545</v>
      </c>
      <c r="AZ64" s="335">
        <f t="shared" ca="1" si="22"/>
        <v>3002.0041541592545</v>
      </c>
      <c r="BB64" s="20">
        <f t="shared" ca="1" si="45"/>
        <v>8.6938310658761377</v>
      </c>
      <c r="BC64" s="309">
        <f t="shared" si="46"/>
        <v>14</v>
      </c>
      <c r="BD64" s="20">
        <f t="shared" ca="1" si="47"/>
        <v>121.71363492226592</v>
      </c>
      <c r="BE64" s="97">
        <f t="shared" ca="1" si="48"/>
        <v>3123.7177890815206</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21259.849983169501</v>
      </c>
      <c r="M65" s="97">
        <f ca="1">MIN( CHOOSE(Opcion.Abono, _Capital_Opcion_1, _Capital_Opcion_2, _Capital_Opcion_3) _Actual, _Saldo_Inicial _Actual)</f>
        <v>3018.8714148334238</v>
      </c>
      <c r="N65" s="97">
        <f t="shared" ca="1" si="27"/>
        <v>0</v>
      </c>
      <c r="O65" s="309">
        <f ca="1">MAX( _Capital_Elegida _Actual, _Stopper_Capital _Actual)</f>
        <v>3018.8714148334238</v>
      </c>
      <c r="P65" s="118">
        <f t="shared" ca="1" si="28"/>
        <v>7.6181129106357375</v>
      </c>
      <c r="Q65" s="118">
        <f t="shared" ca="1" si="2"/>
        <v>106.65358074890032</v>
      </c>
      <c r="R65" s="309">
        <f ca="1">Fechas!_Dias_Interes_Pago</f>
        <v>14</v>
      </c>
      <c r="S65" s="20">
        <f t="shared" ca="1" si="29"/>
        <v>106.65358074890032</v>
      </c>
      <c r="T65" s="20">
        <f t="shared" ca="1" si="30"/>
        <v>12.798429689868039</v>
      </c>
      <c r="U65" s="20">
        <f t="shared" ca="1" si="31"/>
        <v>3138.3234252721923</v>
      </c>
      <c r="V65" s="310">
        <f ca="1">T_Merger!_Salida_Abono_1</f>
        <v>0</v>
      </c>
      <c r="W65" s="20">
        <f t="shared" ca="1" si="32"/>
        <v>18240.978568336075</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7</v>
      </c>
      <c r="AE65" s="14">
        <f t="shared" ca="1" si="35"/>
        <v>46</v>
      </c>
      <c r="AF65" s="14">
        <f t="shared" ca="1" si="36"/>
        <v>7</v>
      </c>
      <c r="AG65" s="14">
        <f ca="1">MIN(_Ciclicas_Remanentes _Actual, _Remanentes _Actual)</f>
        <v>7</v>
      </c>
      <c r="AH65" s="32">
        <f t="shared" ca="1" si="37"/>
        <v>1</v>
      </c>
      <c r="AJ65" s="20">
        <f t="shared" ca="1" si="12"/>
        <v>0</v>
      </c>
      <c r="AK65" s="97">
        <f t="shared" ca="1" si="38"/>
        <v>3138.3234252721923</v>
      </c>
      <c r="AM65" s="97">
        <f ca="1">MAX( _Saldo_Final_Original _Anterior + _Saldo_Ciclico, 0)</f>
        <v>21259.849983169501</v>
      </c>
      <c r="AN65" s="20">
        <f t="shared" ca="1" si="39"/>
        <v>7.6181129106357375</v>
      </c>
      <c r="AO65" s="20">
        <f t="shared" ca="1" si="15"/>
        <v>106.65358074890032</v>
      </c>
      <c r="AP65" s="20">
        <f t="shared" ca="1" si="40"/>
        <v>106.65358074890032</v>
      </c>
      <c r="AQ65" s="20">
        <f t="shared" ca="1" si="41"/>
        <v>0</v>
      </c>
      <c r="AR65" s="335">
        <f ca="1">MAX( ((( _Pago_Fijo - (_Interes_Regular_Original * (1 + Iva.Intereses)) ))), _Stopper_Capital_Original _Actual )</f>
        <v>3018.8714148334238</v>
      </c>
      <c r="AS65" s="97">
        <f ca="1">MAX(_Saldo_Inicial_Original _Actual - _Capital_Original _Actual, 0)</f>
        <v>18240.978568336075</v>
      </c>
      <c r="AT65"/>
      <c r="AU65" s="20">
        <f t="shared" ca="1" si="42"/>
        <v>3018.8714148334238</v>
      </c>
      <c r="AV65" s="20">
        <f t="shared" ca="1" si="43"/>
        <v>2986.8643655893147</v>
      </c>
      <c r="AW65" s="20">
        <f t="shared" ca="1" si="44"/>
        <v>119.45201043876837</v>
      </c>
      <c r="AX65" s="97">
        <f ca="1">IF( AND(_Abono_Anticipado _Anterior = 0, _Ciclicas &lt;&gt; 1 ), _Pago_Proyectado _Anterior, SUM(_Componentes_Pago_Proyectado _Actual))</f>
        <v>3138.3234252721923</v>
      </c>
      <c r="AY65" s="335">
        <f t="shared" ca="1" si="21"/>
        <v>3018.8714148334238</v>
      </c>
      <c r="AZ65" s="335">
        <f t="shared" ca="1" si="22"/>
        <v>3018.8714148334238</v>
      </c>
      <c r="BB65" s="20">
        <f t="shared" ca="1" si="45"/>
        <v>7.6181129106357375</v>
      </c>
      <c r="BC65" s="309">
        <f t="shared" si="46"/>
        <v>14</v>
      </c>
      <c r="BD65" s="20">
        <f t="shared" ca="1" si="47"/>
        <v>106.65358074890032</v>
      </c>
      <c r="BE65" s="97">
        <f t="shared" ca="1" si="48"/>
        <v>3125.5249955823242</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18240.978568336075</v>
      </c>
      <c r="M66" s="97">
        <f ca="1">MIN( CHOOSE(Opcion.Abono, _Capital_Opcion_1, _Capital_Opcion_2, _Capital_Opcion_3) _Actual, _Saldo_Inicial _Actual)</f>
        <v>3035.8334470229015</v>
      </c>
      <c r="N66" s="97">
        <f t="shared" ca="1" si="27"/>
        <v>0</v>
      </c>
      <c r="O66" s="309">
        <f ca="1">MAX( _Capital_Elegida _Actual, _Stopper_Capital _Actual)</f>
        <v>3035.8334470229015</v>
      </c>
      <c r="P66" s="118">
        <f t="shared" ca="1" si="28"/>
        <v>6.5363506536537601</v>
      </c>
      <c r="Q66" s="118">
        <f t="shared" ca="1" si="2"/>
        <v>91.508909151152636</v>
      </c>
      <c r="R66" s="309">
        <f ca="1">Fechas!_Dias_Interes_Pago</f>
        <v>14</v>
      </c>
      <c r="S66" s="20">
        <f t="shared" ca="1" si="29"/>
        <v>91.508909151152636</v>
      </c>
      <c r="T66" s="20">
        <f t="shared" ca="1" si="30"/>
        <v>10.981069098138317</v>
      </c>
      <c r="U66" s="20">
        <f t="shared" ca="1" si="31"/>
        <v>3138.3234252721927</v>
      </c>
      <c r="V66" s="310">
        <f ca="1">T_Merger!_Salida_Abono_1</f>
        <v>0</v>
      </c>
      <c r="W66" s="20">
        <f t="shared" ca="1" si="32"/>
        <v>15205.145121313173</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6</v>
      </c>
      <c r="AE66" s="14">
        <f t="shared" ca="1" si="35"/>
        <v>47</v>
      </c>
      <c r="AF66" s="14">
        <f t="shared" ca="1" si="36"/>
        <v>6</v>
      </c>
      <c r="AG66" s="14">
        <f ca="1">MIN(_Ciclicas_Remanentes _Actual, _Remanentes _Actual)</f>
        <v>6</v>
      </c>
      <c r="AH66" s="32">
        <f t="shared" ca="1" si="37"/>
        <v>1</v>
      </c>
      <c r="AJ66" s="20">
        <f t="shared" ca="1" si="12"/>
        <v>0</v>
      </c>
      <c r="AK66" s="97">
        <f t="shared" ca="1" si="38"/>
        <v>3138.3234252721923</v>
      </c>
      <c r="AM66" s="97">
        <f ca="1">MAX( _Saldo_Final_Original _Anterior + _Saldo_Ciclico, 0)</f>
        <v>18240.978568336075</v>
      </c>
      <c r="AN66" s="20">
        <f t="shared" ca="1" si="39"/>
        <v>6.5363506536537601</v>
      </c>
      <c r="AO66" s="20">
        <f t="shared" ca="1" si="15"/>
        <v>91.508909151152636</v>
      </c>
      <c r="AP66" s="20">
        <f t="shared" ca="1" si="40"/>
        <v>91.508909151152636</v>
      </c>
      <c r="AQ66" s="20">
        <f t="shared" ca="1" si="41"/>
        <v>0</v>
      </c>
      <c r="AR66" s="335">
        <f ca="1">MAX( ((( _Pago_Fijo - (_Interes_Regular_Original * (1 + Iva.Intereses)) ))), _Stopper_Capital_Original _Actual )</f>
        <v>3035.8334470229015</v>
      </c>
      <c r="AS66" s="97">
        <f ca="1">MAX(_Saldo_Inicial_Original _Actual - _Capital_Original _Actual, 0)</f>
        <v>15205.145121313173</v>
      </c>
      <c r="AT66"/>
      <c r="AU66" s="20">
        <f t="shared" ca="1" si="42"/>
        <v>3035.8334470229015</v>
      </c>
      <c r="AV66" s="20">
        <f t="shared" ca="1" si="43"/>
        <v>2998.201262419263</v>
      </c>
      <c r="AW66" s="20">
        <f t="shared" ca="1" si="44"/>
        <v>102.48997824929096</v>
      </c>
      <c r="AX66" s="97">
        <f ca="1">IF( AND(_Abono_Anticipado _Anterior = 0, _Ciclicas &lt;&gt; 1 ), _Pago_Proyectado _Anterior, SUM(_Componentes_Pago_Proyectado _Actual))</f>
        <v>3138.3234252721923</v>
      </c>
      <c r="AY66" s="335">
        <f t="shared" ca="1" si="21"/>
        <v>3035.8334470229015</v>
      </c>
      <c r="AZ66" s="335">
        <f t="shared" ca="1" si="22"/>
        <v>3035.8334470229015</v>
      </c>
      <c r="BB66" s="20">
        <f t="shared" ca="1" si="45"/>
        <v>6.5363506536537601</v>
      </c>
      <c r="BC66" s="309">
        <f t="shared" si="46"/>
        <v>14</v>
      </c>
      <c r="BD66" s="20">
        <f t="shared" ca="1" si="47"/>
        <v>91.508909151152636</v>
      </c>
      <c r="BE66" s="97">
        <f t="shared" ca="1" si="48"/>
        <v>3127.3423561740542</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15205.145121313173</v>
      </c>
      <c r="M67" s="97">
        <f ca="1">MIN( CHOOSE(Opcion.Abono, _Capital_Opcion_1, _Capital_Opcion_2, _Capital_Opcion_3) _Actual, _Saldo_Inicial _Actual)</f>
        <v>3052.8907832172408</v>
      </c>
      <c r="N67" s="97">
        <f t="shared" ca="1" si="27"/>
        <v>0</v>
      </c>
      <c r="O67" s="309">
        <f ca="1">MAX( _Capital_Elegida _Actual, _Stopper_Capital _Actual)</f>
        <v>3052.8907832172408</v>
      </c>
      <c r="P67" s="118">
        <f t="shared" ca="1" si="28"/>
        <v>5.4485103351372199</v>
      </c>
      <c r="Q67" s="118">
        <f t="shared" ca="1" si="2"/>
        <v>76.279144691921076</v>
      </c>
      <c r="R67" s="309">
        <f ca="1">Fechas!_Dias_Interes_Pago</f>
        <v>14</v>
      </c>
      <c r="S67" s="20">
        <f t="shared" ca="1" si="29"/>
        <v>76.279144691921076</v>
      </c>
      <c r="T67" s="20">
        <f t="shared" ca="1" si="30"/>
        <v>9.1534973630305281</v>
      </c>
      <c r="U67" s="20">
        <f t="shared" ca="1" si="31"/>
        <v>3138.3234252721923</v>
      </c>
      <c r="V67" s="310">
        <f ca="1">T_Merger!_Salida_Abono_1</f>
        <v>0</v>
      </c>
      <c r="W67" s="20">
        <f t="shared" ca="1" si="32"/>
        <v>12152.254338095932</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5</v>
      </c>
      <c r="AE67" s="14">
        <f t="shared" ca="1" si="35"/>
        <v>48</v>
      </c>
      <c r="AF67" s="14">
        <f t="shared" ca="1" si="36"/>
        <v>5</v>
      </c>
      <c r="AG67" s="14">
        <f ca="1">MIN(_Ciclicas_Remanentes _Actual, _Remanentes _Actual)</f>
        <v>5</v>
      </c>
      <c r="AH67" s="32">
        <f t="shared" ca="1" si="37"/>
        <v>1</v>
      </c>
      <c r="AJ67" s="20">
        <f t="shared" ca="1" si="12"/>
        <v>0</v>
      </c>
      <c r="AK67" s="97">
        <f t="shared" ca="1" si="38"/>
        <v>3138.3234252721923</v>
      </c>
      <c r="AM67" s="97">
        <f ca="1">MAX( _Saldo_Final_Original _Anterior + _Saldo_Ciclico, 0)</f>
        <v>15205.145121313173</v>
      </c>
      <c r="AN67" s="20">
        <f t="shared" ca="1" si="39"/>
        <v>5.4485103351372199</v>
      </c>
      <c r="AO67" s="20">
        <f t="shared" ca="1" si="15"/>
        <v>76.279144691921076</v>
      </c>
      <c r="AP67" s="20">
        <f t="shared" ca="1" si="40"/>
        <v>76.279144691921076</v>
      </c>
      <c r="AQ67" s="20">
        <f t="shared" ca="1" si="41"/>
        <v>0</v>
      </c>
      <c r="AR67" s="335">
        <f ca="1">MAX( ((( _Pago_Fijo - (_Interes_Regular_Original * (1 + Iva.Intereses)) ))), _Stopper_Capital_Original _Actual )</f>
        <v>3052.8907832172408</v>
      </c>
      <c r="AS67" s="97">
        <f ca="1">MAX(_Saldo_Inicial_Original _Actual - _Capital_Original _Actual, 0)</f>
        <v>12152.254338095932</v>
      </c>
      <c r="AT67"/>
      <c r="AU67" s="20">
        <f t="shared" ca="1" si="42"/>
        <v>3052.8907832172408</v>
      </c>
      <c r="AV67" s="20">
        <f t="shared" ca="1" si="43"/>
        <v>3007.4187834142112</v>
      </c>
      <c r="AW67" s="20">
        <f t="shared" ca="1" si="44"/>
        <v>85.432642054951614</v>
      </c>
      <c r="AX67" s="97">
        <f ca="1">IF( AND(_Abono_Anticipado _Anterior = 0, _Ciclicas &lt;&gt; 1 ), _Pago_Proyectado _Anterior, SUM(_Componentes_Pago_Proyectado _Actual))</f>
        <v>3138.3234252721923</v>
      </c>
      <c r="AY67" s="335">
        <f t="shared" ca="1" si="21"/>
        <v>3052.8907832172408</v>
      </c>
      <c r="AZ67" s="335">
        <f t="shared" ca="1" si="22"/>
        <v>3052.8907832172408</v>
      </c>
      <c r="BB67" s="20">
        <f t="shared" ca="1" si="45"/>
        <v>5.4485103351372199</v>
      </c>
      <c r="BC67" s="309">
        <f t="shared" si="46"/>
        <v>14</v>
      </c>
      <c r="BD67" s="20">
        <f t="shared" ca="1" si="47"/>
        <v>76.279144691921076</v>
      </c>
      <c r="BE67" s="97">
        <f t="shared" ca="1" si="48"/>
        <v>3129.1699279091617</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12152.254338095932</v>
      </c>
      <c r="M68" s="97">
        <f ca="1">MIN( CHOOSE(Opcion.Abono, _Capital_Opcion_1, _Capital_Opcion_2, _Capital_Opcion_3) _Actual, _Saldo_Inicial _Actual)</f>
        <v>3070.043958897877</v>
      </c>
      <c r="N68" s="97">
        <f t="shared" ca="1" si="27"/>
        <v>0</v>
      </c>
      <c r="O68" s="309">
        <f ca="1">MAX( _Capital_Elegida _Actual, _Stopper_Capital _Actual)</f>
        <v>3070.043958897877</v>
      </c>
      <c r="P68" s="118">
        <f t="shared" ca="1" si="28"/>
        <v>4.3545578044843758</v>
      </c>
      <c r="Q68" s="118">
        <f t="shared" ca="1" si="2"/>
        <v>60.963809262781261</v>
      </c>
      <c r="R68" s="309">
        <f ca="1">Fechas!_Dias_Interes_Pago</f>
        <v>14</v>
      </c>
      <c r="S68" s="20">
        <f t="shared" ca="1" si="29"/>
        <v>60.963809262781261</v>
      </c>
      <c r="T68" s="20">
        <f t="shared" ca="1" si="30"/>
        <v>7.315657111533751</v>
      </c>
      <c r="U68" s="20">
        <f t="shared" ca="1" si="31"/>
        <v>3138.3234252721918</v>
      </c>
      <c r="V68" s="310">
        <f ca="1">T_Merger!_Salida_Abono_1</f>
        <v>0</v>
      </c>
      <c r="W68" s="20">
        <f t="shared" ca="1" si="32"/>
        <v>9082.2103791980553</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4</v>
      </c>
      <c r="AE68" s="14">
        <f t="shared" ca="1" si="35"/>
        <v>49</v>
      </c>
      <c r="AF68" s="14">
        <f t="shared" ca="1" si="36"/>
        <v>4</v>
      </c>
      <c r="AG68" s="14">
        <f ca="1">MIN(_Ciclicas_Remanentes _Actual, _Remanentes _Actual)</f>
        <v>4</v>
      </c>
      <c r="AH68" s="32">
        <f t="shared" ca="1" si="37"/>
        <v>1</v>
      </c>
      <c r="AJ68" s="20">
        <f t="shared" ca="1" si="12"/>
        <v>0</v>
      </c>
      <c r="AK68" s="97">
        <f t="shared" ca="1" si="38"/>
        <v>3138.3234252721923</v>
      </c>
      <c r="AM68" s="97">
        <f ca="1">MAX( _Saldo_Final_Original _Anterior + _Saldo_Ciclico, 0)</f>
        <v>12152.254338095932</v>
      </c>
      <c r="AN68" s="20">
        <f t="shared" ca="1" si="39"/>
        <v>4.3545578044843758</v>
      </c>
      <c r="AO68" s="20">
        <f t="shared" ca="1" si="15"/>
        <v>60.963809262781261</v>
      </c>
      <c r="AP68" s="20">
        <f t="shared" ca="1" si="40"/>
        <v>60.963809262781261</v>
      </c>
      <c r="AQ68" s="20">
        <f t="shared" ca="1" si="41"/>
        <v>0</v>
      </c>
      <c r="AR68" s="335">
        <f ca="1">MAX( ((( _Pago_Fijo - (_Interes_Regular_Original * (1 + Iva.Intereses)) ))), _Stopper_Capital_Original _Actual )</f>
        <v>3070.043958897877</v>
      </c>
      <c r="AS68" s="97">
        <f ca="1">MAX(_Saldo_Inicial_Original _Actual - _Capital_Original _Actual, 0)</f>
        <v>9082.2103791980553</v>
      </c>
      <c r="AT68"/>
      <c r="AU68" s="20">
        <f t="shared" ca="1" si="42"/>
        <v>3070.043958897877</v>
      </c>
      <c r="AV68" s="20">
        <f t="shared" ca="1" si="43"/>
        <v>3012.8570973771825</v>
      </c>
      <c r="AW68" s="20">
        <f t="shared" ca="1" si="44"/>
        <v>68.279466374315007</v>
      </c>
      <c r="AX68" s="97">
        <f ca="1">IF( AND(_Abono_Anticipado _Anterior = 0, _Ciclicas &lt;&gt; 1 ), _Pago_Proyectado _Anterior, SUM(_Componentes_Pago_Proyectado _Actual))</f>
        <v>3138.3234252721923</v>
      </c>
      <c r="AY68" s="335">
        <f t="shared" ca="1" si="21"/>
        <v>3070.043958897877</v>
      </c>
      <c r="AZ68" s="335">
        <f t="shared" ca="1" si="22"/>
        <v>3070.043958897877</v>
      </c>
      <c r="BB68" s="20">
        <f t="shared" ca="1" si="45"/>
        <v>4.3545578044843758</v>
      </c>
      <c r="BC68" s="309">
        <f t="shared" si="46"/>
        <v>14</v>
      </c>
      <c r="BD68" s="20">
        <f t="shared" ca="1" si="47"/>
        <v>60.963809262781261</v>
      </c>
      <c r="BE68" s="97">
        <f t="shared" ca="1" si="48"/>
        <v>3131.0077681606581</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9082.2103791980553</v>
      </c>
      <c r="M69" s="97">
        <f ca="1">MIN( CHOOSE(Opcion.Abono, _Capital_Opcion_1, _Capital_Opcion_2, _Capital_Opcion_3) _Actual, _Saldo_Inicial _Actual)</f>
        <v>3087.2935125549379</v>
      </c>
      <c r="N69" s="97">
        <f t="shared" ca="1" si="27"/>
        <v>0</v>
      </c>
      <c r="O69" s="309">
        <f ca="1">MAX( _Capital_Elegida _Actual, _Stopper_Capital _Actual)</f>
        <v>3087.2935125549379</v>
      </c>
      <c r="P69" s="118">
        <f t="shared" ca="1" si="28"/>
        <v>3.2544587192126366</v>
      </c>
      <c r="Q69" s="118">
        <f t="shared" ca="1" si="2"/>
        <v>45.562422068976915</v>
      </c>
      <c r="R69" s="309">
        <f ca="1">Fechas!_Dias_Interes_Pago</f>
        <v>14</v>
      </c>
      <c r="S69" s="20">
        <f t="shared" ca="1" si="29"/>
        <v>45.562422068976915</v>
      </c>
      <c r="T69" s="20">
        <f t="shared" ca="1" si="30"/>
        <v>5.4674906482772299</v>
      </c>
      <c r="U69" s="20">
        <f t="shared" ca="1" si="31"/>
        <v>3138.3234252721923</v>
      </c>
      <c r="V69" s="310">
        <f ca="1">T_Merger!_Salida_Abono_1</f>
        <v>0</v>
      </c>
      <c r="W69" s="20">
        <f t="shared" ca="1" si="32"/>
        <v>5994.9168666431178</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3</v>
      </c>
      <c r="AE69" s="14">
        <f t="shared" ca="1" si="35"/>
        <v>50</v>
      </c>
      <c r="AF69" s="14">
        <f t="shared" ca="1" si="36"/>
        <v>3</v>
      </c>
      <c r="AG69" s="14">
        <f ca="1">MIN(_Ciclicas_Remanentes _Actual, _Remanentes _Actual)</f>
        <v>3</v>
      </c>
      <c r="AH69" s="32">
        <f t="shared" ca="1" si="37"/>
        <v>1</v>
      </c>
      <c r="AJ69" s="20">
        <f t="shared" ca="1" si="12"/>
        <v>0</v>
      </c>
      <c r="AK69" s="97">
        <f t="shared" ca="1" si="38"/>
        <v>3138.3234252721923</v>
      </c>
      <c r="AM69" s="97">
        <f ca="1">MAX( _Saldo_Final_Original _Anterior + _Saldo_Ciclico, 0)</f>
        <v>9082.2103791980553</v>
      </c>
      <c r="AN69" s="20">
        <f t="shared" ca="1" si="39"/>
        <v>3.2544587192126366</v>
      </c>
      <c r="AO69" s="20">
        <f t="shared" ca="1" si="15"/>
        <v>45.562422068976915</v>
      </c>
      <c r="AP69" s="20">
        <f t="shared" ca="1" si="40"/>
        <v>45.562422068976915</v>
      </c>
      <c r="AQ69" s="20">
        <f t="shared" ca="1" si="41"/>
        <v>0</v>
      </c>
      <c r="AR69" s="335">
        <f ca="1">MAX( ((( _Pago_Fijo - (_Interes_Regular_Original * (1 + Iva.Intereses)) ))), _Stopper_Capital_Original _Actual )</f>
        <v>3087.2935125549379</v>
      </c>
      <c r="AS69" s="97">
        <f ca="1">MAX(_Saldo_Inicial_Original _Actual - _Capital_Original _Actual, 0)</f>
        <v>5994.9168666431178</v>
      </c>
      <c r="AT69"/>
      <c r="AU69" s="20">
        <f t="shared" ca="1" si="42"/>
        <v>3087.2935125549379</v>
      </c>
      <c r="AV69" s="20">
        <f t="shared" ca="1" si="43"/>
        <v>3010.6425616660536</v>
      </c>
      <c r="AW69" s="20">
        <f t="shared" ca="1" si="44"/>
        <v>51.029912717254142</v>
      </c>
      <c r="AX69" s="97">
        <f ca="1">IF( AND(_Abono_Anticipado _Anterior = 0, _Ciclicas &lt;&gt; 1 ), _Pago_Proyectado _Anterior, SUM(_Componentes_Pago_Proyectado _Actual))</f>
        <v>3138.3234252721923</v>
      </c>
      <c r="AY69" s="335">
        <f t="shared" ca="1" si="21"/>
        <v>3087.2935125549379</v>
      </c>
      <c r="AZ69" s="335">
        <f t="shared" ca="1" si="22"/>
        <v>3087.2935125549379</v>
      </c>
      <c r="BB69" s="20">
        <f t="shared" ca="1" si="45"/>
        <v>3.2544587192126366</v>
      </c>
      <c r="BC69" s="309">
        <f t="shared" si="46"/>
        <v>14</v>
      </c>
      <c r="BD69" s="20">
        <f t="shared" ca="1" si="47"/>
        <v>45.562422068976915</v>
      </c>
      <c r="BE69" s="97">
        <f t="shared" ca="1" si="48"/>
        <v>3132.8559346239149</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5994.9168666431178</v>
      </c>
      <c r="M70" s="97">
        <f ca="1">MIN( CHOOSE(Opcion.Abono, _Capital_Opcion_1, _Capital_Opcion_2, _Capital_Opcion_3) _Actual, _Saldo_Inicial _Actual)</f>
        <v>3104.639985704147</v>
      </c>
      <c r="N70" s="97">
        <f t="shared" ca="1" si="27"/>
        <v>0</v>
      </c>
      <c r="O70" s="309">
        <f ca="1">MAX( _Capital_Elegida _Actual, _Stopper_Capital _Actual)</f>
        <v>3104.639985704147</v>
      </c>
      <c r="P70" s="118">
        <f t="shared" ca="1" si="28"/>
        <v>2.1481785438804506</v>
      </c>
      <c r="Q70" s="118">
        <f t="shared" ca="1" si="2"/>
        <v>30.074499614326307</v>
      </c>
      <c r="R70" s="309">
        <f ca="1">Fechas!_Dias_Interes_Pago</f>
        <v>14</v>
      </c>
      <c r="S70" s="20">
        <f t="shared" ca="1" si="29"/>
        <v>30.074499614326307</v>
      </c>
      <c r="T70" s="20">
        <f t="shared" ca="1" si="30"/>
        <v>3.6089399537191564</v>
      </c>
      <c r="U70" s="20">
        <f t="shared" ca="1" si="31"/>
        <v>3138.3234252721923</v>
      </c>
      <c r="V70" s="310">
        <f ca="1">T_Merger!_Salida_Abono_1</f>
        <v>0</v>
      </c>
      <c r="W70" s="20">
        <f t="shared" ca="1" si="32"/>
        <v>2890.2768809389709</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2</v>
      </c>
      <c r="AE70" s="14">
        <f t="shared" ca="1" si="35"/>
        <v>51</v>
      </c>
      <c r="AF70" s="14">
        <f t="shared" ca="1" si="36"/>
        <v>2</v>
      </c>
      <c r="AG70" s="14">
        <f ca="1">MIN(_Ciclicas_Remanentes _Actual, _Remanentes _Actual)</f>
        <v>2</v>
      </c>
      <c r="AH70" s="32">
        <f t="shared" ca="1" si="37"/>
        <v>1</v>
      </c>
      <c r="AJ70" s="20">
        <f t="shared" ca="1" si="12"/>
        <v>0</v>
      </c>
      <c r="AK70" s="97">
        <f t="shared" ca="1" si="38"/>
        <v>3138.3234252721923</v>
      </c>
      <c r="AM70" s="97">
        <f ca="1">MAX( _Saldo_Final_Original _Anterior + _Saldo_Ciclico, 0)</f>
        <v>5994.9168666431178</v>
      </c>
      <c r="AN70" s="20">
        <f t="shared" ca="1" si="39"/>
        <v>2.1481785438804506</v>
      </c>
      <c r="AO70" s="20">
        <f t="shared" ca="1" si="15"/>
        <v>30.074499614326307</v>
      </c>
      <c r="AP70" s="20">
        <f t="shared" ca="1" si="40"/>
        <v>30.074499614326307</v>
      </c>
      <c r="AQ70" s="20">
        <f t="shared" ca="1" si="41"/>
        <v>0</v>
      </c>
      <c r="AR70" s="335">
        <f ca="1">MAX( ((( _Pago_Fijo - (_Interes_Regular_Original * (1 + Iva.Intereses)) ))), _Stopper_Capital_Original _Actual )</f>
        <v>3104.639985704147</v>
      </c>
      <c r="AS70" s="97">
        <f ca="1">MAX(_Saldo_Inicial_Original _Actual - _Capital_Original _Actual, 0)</f>
        <v>2890.2768809389709</v>
      </c>
      <c r="AT70"/>
      <c r="AU70" s="20">
        <f t="shared" ca="1" si="42"/>
        <v>3104.639985704147</v>
      </c>
      <c r="AV70" s="20">
        <f t="shared" ca="1" si="43"/>
        <v>2989.1531861612684</v>
      </c>
      <c r="AW70" s="20">
        <f t="shared" ca="1" si="44"/>
        <v>33.683439568045465</v>
      </c>
      <c r="AX70" s="97">
        <f ca="1">IF( AND(_Abono_Anticipado _Anterior = 0, _Ciclicas &lt;&gt; 1 ), _Pago_Proyectado _Anterior, SUM(_Componentes_Pago_Proyectado _Actual))</f>
        <v>3138.3234252721923</v>
      </c>
      <c r="AY70" s="335">
        <f t="shared" ca="1" si="21"/>
        <v>3104.639985704147</v>
      </c>
      <c r="AZ70" s="335">
        <f t="shared" ca="1" si="22"/>
        <v>3104.639985704147</v>
      </c>
      <c r="BB70" s="20">
        <f t="shared" ca="1" si="45"/>
        <v>2.1481785438804506</v>
      </c>
      <c r="BC70" s="309">
        <f t="shared" si="46"/>
        <v>14</v>
      </c>
      <c r="BD70" s="20">
        <f t="shared" ca="1" si="47"/>
        <v>30.074499614326307</v>
      </c>
      <c r="BE70" s="97">
        <f t="shared" ca="1" si="48"/>
        <v>3134.7144853184732</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2890.2768809389709</v>
      </c>
      <c r="M71" s="97">
        <f ca="1">MIN( CHOOSE(Opcion.Abono, _Capital_Opcion_1, _Capital_Opcion_2, _Capital_Opcion_3) _Actual, _Saldo_Inicial _Actual)</f>
        <v>2890.2768809389709</v>
      </c>
      <c r="N71" s="97">
        <f t="shared" ca="1" si="27"/>
        <v>2890.2768809389709</v>
      </c>
      <c r="O71" s="309">
        <f ca="1">MAX( _Capital_Elegida _Actual, _Stopper_Capital _Actual)</f>
        <v>2890.2768809389709</v>
      </c>
      <c r="P71" s="118">
        <f t="shared" ca="1" si="28"/>
        <v>1.0356825490031312</v>
      </c>
      <c r="Q71" s="118">
        <f t="shared" ca="1" si="2"/>
        <v>14.499555686043836</v>
      </c>
      <c r="R71" s="309">
        <f ca="1">Fechas!_Dias_Interes_Pago</f>
        <v>14</v>
      </c>
      <c r="S71" s="20">
        <f t="shared" ca="1" si="29"/>
        <v>14.499555686043836</v>
      </c>
      <c r="T71" s="20">
        <f t="shared" ca="1" si="30"/>
        <v>1.7399466823252603</v>
      </c>
      <c r="U71" s="20">
        <f t="shared" ca="1" si="31"/>
        <v>2906.5163833073402</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1</v>
      </c>
      <c r="AE71" s="14">
        <f t="shared" ca="1" si="35"/>
        <v>52</v>
      </c>
      <c r="AF71" s="14">
        <f t="shared" ca="1" si="36"/>
        <v>1</v>
      </c>
      <c r="AG71" s="14">
        <f ca="1">MIN(_Ciclicas_Remanentes _Actual, _Remanentes _Actual)</f>
        <v>1</v>
      </c>
      <c r="AH71" s="32">
        <f t="shared" ca="1" si="37"/>
        <v>1</v>
      </c>
      <c r="AJ71" s="20">
        <f t="shared" ca="1" si="12"/>
        <v>0</v>
      </c>
      <c r="AK71" s="97">
        <f t="shared" ca="1" si="38"/>
        <v>3138.3234252721923</v>
      </c>
      <c r="AM71" s="97">
        <f ca="1">MAX( _Saldo_Final_Original _Anterior + _Saldo_Ciclico, 0)</f>
        <v>2890.2768809389709</v>
      </c>
      <c r="AN71" s="20">
        <f t="shared" ca="1" si="39"/>
        <v>1.0356825490031312</v>
      </c>
      <c r="AO71" s="20">
        <f t="shared" ca="1" si="15"/>
        <v>14.499555686043836</v>
      </c>
      <c r="AP71" s="20">
        <f t="shared" ca="1" si="40"/>
        <v>14.499555686043836</v>
      </c>
      <c r="AQ71" s="20">
        <f t="shared" ca="1" si="41"/>
        <v>2890.2768809389709</v>
      </c>
      <c r="AR71" s="335">
        <f ca="1">MAX( ((( _Pago_Fijo - (_Interes_Regular_Original * (1 + Iva.Intereses)) ))), _Stopper_Capital_Original _Actual )</f>
        <v>3122.0839229038233</v>
      </c>
      <c r="AS71" s="97">
        <f ca="1">MAX(_Saldo_Inicial_Original _Actual - _Capital_Original _Actual, 0)</f>
        <v>0</v>
      </c>
      <c r="AT71"/>
      <c r="AU71" s="20">
        <f t="shared" ca="1" si="42"/>
        <v>3122.0839229038233</v>
      </c>
      <c r="AV71" s="20">
        <f t="shared" ca="1" si="43"/>
        <v>2890.2768809390036</v>
      </c>
      <c r="AW71" s="20">
        <f t="shared" ca="1" si="44"/>
        <v>16.239502368369099</v>
      </c>
      <c r="AX71" s="97">
        <f ca="1">IF( AND(_Abono_Anticipado _Anterior = 0, _Ciclicas &lt;&gt; 1 ), _Pago_Proyectado _Anterior, SUM(_Componentes_Pago_Proyectado _Actual))</f>
        <v>3138.3234252721923</v>
      </c>
      <c r="AY71" s="335">
        <f t="shared" ca="1" si="21"/>
        <v>3122.0839229038233</v>
      </c>
      <c r="AZ71" s="335">
        <f t="shared" ca="1" si="22"/>
        <v>3122.0839229038233</v>
      </c>
      <c r="BB71" s="20">
        <f t="shared" ca="1" si="45"/>
        <v>1.0356825490031312</v>
      </c>
      <c r="BC71" s="309">
        <f t="shared" si="46"/>
        <v>14</v>
      </c>
      <c r="BD71" s="20">
        <f t="shared" ca="1" si="47"/>
        <v>14.499555686043836</v>
      </c>
      <c r="BE71" s="97">
        <f t="shared" ca="1" si="48"/>
        <v>3136.5834785898674</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14</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1</v>
      </c>
      <c r="AF72" s="14">
        <f t="shared" ca="1" si="36"/>
        <v>52</v>
      </c>
      <c r="AG72" s="14">
        <f ca="1">MIN(_Ciclicas_Remanentes _Actual, _Remanentes _Actual)</f>
        <v>0</v>
      </c>
      <c r="AH72" s="32">
        <f t="shared" ca="1" si="37"/>
        <v>2</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14</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14</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2</v>
      </c>
      <c r="AF73" s="14">
        <f t="shared" ca="1" si="36"/>
        <v>51</v>
      </c>
      <c r="AG73" s="14">
        <f ca="1">MIN(_Ciclicas_Remanentes _Actual, _Remanentes _Actual)</f>
        <v>0</v>
      </c>
      <c r="AH73" s="32">
        <f t="shared" ca="1" si="37"/>
        <v>2</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14</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14</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3</v>
      </c>
      <c r="AF74" s="14">
        <f t="shared" ca="1" si="36"/>
        <v>50</v>
      </c>
      <c r="AG74" s="14">
        <f ca="1">MIN(_Ciclicas_Remanentes _Actual, _Remanentes _Actual)</f>
        <v>0</v>
      </c>
      <c r="AH74" s="32">
        <f t="shared" ca="1" si="37"/>
        <v>2</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14</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14</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4</v>
      </c>
      <c r="AF75" s="14">
        <f t="shared" ca="1" si="36"/>
        <v>49</v>
      </c>
      <c r="AG75" s="14">
        <f ca="1">MIN(_Ciclicas_Remanentes _Actual, _Remanentes _Actual)</f>
        <v>0</v>
      </c>
      <c r="AH75" s="32">
        <f t="shared" ca="1" si="37"/>
        <v>2</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14</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14</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5</v>
      </c>
      <c r="AF76" s="14">
        <f t="shared" ca="1" si="36"/>
        <v>48</v>
      </c>
      <c r="AG76" s="14">
        <f ca="1">MIN(_Ciclicas_Remanentes _Actual, _Remanentes _Actual)</f>
        <v>0</v>
      </c>
      <c r="AH76" s="32">
        <f t="shared" ca="1" si="37"/>
        <v>2</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14</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14</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6</v>
      </c>
      <c r="AF77" s="14">
        <f t="shared" ca="1" si="36"/>
        <v>47</v>
      </c>
      <c r="AG77" s="14">
        <f ca="1">MIN(_Ciclicas_Remanentes _Actual, _Remanentes _Actual)</f>
        <v>0</v>
      </c>
      <c r="AH77" s="32">
        <f t="shared" ca="1" si="37"/>
        <v>2</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14</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14</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7</v>
      </c>
      <c r="AF78" s="14">
        <f t="shared" ca="1" si="36"/>
        <v>46</v>
      </c>
      <c r="AG78" s="14">
        <f ca="1">MIN(_Ciclicas_Remanentes _Actual, _Remanentes _Actual)</f>
        <v>0</v>
      </c>
      <c r="AH78" s="32">
        <f t="shared" ca="1" si="37"/>
        <v>2</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14</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14</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8</v>
      </c>
      <c r="AF79" s="14">
        <f ca="1" xml:space="preserve"> Periodos.Por.Ciclo - _Ciclicas + 1</f>
        <v>45</v>
      </c>
      <c r="AG79" s="14">
        <f ca="1">MIN(_Ciclicas_Remanentes _Actual, _Remanentes _Actual)</f>
        <v>0</v>
      </c>
      <c r="AH79" s="32">
        <f ca="1">INT(( _Amortizacion - 1 ) / Periodos.Por.Ciclo ) + 1</f>
        <v>2</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14</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3" t="s">
        <v>59</v>
      </c>
      <c r="Z14" s="953"/>
      <c r="AA14" s="953"/>
      <c r="AB14" s="953"/>
      <c r="AD14" s="959" t="s">
        <v>72</v>
      </c>
      <c r="AE14" s="960"/>
      <c r="AF14" s="960"/>
      <c r="AG14" s="960"/>
      <c r="AH14" s="961"/>
      <c r="AJ14" s="959" t="s">
        <v>1722</v>
      </c>
      <c r="AK14" s="961"/>
      <c r="AM14" s="953" t="s">
        <v>64</v>
      </c>
      <c r="AN14" s="953"/>
      <c r="AO14" s="953"/>
      <c r="AP14" s="953"/>
      <c r="AQ14" s="953"/>
      <c r="AR14" s="953"/>
      <c r="AS14" s="953"/>
      <c r="AT14"/>
      <c r="AU14" s="959" t="s">
        <v>1727</v>
      </c>
      <c r="AV14" s="960"/>
      <c r="AW14" s="960"/>
      <c r="AX14" s="960"/>
      <c r="AY14" s="960"/>
      <c r="AZ14" s="961"/>
      <c r="BB14" s="959" t="s">
        <v>1713</v>
      </c>
      <c r="BC14" s="960"/>
      <c r="BD14" s="960"/>
      <c r="BE14" s="961"/>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4.9615384615384617E-3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14</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26</v>
      </c>
      <c r="E19" s="289" t="s">
        <v>54</v>
      </c>
      <c r="F19" s="274">
        <f ca="1" xml:space="preserve"> Tasa.Diaria * Dias.Por.Periodo</f>
        <v>5.0166666666666667E-3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52</v>
      </c>
      <c r="E20" s="290" t="s">
        <v>53</v>
      </c>
      <c r="F20" s="116">
        <f ca="1">IF( Tabla.Ciclica.Anual?, Periodos.Por.Año, Numero.Pagos )</f>
        <v>26</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 ca="1">Fechas!_Dias_Interes_Pago</f>
        <v>14</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52</v>
      </c>
      <c r="AE20" s="14">
        <f t="shared" ref="AE20:AE51" ca="1" si="9">MOD( _Amortizacion - 1, Periodos.Por.Ciclo ) + 1</f>
        <v>1</v>
      </c>
      <c r="AF20" s="14">
        <f t="shared" ref="AF20:AF51" ca="1" si="10" xml:space="preserve"> Periodos.Por.Ciclo - _Ciclicas + 1</f>
        <v>26</v>
      </c>
      <c r="AG20" s="14">
        <f ca="1">MIN(_Ciclicas_Remanentes _Actual, _Remanentes _Actual)</f>
        <v>26</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14</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 ca="1">Fechas!_Dias_Interes_Pago</f>
        <v>14</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51</v>
      </c>
      <c r="AE21" s="14">
        <f t="shared" ca="1" si="9"/>
        <v>2</v>
      </c>
      <c r="AF21" s="14">
        <f t="shared" ca="1" si="10"/>
        <v>25</v>
      </c>
      <c r="AG21" s="14">
        <f ca="1">MIN(_Ciclicas_Remanentes _Actual, _Remanentes _Actual)</f>
        <v>25</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14</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 ca="1">Fechas!_Dias_Interes_Pago</f>
        <v>14</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50</v>
      </c>
      <c r="AE22" s="14">
        <f t="shared" ca="1" si="9"/>
        <v>3</v>
      </c>
      <c r="AF22" s="14">
        <f t="shared" ca="1" si="10"/>
        <v>24</v>
      </c>
      <c r="AG22" s="14">
        <f ca="1">MIN(_Ciclicas_Remanentes _Actual, _Remanentes _Actual)</f>
        <v>24</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14</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 ca="1">Fechas!_Dias_Interes_Pago</f>
        <v>14</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49</v>
      </c>
      <c r="AE23" s="14">
        <f t="shared" ca="1" si="9"/>
        <v>4</v>
      </c>
      <c r="AF23" s="14">
        <f t="shared" ca="1" si="10"/>
        <v>23</v>
      </c>
      <c r="AG23" s="14">
        <f ca="1">MIN(_Ciclicas_Remanentes _Actual, _Remanentes _Actual)</f>
        <v>23</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14</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 ca="1">Fechas!_Dias_Interes_Pago</f>
        <v>14</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48</v>
      </c>
      <c r="AE24" s="14">
        <f t="shared" ca="1" si="9"/>
        <v>5</v>
      </c>
      <c r="AF24" s="14">
        <f t="shared" ca="1" si="10"/>
        <v>22</v>
      </c>
      <c r="AG24" s="14">
        <f ca="1">MIN(_Ciclicas_Remanentes _Actual, _Remanentes _Actual)</f>
        <v>22</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14</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 ca="1">Fechas!_Dias_Interes_Pago</f>
        <v>14</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47</v>
      </c>
      <c r="AE25" s="14">
        <f t="shared" ca="1" si="9"/>
        <v>6</v>
      </c>
      <c r="AF25" s="14">
        <f t="shared" ca="1" si="10"/>
        <v>21</v>
      </c>
      <c r="AG25" s="14">
        <f ca="1">MIN(_Ciclicas_Remanentes _Actual, _Remanentes _Actual)</f>
        <v>21</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14</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 ca="1">Fechas!_Dias_Interes_Pago</f>
        <v>14</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46</v>
      </c>
      <c r="AE26" s="14">
        <f t="shared" ca="1" si="9"/>
        <v>7</v>
      </c>
      <c r="AF26" s="14">
        <f t="shared" ca="1" si="10"/>
        <v>20</v>
      </c>
      <c r="AG26" s="14">
        <f ca="1">MIN(_Ciclicas_Remanentes _Actual, _Remanentes _Actual)</f>
        <v>20</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14</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 ca="1">Fechas!_Dias_Interes_Pago</f>
        <v>14</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45</v>
      </c>
      <c r="AE27" s="14">
        <f t="shared" ca="1" si="9"/>
        <v>8</v>
      </c>
      <c r="AF27" s="14">
        <f t="shared" ca="1" si="10"/>
        <v>19</v>
      </c>
      <c r="AG27" s="14">
        <f ca="1">MIN(_Ciclicas_Remanentes _Actual, _Remanentes _Actual)</f>
        <v>19</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14</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 ca="1">Fechas!_Dias_Interes_Pago</f>
        <v>14</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44</v>
      </c>
      <c r="AE28" s="14">
        <f t="shared" ca="1" si="9"/>
        <v>9</v>
      </c>
      <c r="AF28" s="14">
        <f t="shared" ca="1" si="10"/>
        <v>18</v>
      </c>
      <c r="AG28" s="14">
        <f ca="1">MIN(_Ciclicas_Remanentes _Actual, _Remanentes _Actual)</f>
        <v>18</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14</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 ca="1">Fechas!_Dias_Interes_Pago</f>
        <v>14</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43</v>
      </c>
      <c r="AE29" s="14">
        <f t="shared" ca="1" si="9"/>
        <v>10</v>
      </c>
      <c r="AF29" s="14">
        <f t="shared" ca="1" si="10"/>
        <v>17</v>
      </c>
      <c r="AG29" s="14">
        <f ca="1">MIN(_Ciclicas_Remanentes _Actual, _Remanentes _Actual)</f>
        <v>17</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14</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 ca="1">Fechas!_Dias_Interes_Pago</f>
        <v>14</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42</v>
      </c>
      <c r="AE30" s="14">
        <f t="shared" ca="1" si="9"/>
        <v>11</v>
      </c>
      <c r="AF30" s="14">
        <f t="shared" ca="1" si="10"/>
        <v>16</v>
      </c>
      <c r="AG30" s="14">
        <f ca="1">MIN(_Ciclicas_Remanentes _Actual, _Remanentes _Actual)</f>
        <v>16</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14</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 ca="1">Fechas!_Dias_Interes_Pago</f>
        <v>14</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41</v>
      </c>
      <c r="AE31" s="14">
        <f t="shared" ca="1" si="9"/>
        <v>12</v>
      </c>
      <c r="AF31" s="14">
        <f t="shared" ca="1" si="10"/>
        <v>15</v>
      </c>
      <c r="AG31" s="14">
        <f ca="1">MIN(_Ciclicas_Remanentes _Actual, _Remanentes _Actual)</f>
        <v>15</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14</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14</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40</v>
      </c>
      <c r="AE32" s="14">
        <f t="shared" ca="1" si="9"/>
        <v>13</v>
      </c>
      <c r="AF32" s="14">
        <f t="shared" ca="1" si="10"/>
        <v>14</v>
      </c>
      <c r="AG32" s="14">
        <f ca="1">MIN(_Ciclicas_Remanentes _Actual, _Remanentes _Actual)</f>
        <v>14</v>
      </c>
      <c r="AH32" s="32">
        <f t="shared" ca="1" si="11"/>
        <v>1</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14</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14</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39</v>
      </c>
      <c r="AE33" s="14">
        <f t="shared" ca="1" si="9"/>
        <v>14</v>
      </c>
      <c r="AF33" s="14">
        <f t="shared" ca="1" si="10"/>
        <v>13</v>
      </c>
      <c r="AG33" s="14">
        <f ca="1">MIN(_Ciclicas_Remanentes _Actual, _Remanentes _Actual)</f>
        <v>13</v>
      </c>
      <c r="AH33" s="32">
        <f t="shared" ca="1" si="11"/>
        <v>1</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14</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14</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38</v>
      </c>
      <c r="AE34" s="14">
        <f t="shared" ca="1" si="9"/>
        <v>15</v>
      </c>
      <c r="AF34" s="14">
        <f t="shared" ca="1" si="10"/>
        <v>12</v>
      </c>
      <c r="AG34" s="14">
        <f ca="1">MIN(_Ciclicas_Remanentes _Actual, _Remanentes _Actual)</f>
        <v>12</v>
      </c>
      <c r="AH34" s="32">
        <f t="shared" ca="1" si="11"/>
        <v>1</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14</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14</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37</v>
      </c>
      <c r="AE35" s="14">
        <f t="shared" ca="1" si="9"/>
        <v>16</v>
      </c>
      <c r="AF35" s="14">
        <f t="shared" ca="1" si="10"/>
        <v>11</v>
      </c>
      <c r="AG35" s="14">
        <f ca="1">MIN(_Ciclicas_Remanentes _Actual, _Remanentes _Actual)</f>
        <v>11</v>
      </c>
      <c r="AH35" s="32">
        <f t="shared" ca="1" si="11"/>
        <v>1</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14</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14</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36</v>
      </c>
      <c r="AE36" s="14">
        <f t="shared" ca="1" si="9"/>
        <v>17</v>
      </c>
      <c r="AF36" s="14">
        <f t="shared" ca="1" si="10"/>
        <v>10</v>
      </c>
      <c r="AG36" s="14">
        <f ca="1">MIN(_Ciclicas_Remanentes _Actual, _Remanentes _Actual)</f>
        <v>10</v>
      </c>
      <c r="AH36" s="32">
        <f t="shared" ca="1" si="11"/>
        <v>1</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14</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14</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35</v>
      </c>
      <c r="AE37" s="14">
        <f t="shared" ca="1" si="9"/>
        <v>18</v>
      </c>
      <c r="AF37" s="14">
        <f t="shared" ca="1" si="10"/>
        <v>9</v>
      </c>
      <c r="AG37" s="14">
        <f ca="1">MIN(_Ciclicas_Remanentes _Actual, _Remanentes _Actual)</f>
        <v>9</v>
      </c>
      <c r="AH37" s="32">
        <f t="shared" ca="1" si="11"/>
        <v>1</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14</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14</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34</v>
      </c>
      <c r="AE38" s="14">
        <f t="shared" ca="1" si="9"/>
        <v>19</v>
      </c>
      <c r="AF38" s="14">
        <f t="shared" ca="1" si="10"/>
        <v>8</v>
      </c>
      <c r="AG38" s="14">
        <f ca="1">MIN(_Ciclicas_Remanentes _Actual, _Remanentes _Actual)</f>
        <v>8</v>
      </c>
      <c r="AH38" s="32">
        <f t="shared" ca="1" si="11"/>
        <v>1</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14</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14</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33</v>
      </c>
      <c r="AE39" s="14">
        <f t="shared" ca="1" si="9"/>
        <v>20</v>
      </c>
      <c r="AF39" s="14">
        <f t="shared" ca="1" si="10"/>
        <v>7</v>
      </c>
      <c r="AG39" s="14">
        <f ca="1">MIN(_Ciclicas_Remanentes _Actual, _Remanentes _Actual)</f>
        <v>7</v>
      </c>
      <c r="AH39" s="32">
        <f t="shared" ca="1" si="11"/>
        <v>1</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14</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14</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32</v>
      </c>
      <c r="AE40" s="14">
        <f t="shared" ca="1" si="9"/>
        <v>21</v>
      </c>
      <c r="AF40" s="14">
        <f t="shared" ca="1" si="10"/>
        <v>6</v>
      </c>
      <c r="AG40" s="14">
        <f ca="1">MIN(_Ciclicas_Remanentes _Actual, _Remanentes _Actual)</f>
        <v>6</v>
      </c>
      <c r="AH40" s="32">
        <f t="shared" ca="1" si="11"/>
        <v>1</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14</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14</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31</v>
      </c>
      <c r="AE41" s="14">
        <f t="shared" ca="1" si="9"/>
        <v>22</v>
      </c>
      <c r="AF41" s="14">
        <f t="shared" ca="1" si="10"/>
        <v>5</v>
      </c>
      <c r="AG41" s="14">
        <f ca="1">MIN(_Ciclicas_Remanentes _Actual, _Remanentes _Actual)</f>
        <v>5</v>
      </c>
      <c r="AH41" s="32">
        <f t="shared" ca="1" si="11"/>
        <v>1</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14</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14</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30</v>
      </c>
      <c r="AE42" s="14">
        <f t="shared" ca="1" si="9"/>
        <v>23</v>
      </c>
      <c r="AF42" s="14">
        <f t="shared" ca="1" si="10"/>
        <v>4</v>
      </c>
      <c r="AG42" s="14">
        <f ca="1">MIN(_Ciclicas_Remanentes _Actual, _Remanentes _Actual)</f>
        <v>4</v>
      </c>
      <c r="AH42" s="32">
        <f t="shared" ca="1" si="11"/>
        <v>1</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14</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14</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29</v>
      </c>
      <c r="AE43" s="14">
        <f t="shared" ca="1" si="9"/>
        <v>24</v>
      </c>
      <c r="AF43" s="14">
        <f t="shared" ca="1" si="10"/>
        <v>3</v>
      </c>
      <c r="AG43" s="14">
        <f ca="1">MIN(_Ciclicas_Remanentes _Actual, _Remanentes _Actual)</f>
        <v>3</v>
      </c>
      <c r="AH43" s="32">
        <f t="shared" ca="1" si="11"/>
        <v>1</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14</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14</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28</v>
      </c>
      <c r="AE44" s="14">
        <f t="shared" ca="1" si="9"/>
        <v>25</v>
      </c>
      <c r="AF44" s="14">
        <f t="shared" ca="1" si="10"/>
        <v>2</v>
      </c>
      <c r="AG44" s="14">
        <f ca="1">MIN(_Ciclicas_Remanentes _Actual, _Remanentes _Actual)</f>
        <v>2</v>
      </c>
      <c r="AH44" s="32">
        <f t="shared" ca="1" si="11"/>
        <v>1</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14</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14</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27</v>
      </c>
      <c r="AE45" s="14">
        <f t="shared" ca="1" si="9"/>
        <v>26</v>
      </c>
      <c r="AF45" s="14">
        <f t="shared" ca="1" si="10"/>
        <v>1</v>
      </c>
      <c r="AG45" s="14">
        <f ca="1">MIN(_Ciclicas_Remanentes _Actual, _Remanentes _Actual)</f>
        <v>1</v>
      </c>
      <c r="AH45" s="32">
        <f t="shared" ca="1" si="11"/>
        <v>1</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14</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14</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26</v>
      </c>
      <c r="AE46" s="14">
        <f t="shared" ca="1" si="9"/>
        <v>1</v>
      </c>
      <c r="AF46" s="14">
        <f t="shared" ca="1" si="10"/>
        <v>26</v>
      </c>
      <c r="AG46" s="14">
        <f ca="1">MIN(_Ciclicas_Remanentes _Actual, _Remanentes _Actual)</f>
        <v>26</v>
      </c>
      <c r="AH46" s="32">
        <f t="shared" ca="1" si="11"/>
        <v>2</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14</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14</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25</v>
      </c>
      <c r="AE47" s="14">
        <f t="shared" ca="1" si="9"/>
        <v>2</v>
      </c>
      <c r="AF47" s="14">
        <f t="shared" ca="1" si="10"/>
        <v>25</v>
      </c>
      <c r="AG47" s="14">
        <f ca="1">MIN(_Ciclicas_Remanentes _Actual, _Remanentes _Actual)</f>
        <v>25</v>
      </c>
      <c r="AH47" s="32">
        <f t="shared" ca="1" si="11"/>
        <v>2</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14</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14</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24</v>
      </c>
      <c r="AE48" s="14">
        <f t="shared" ca="1" si="9"/>
        <v>3</v>
      </c>
      <c r="AF48" s="14">
        <f t="shared" ca="1" si="10"/>
        <v>24</v>
      </c>
      <c r="AG48" s="14">
        <f ca="1">MIN(_Ciclicas_Remanentes _Actual, _Remanentes _Actual)</f>
        <v>24</v>
      </c>
      <c r="AH48" s="32">
        <f t="shared" ca="1" si="11"/>
        <v>2</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14</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14</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23</v>
      </c>
      <c r="AE49" s="14">
        <f t="shared" ca="1" si="9"/>
        <v>4</v>
      </c>
      <c r="AF49" s="14">
        <f t="shared" ca="1" si="10"/>
        <v>23</v>
      </c>
      <c r="AG49" s="14">
        <f ca="1">MIN(_Ciclicas_Remanentes _Actual, _Remanentes _Actual)</f>
        <v>23</v>
      </c>
      <c r="AH49" s="32">
        <f t="shared" ca="1" si="11"/>
        <v>2</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14</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14</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22</v>
      </c>
      <c r="AE50" s="14">
        <f t="shared" ca="1" si="9"/>
        <v>5</v>
      </c>
      <c r="AF50" s="14">
        <f t="shared" ca="1" si="10"/>
        <v>22</v>
      </c>
      <c r="AG50" s="14">
        <f ca="1">MIN(_Ciclicas_Remanentes _Actual, _Remanentes _Actual)</f>
        <v>22</v>
      </c>
      <c r="AH50" s="32">
        <f t="shared" ca="1" si="11"/>
        <v>2</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14</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14</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21</v>
      </c>
      <c r="AE51" s="14">
        <f t="shared" ca="1" si="9"/>
        <v>6</v>
      </c>
      <c r="AF51" s="14">
        <f t="shared" ca="1" si="10"/>
        <v>21</v>
      </c>
      <c r="AG51" s="14">
        <f ca="1">MIN(_Ciclicas_Remanentes _Actual, _Remanentes _Actual)</f>
        <v>21</v>
      </c>
      <c r="AH51" s="32">
        <f t="shared" ca="1" si="11"/>
        <v>2</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14</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14</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20</v>
      </c>
      <c r="AE52" s="14">
        <f t="shared" ref="AE52:AE78" ca="1" si="35">MOD( _Amortizacion - 1, Periodos.Por.Ciclo ) + 1</f>
        <v>7</v>
      </c>
      <c r="AF52" s="14">
        <f t="shared" ref="AF52:AF78" ca="1" si="36" xml:space="preserve"> Periodos.Por.Ciclo - _Ciclicas + 1</f>
        <v>20</v>
      </c>
      <c r="AG52" s="14">
        <f ca="1">MIN(_Ciclicas_Remanentes _Actual, _Remanentes _Actual)</f>
        <v>20</v>
      </c>
      <c r="AH52" s="32">
        <f t="shared" ref="AH52:AH78" ca="1" si="37">INT(( _Amortizacion - 1 ) / Periodos.Por.Ciclo ) + 1</f>
        <v>2</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14</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14</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19</v>
      </c>
      <c r="AE53" s="14">
        <f t="shared" ca="1" si="35"/>
        <v>8</v>
      </c>
      <c r="AF53" s="14">
        <f t="shared" ca="1" si="36"/>
        <v>19</v>
      </c>
      <c r="AG53" s="14">
        <f ca="1">MIN(_Ciclicas_Remanentes _Actual, _Remanentes _Actual)</f>
        <v>19</v>
      </c>
      <c r="AH53" s="32">
        <f t="shared" ca="1" si="37"/>
        <v>2</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14</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14</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18</v>
      </c>
      <c r="AE54" s="14">
        <f t="shared" ca="1" si="35"/>
        <v>9</v>
      </c>
      <c r="AF54" s="14">
        <f t="shared" ca="1" si="36"/>
        <v>18</v>
      </c>
      <c r="AG54" s="14">
        <f ca="1">MIN(_Ciclicas_Remanentes _Actual, _Remanentes _Actual)</f>
        <v>18</v>
      </c>
      <c r="AH54" s="32">
        <f t="shared" ca="1" si="37"/>
        <v>2</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14</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14</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17</v>
      </c>
      <c r="AE55" s="14">
        <f t="shared" ca="1" si="35"/>
        <v>10</v>
      </c>
      <c r="AF55" s="14">
        <f t="shared" ca="1" si="36"/>
        <v>17</v>
      </c>
      <c r="AG55" s="14">
        <f ca="1">MIN(_Ciclicas_Remanentes _Actual, _Remanentes _Actual)</f>
        <v>17</v>
      </c>
      <c r="AH55" s="32">
        <f t="shared" ca="1" si="37"/>
        <v>2</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14</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14</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16</v>
      </c>
      <c r="AE56" s="14">
        <f t="shared" ca="1" si="35"/>
        <v>11</v>
      </c>
      <c r="AF56" s="14">
        <f t="shared" ca="1" si="36"/>
        <v>16</v>
      </c>
      <c r="AG56" s="14">
        <f ca="1">MIN(_Ciclicas_Remanentes _Actual, _Remanentes _Actual)</f>
        <v>16</v>
      </c>
      <c r="AH56" s="32">
        <f t="shared" ca="1" si="37"/>
        <v>2</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14</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14</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15</v>
      </c>
      <c r="AE57" s="14">
        <f t="shared" ca="1" si="35"/>
        <v>12</v>
      </c>
      <c r="AF57" s="14">
        <f t="shared" ca="1" si="36"/>
        <v>15</v>
      </c>
      <c r="AG57" s="14">
        <f ca="1">MIN(_Ciclicas_Remanentes _Actual, _Remanentes _Actual)</f>
        <v>15</v>
      </c>
      <c r="AH57" s="32">
        <f t="shared" ca="1" si="37"/>
        <v>2</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14</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14</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14</v>
      </c>
      <c r="AE58" s="14">
        <f t="shared" ca="1" si="35"/>
        <v>13</v>
      </c>
      <c r="AF58" s="14">
        <f t="shared" ca="1" si="36"/>
        <v>14</v>
      </c>
      <c r="AG58" s="14">
        <f ca="1">MIN(_Ciclicas_Remanentes _Actual, _Remanentes _Actual)</f>
        <v>14</v>
      </c>
      <c r="AH58" s="32">
        <f t="shared" ca="1" si="37"/>
        <v>2</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14</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14</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13</v>
      </c>
      <c r="AE59" s="14">
        <f t="shared" ca="1" si="35"/>
        <v>14</v>
      </c>
      <c r="AF59" s="14">
        <f t="shared" ca="1" si="36"/>
        <v>13</v>
      </c>
      <c r="AG59" s="14">
        <f ca="1">MIN(_Ciclicas_Remanentes _Actual, _Remanentes _Actual)</f>
        <v>13</v>
      </c>
      <c r="AH59" s="32">
        <f t="shared" ca="1" si="37"/>
        <v>2</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14</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14</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12</v>
      </c>
      <c r="AE60" s="14">
        <f t="shared" ca="1" si="35"/>
        <v>15</v>
      </c>
      <c r="AF60" s="14">
        <f t="shared" ca="1" si="36"/>
        <v>12</v>
      </c>
      <c r="AG60" s="14">
        <f ca="1">MIN(_Ciclicas_Remanentes _Actual, _Remanentes _Actual)</f>
        <v>12</v>
      </c>
      <c r="AH60" s="32">
        <f t="shared" ca="1" si="37"/>
        <v>2</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14</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14</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11</v>
      </c>
      <c r="AE61" s="14">
        <f t="shared" ca="1" si="35"/>
        <v>16</v>
      </c>
      <c r="AF61" s="14">
        <f t="shared" ca="1" si="36"/>
        <v>11</v>
      </c>
      <c r="AG61" s="14">
        <f ca="1">MIN(_Ciclicas_Remanentes _Actual, _Remanentes _Actual)</f>
        <v>11</v>
      </c>
      <c r="AH61" s="32">
        <f t="shared" ca="1" si="37"/>
        <v>2</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14</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14</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10</v>
      </c>
      <c r="AE62" s="14">
        <f t="shared" ca="1" si="35"/>
        <v>17</v>
      </c>
      <c r="AF62" s="14">
        <f t="shared" ca="1" si="36"/>
        <v>10</v>
      </c>
      <c r="AG62" s="14">
        <f ca="1">MIN(_Ciclicas_Remanentes _Actual, _Remanentes _Actual)</f>
        <v>10</v>
      </c>
      <c r="AH62" s="32">
        <f t="shared" ca="1" si="37"/>
        <v>2</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14</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14</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9</v>
      </c>
      <c r="AE63" s="14">
        <f t="shared" ca="1" si="35"/>
        <v>18</v>
      </c>
      <c r="AF63" s="14">
        <f t="shared" ca="1" si="36"/>
        <v>9</v>
      </c>
      <c r="AG63" s="14">
        <f ca="1">MIN(_Ciclicas_Remanentes _Actual, _Remanentes _Actual)</f>
        <v>9</v>
      </c>
      <c r="AH63" s="32">
        <f t="shared" ca="1" si="37"/>
        <v>2</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14</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14</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8</v>
      </c>
      <c r="AE64" s="14">
        <f t="shared" ca="1" si="35"/>
        <v>19</v>
      </c>
      <c r="AF64" s="14">
        <f t="shared" ca="1" si="36"/>
        <v>8</v>
      </c>
      <c r="AG64" s="14">
        <f ca="1">MIN(_Ciclicas_Remanentes _Actual, _Remanentes _Actual)</f>
        <v>8</v>
      </c>
      <c r="AH64" s="32">
        <f t="shared" ca="1" si="37"/>
        <v>2</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14</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14</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7</v>
      </c>
      <c r="AE65" s="14">
        <f t="shared" ca="1" si="35"/>
        <v>20</v>
      </c>
      <c r="AF65" s="14">
        <f t="shared" ca="1" si="36"/>
        <v>7</v>
      </c>
      <c r="AG65" s="14">
        <f ca="1">MIN(_Ciclicas_Remanentes _Actual, _Remanentes _Actual)</f>
        <v>7</v>
      </c>
      <c r="AH65" s="32">
        <f t="shared" ca="1" si="37"/>
        <v>2</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14</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14</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6</v>
      </c>
      <c r="AE66" s="14">
        <f t="shared" ca="1" si="35"/>
        <v>21</v>
      </c>
      <c r="AF66" s="14">
        <f t="shared" ca="1" si="36"/>
        <v>6</v>
      </c>
      <c r="AG66" s="14">
        <f ca="1">MIN(_Ciclicas_Remanentes _Actual, _Remanentes _Actual)</f>
        <v>6</v>
      </c>
      <c r="AH66" s="32">
        <f t="shared" ca="1" si="37"/>
        <v>2</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14</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14</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5</v>
      </c>
      <c r="AE67" s="14">
        <f t="shared" ca="1" si="35"/>
        <v>22</v>
      </c>
      <c r="AF67" s="14">
        <f t="shared" ca="1" si="36"/>
        <v>5</v>
      </c>
      <c r="AG67" s="14">
        <f ca="1">MIN(_Ciclicas_Remanentes _Actual, _Remanentes _Actual)</f>
        <v>5</v>
      </c>
      <c r="AH67" s="32">
        <f t="shared" ca="1" si="37"/>
        <v>2</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14</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14</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4</v>
      </c>
      <c r="AE68" s="14">
        <f t="shared" ca="1" si="35"/>
        <v>23</v>
      </c>
      <c r="AF68" s="14">
        <f t="shared" ca="1" si="36"/>
        <v>4</v>
      </c>
      <c r="AG68" s="14">
        <f ca="1">MIN(_Ciclicas_Remanentes _Actual, _Remanentes _Actual)</f>
        <v>4</v>
      </c>
      <c r="AH68" s="32">
        <f t="shared" ca="1" si="37"/>
        <v>2</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14</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14</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3</v>
      </c>
      <c r="AE69" s="14">
        <f t="shared" ca="1" si="35"/>
        <v>24</v>
      </c>
      <c r="AF69" s="14">
        <f t="shared" ca="1" si="36"/>
        <v>3</v>
      </c>
      <c r="AG69" s="14">
        <f ca="1">MIN(_Ciclicas_Remanentes _Actual, _Remanentes _Actual)</f>
        <v>3</v>
      </c>
      <c r="AH69" s="32">
        <f t="shared" ca="1" si="37"/>
        <v>2</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14</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14</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2</v>
      </c>
      <c r="AE70" s="14">
        <f t="shared" ca="1" si="35"/>
        <v>25</v>
      </c>
      <c r="AF70" s="14">
        <f t="shared" ca="1" si="36"/>
        <v>2</v>
      </c>
      <c r="AG70" s="14">
        <f ca="1">MIN(_Ciclicas_Remanentes _Actual, _Remanentes _Actual)</f>
        <v>2</v>
      </c>
      <c r="AH70" s="32">
        <f t="shared" ca="1" si="37"/>
        <v>2</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14</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14</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1</v>
      </c>
      <c r="AE71" s="14">
        <f t="shared" ca="1" si="35"/>
        <v>26</v>
      </c>
      <c r="AF71" s="14">
        <f t="shared" ca="1" si="36"/>
        <v>1</v>
      </c>
      <c r="AG71" s="14">
        <f ca="1">MIN(_Ciclicas_Remanentes _Actual, _Remanentes _Actual)</f>
        <v>1</v>
      </c>
      <c r="AH71" s="32">
        <f t="shared" ca="1" si="37"/>
        <v>2</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14</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14</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1</v>
      </c>
      <c r="AF72" s="14">
        <f t="shared" ca="1" si="36"/>
        <v>26</v>
      </c>
      <c r="AG72" s="14">
        <f ca="1">MIN(_Ciclicas_Remanentes _Actual, _Remanentes _Actual)</f>
        <v>0</v>
      </c>
      <c r="AH72" s="32">
        <f t="shared" ca="1" si="37"/>
        <v>3</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14</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14</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2</v>
      </c>
      <c r="AF73" s="14">
        <f t="shared" ca="1" si="36"/>
        <v>25</v>
      </c>
      <c r="AG73" s="14">
        <f ca="1">MIN(_Ciclicas_Remanentes _Actual, _Remanentes _Actual)</f>
        <v>0</v>
      </c>
      <c r="AH73" s="32">
        <f t="shared" ca="1" si="37"/>
        <v>3</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14</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14</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3</v>
      </c>
      <c r="AF74" s="14">
        <f t="shared" ca="1" si="36"/>
        <v>24</v>
      </c>
      <c r="AG74" s="14">
        <f ca="1">MIN(_Ciclicas_Remanentes _Actual, _Remanentes _Actual)</f>
        <v>0</v>
      </c>
      <c r="AH74" s="32">
        <f t="shared" ca="1" si="37"/>
        <v>3</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14</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14</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4</v>
      </c>
      <c r="AF75" s="14">
        <f t="shared" ca="1" si="36"/>
        <v>23</v>
      </c>
      <c r="AG75" s="14">
        <f ca="1">MIN(_Ciclicas_Remanentes _Actual, _Remanentes _Actual)</f>
        <v>0</v>
      </c>
      <c r="AH75" s="32">
        <f t="shared" ca="1" si="37"/>
        <v>3</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14</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14</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5</v>
      </c>
      <c r="AF76" s="14">
        <f t="shared" ca="1" si="36"/>
        <v>22</v>
      </c>
      <c r="AG76" s="14">
        <f ca="1">MIN(_Ciclicas_Remanentes _Actual, _Remanentes _Actual)</f>
        <v>0</v>
      </c>
      <c r="AH76" s="32">
        <f t="shared" ca="1" si="37"/>
        <v>3</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14</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14</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6</v>
      </c>
      <c r="AF77" s="14">
        <f t="shared" ca="1" si="36"/>
        <v>21</v>
      </c>
      <c r="AG77" s="14">
        <f ca="1">MIN(_Ciclicas_Remanentes _Actual, _Remanentes _Actual)</f>
        <v>0</v>
      </c>
      <c r="AH77" s="32">
        <f t="shared" ca="1" si="37"/>
        <v>3</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14</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14</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7</v>
      </c>
      <c r="AF78" s="14">
        <f t="shared" ca="1" si="36"/>
        <v>20</v>
      </c>
      <c r="AG78" s="14">
        <f ca="1">MIN(_Ciclicas_Remanentes _Actual, _Remanentes _Actual)</f>
        <v>0</v>
      </c>
      <c r="AH78" s="32">
        <f t="shared" ca="1" si="37"/>
        <v>3</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14</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14</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8</v>
      </c>
      <c r="AF79" s="14">
        <f ca="1" xml:space="preserve"> Periodos.Por.Ciclo - _Ciclicas + 1</f>
        <v>19</v>
      </c>
      <c r="AG79" s="14">
        <f ca="1">MIN(_Ciclicas_Remanentes _Actual, _Remanentes _Actual)</f>
        <v>0</v>
      </c>
      <c r="AH79" s="32">
        <f ca="1">INT(( _Amortizacion - 1 ) / Periodos.Por.Ciclo ) + 1</f>
        <v>3</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14</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9" t="s">
        <v>72</v>
      </c>
      <c r="K14" s="960"/>
      <c r="L14" s="961"/>
      <c r="N14" s="959" t="s">
        <v>73</v>
      </c>
      <c r="O14" s="961"/>
      <c r="Q14" s="328" t="s">
        <v>74</v>
      </c>
      <c r="R14" s="329"/>
      <c r="S14" s="329"/>
      <c r="T14" s="329"/>
      <c r="U14" s="329"/>
      <c r="V14" s="329"/>
      <c r="W14" s="329"/>
      <c r="X14" s="329"/>
      <c r="Y14" s="329"/>
      <c r="Z14" s="329"/>
      <c r="AA14" s="329"/>
      <c r="AB14" s="329"/>
      <c r="AC14" s="329"/>
      <c r="AD14" s="329"/>
      <c r="AE14" s="329"/>
      <c r="AF14" s="330"/>
      <c r="AH14" s="953" t="s">
        <v>1737</v>
      </c>
      <c r="AI14" s="953"/>
      <c r="AJ14" s="953"/>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4.9615384615384617E-3</v>
      </c>
      <c r="K17"/>
      <c r="AD17" s="14"/>
      <c r="AV17" s="14"/>
      <c r="AW17" s="14"/>
      <c r="AX17" s="14"/>
      <c r="AY17" s="14"/>
      <c r="AZ17" s="14"/>
      <c r="BC17" s="14"/>
      <c r="BD17" s="14"/>
      <c r="BE17" s="14"/>
    </row>
    <row r="18" spans="2:57">
      <c r="B18" s="290" t="s">
        <v>44</v>
      </c>
      <c r="C18" s="291">
        <f>'Configuración de Tablas'!B28</f>
        <v>14</v>
      </c>
      <c r="E18" s="289" t="s">
        <v>55</v>
      </c>
      <c r="F18" s="274">
        <f ca="1" xml:space="preserve"> Tasa.Interes / Dias.En.Año</f>
        <v>3.5833333333333333E-4</v>
      </c>
      <c r="J18" s="44"/>
      <c r="K18"/>
      <c r="V18" s="86">
        <f ca="1">SUM(_Interes)</f>
        <v>18773.66068101276</v>
      </c>
      <c r="X18" s="86">
        <f ca="1">SUM(_Iva)</f>
        <v>2252.8392817215326</v>
      </c>
      <c r="Z18" s="86"/>
      <c r="AA18" s="86"/>
      <c r="AB18" s="86">
        <f ca="1">SUM(_Capital)</f>
        <v>135221.94291251953</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26</v>
      </c>
      <c r="E19" s="289" t="s">
        <v>54</v>
      </c>
      <c r="F19" s="274">
        <f ca="1" xml:space="preserve"> Tasa.Diaria * Dias.Por.Periodo</f>
        <v>5.0166666666666667E-3</v>
      </c>
      <c r="K19"/>
      <c r="AD19" s="14"/>
      <c r="AV19" s="14"/>
      <c r="AW19" s="14"/>
      <c r="AX19" s="14"/>
      <c r="AY19" s="14"/>
      <c r="AZ19" s="14"/>
      <c r="BC19" s="14"/>
      <c r="BD19" s="14"/>
      <c r="BE19" s="14"/>
    </row>
    <row r="20" spans="2:57">
      <c r="B20" s="290" t="s">
        <v>1728</v>
      </c>
      <c r="C20" s="291">
        <f ca="1">'Configuración de Tablas'!B30</f>
        <v>52</v>
      </c>
      <c r="E20" s="290" t="s">
        <v>53</v>
      </c>
      <c r="F20" s="116">
        <f ca="1">IF( Tabla.Ciclica.Anual?, Periodos.Por.Año, Numero.Pagos )</f>
        <v>52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3004.7777476010351</v>
      </c>
      <c r="Q20" s="20">
        <f ca="1">_Saldo_Ciclico</f>
        <v>135000</v>
      </c>
      <c r="S20" s="20">
        <f t="shared" ref="S20:S78" ca="1" si="4">_Saldo_Inicial * Tasa.Diaria</f>
        <v>48.375</v>
      </c>
      <c r="T20" s="20">
        <f t="shared" ref="T20:T78" ca="1" si="5" xml:space="preserve"> _Interes_Diario * Dias.Por.Periodo</f>
        <v>677.25</v>
      </c>
      <c r="U20" s="20">
        <f ca="1">Fechas!_Dias_Interes_Pago</f>
        <v>14</v>
      </c>
      <c r="V20" s="20">
        <f t="shared" ref="V20:V78" ca="1" si="6" xml:space="preserve"> _Interes_Diario * _Dias_Interes_Periodo</f>
        <v>677.25</v>
      </c>
      <c r="X20" s="20">
        <f t="shared" ref="X20:X78" ca="1" si="7" xml:space="preserve"> _Interes * Iva.Intereses</f>
        <v>81.27</v>
      </c>
      <c r="Z20" s="97">
        <f t="shared" ref="Z20:Z78" ca="1" si="8" xml:space="preserve"> _Pago_Fijo - ( _Interes_Periodo_Regular * ( 1 + Iva.Intereses ) )</f>
        <v>2246.2577476010351</v>
      </c>
      <c r="AA20" s="97">
        <f t="shared" ref="AA20:AA78" ca="1" si="9">_Saldo_Inicial * ( _Amortizacion = Numero.Pagos )</f>
        <v>0</v>
      </c>
      <c r="AB20" s="97">
        <f ca="1">MAX( _Calculo_Capital _Actual, _Stopper_Capital _Actual )</f>
        <v>2246.2577476010351</v>
      </c>
      <c r="AD20" s="97">
        <f t="shared" ref="AD20:AD78" ca="1" si="10" xml:space="preserve"> _Capital + _Interes + _Iva</f>
        <v>3004.7777476010351</v>
      </c>
      <c r="AF20" s="97">
        <f ca="1">MAX(_Saldo_Inicial _Actual - _Capital _Actual, 0)</f>
        <v>132753.74225239895</v>
      </c>
      <c r="AH20" s="292">
        <f>Fechas!_Dias_Interes_CAT</f>
        <v>14</v>
      </c>
      <c r="AI20" s="97">
        <f t="shared" ref="AI20:AI78" ca="1" si="11" xml:space="preserve"> _Interes_Diario * _Dias_Cat</f>
        <v>677.25</v>
      </c>
      <c r="AJ20" s="293">
        <f ca="1" xml:space="preserve"> _Capital + _Interes_CAT</f>
        <v>2923.5077476010351</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3004.7777476010351</v>
      </c>
      <c r="Q21" s="97">
        <f ca="1">MAX( _Saldo_Final _Anterior + _Saldo_Ciclico, 0)</f>
        <v>132753.74225239895</v>
      </c>
      <c r="S21" s="20">
        <f t="shared" ca="1" si="4"/>
        <v>47.570090973776288</v>
      </c>
      <c r="T21" s="20">
        <f t="shared" ca="1" si="5"/>
        <v>665.98127363286801</v>
      </c>
      <c r="U21" s="20">
        <f ca="1">Fechas!_Dias_Interes_Pago</f>
        <v>14</v>
      </c>
      <c r="V21" s="20">
        <f t="shared" ca="1" si="6"/>
        <v>665.98127363286801</v>
      </c>
      <c r="X21" s="97">
        <f t="shared" ca="1" si="7"/>
        <v>79.917752835944157</v>
      </c>
      <c r="Z21" s="97">
        <f t="shared" ca="1" si="8"/>
        <v>2258.8787211322228</v>
      </c>
      <c r="AA21" s="97">
        <f t="shared" ca="1" si="9"/>
        <v>0</v>
      </c>
      <c r="AB21" s="97">
        <f ca="1">MAX( _Calculo_Capital _Actual, _Stopper_Capital _Actual )</f>
        <v>2258.8787211322228</v>
      </c>
      <c r="AD21" s="97">
        <f t="shared" ca="1" si="10"/>
        <v>3004.7777476010351</v>
      </c>
      <c r="AF21" s="97">
        <f ca="1">MAX(_Saldo_Inicial _Actual - _Capital _Actual, 0)</f>
        <v>130494.86353126673</v>
      </c>
      <c r="AH21" s="292">
        <f>Fechas!_Dias_Interes_CAT</f>
        <v>14</v>
      </c>
      <c r="AI21" s="97">
        <f t="shared" ca="1" si="11"/>
        <v>665.98127363286801</v>
      </c>
      <c r="AJ21" s="293">
        <f t="shared" ref="AJ21:AJ78" ca="1" si="12" xml:space="preserve"> _Capital + _Interes_CAT - _Saldo_Ciclico</f>
        <v>2924.859994765091</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2246.2577476010351</v>
      </c>
      <c r="J22" s="14">
        <v>3</v>
      </c>
      <c r="K22" s="14">
        <f t="shared" ca="1" si="0"/>
        <v>3</v>
      </c>
      <c r="L22" s="32">
        <f t="shared" ca="1" si="1"/>
        <v>1</v>
      </c>
      <c r="N22" s="20">
        <f t="shared" ca="1" si="2"/>
        <v>0</v>
      </c>
      <c r="O22" s="97">
        <f t="shared" ca="1" si="3"/>
        <v>3004.7777476010351</v>
      </c>
      <c r="Q22" s="97">
        <f ca="1">MAX( _Saldo_Final _Anterior + _Saldo_Ciclico, 0)</f>
        <v>130494.86353126673</v>
      </c>
      <c r="S22" s="20">
        <f t="shared" ca="1" si="4"/>
        <v>46.760659432037244</v>
      </c>
      <c r="T22" s="20">
        <f t="shared" ca="1" si="5"/>
        <v>654.64923204852141</v>
      </c>
      <c r="U22" s="20">
        <f ca="1">Fechas!_Dias_Interes_Pago</f>
        <v>14</v>
      </c>
      <c r="V22" s="20">
        <f t="shared" ca="1" si="6"/>
        <v>654.64923204852141</v>
      </c>
      <c r="X22" s="97">
        <f t="shared" ca="1" si="7"/>
        <v>78.557907845822569</v>
      </c>
      <c r="Z22" s="97">
        <f t="shared" ca="1" si="8"/>
        <v>2271.5706077066911</v>
      </c>
      <c r="AA22" s="97">
        <f t="shared" ca="1" si="9"/>
        <v>0</v>
      </c>
      <c r="AB22" s="97">
        <f ca="1">MAX( _Calculo_Capital _Actual, _Stopper_Capital _Actual )</f>
        <v>2271.5706077066911</v>
      </c>
      <c r="AD22" s="97">
        <f t="shared" ca="1" si="10"/>
        <v>3004.7777476010351</v>
      </c>
      <c r="AF22" s="97">
        <f ca="1">MAX(_Saldo_Inicial _Actual - _Capital _Actual, 0)</f>
        <v>128223.29292356005</v>
      </c>
      <c r="AH22" s="292">
        <f>Fechas!_Dias_Interes_CAT</f>
        <v>14</v>
      </c>
      <c r="AI22" s="97">
        <f t="shared" ca="1" si="11"/>
        <v>654.64923204852141</v>
      </c>
      <c r="AJ22" s="293">
        <f t="shared" ca="1" si="12"/>
        <v>2926.2198397552124</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758.52</v>
      </c>
      <c r="J23" s="14">
        <v>4</v>
      </c>
      <c r="K23" s="14">
        <f t="shared" ca="1" si="0"/>
        <v>4</v>
      </c>
      <c r="L23" s="32">
        <f t="shared" ca="1" si="1"/>
        <v>1</v>
      </c>
      <c r="N23" s="20">
        <f t="shared" ca="1" si="2"/>
        <v>0</v>
      </c>
      <c r="O23" s="97">
        <f t="shared" ca="1" si="3"/>
        <v>3004.7777476010351</v>
      </c>
      <c r="Q23" s="97">
        <f ca="1">MAX( _Saldo_Final _Anterior + _Saldo_Ciclico, 0)</f>
        <v>128223.29292356005</v>
      </c>
      <c r="S23" s="20">
        <f t="shared" ca="1" si="4"/>
        <v>45.946679964275681</v>
      </c>
      <c r="T23" s="20">
        <f t="shared" ca="1" si="5"/>
        <v>643.25351949985952</v>
      </c>
      <c r="U23" s="20">
        <f ca="1">Fechas!_Dias_Interes_Pago</f>
        <v>14</v>
      </c>
      <c r="V23" s="20">
        <f t="shared" ca="1" si="6"/>
        <v>643.25351949985952</v>
      </c>
      <c r="X23" s="97">
        <f t="shared" ca="1" si="7"/>
        <v>77.190422339983144</v>
      </c>
      <c r="Z23" s="97">
        <f t="shared" ca="1" si="8"/>
        <v>2284.3338057611923</v>
      </c>
      <c r="AA23" s="97">
        <f t="shared" ca="1" si="9"/>
        <v>0</v>
      </c>
      <c r="AB23" s="97">
        <f ca="1">MAX( _Calculo_Capital _Actual, _Stopper_Capital _Actual )</f>
        <v>2284.3338057611923</v>
      </c>
      <c r="AD23" s="97">
        <f t="shared" ca="1" si="10"/>
        <v>3004.7777476010351</v>
      </c>
      <c r="AF23" s="97">
        <f ca="1">MAX(_Saldo_Inicial _Actual - _Capital _Actual, 0)</f>
        <v>125938.95911779885</v>
      </c>
      <c r="AH23" s="292">
        <f>Fechas!_Dias_Interes_CAT</f>
        <v>14</v>
      </c>
      <c r="AI23" s="97">
        <f t="shared" ca="1" si="11"/>
        <v>643.25351949985952</v>
      </c>
      <c r="AJ23" s="293">
        <f t="shared" ca="1" si="12"/>
        <v>2927.5873252610518</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3004.7777476010351</v>
      </c>
      <c r="J24" s="14">
        <v>5</v>
      </c>
      <c r="K24" s="14">
        <f t="shared" ca="1" si="0"/>
        <v>5</v>
      </c>
      <c r="L24" s="32">
        <f t="shared" ca="1" si="1"/>
        <v>1</v>
      </c>
      <c r="N24" s="20">
        <f t="shared" ca="1" si="2"/>
        <v>0</v>
      </c>
      <c r="O24" s="97">
        <f t="shared" ca="1" si="3"/>
        <v>3004.7777476010351</v>
      </c>
      <c r="Q24" s="97">
        <f ca="1">MAX( _Saldo_Final _Anterior + _Saldo_Ciclico, 0)</f>
        <v>125938.95911779885</v>
      </c>
      <c r="S24" s="20">
        <f t="shared" ca="1" si="4"/>
        <v>45.128127017211256</v>
      </c>
      <c r="T24" s="20">
        <f t="shared" ca="1" si="5"/>
        <v>631.79377824095764</v>
      </c>
      <c r="U24" s="20">
        <f ca="1">Fechas!_Dias_Interes_Pago</f>
        <v>14</v>
      </c>
      <c r="V24" s="20">
        <f t="shared" ca="1" si="6"/>
        <v>631.79377824095764</v>
      </c>
      <c r="X24" s="97">
        <f t="shared" ca="1" si="7"/>
        <v>75.815253388914911</v>
      </c>
      <c r="Z24" s="97">
        <f t="shared" ca="1" si="8"/>
        <v>2297.1687159711623</v>
      </c>
      <c r="AA24" s="97">
        <f t="shared" ca="1" si="9"/>
        <v>0</v>
      </c>
      <c r="AB24" s="97">
        <f ca="1">MAX( _Calculo_Capital _Actual, _Stopper_Capital _Actual )</f>
        <v>2297.1687159711623</v>
      </c>
      <c r="AD24" s="97">
        <f t="shared" ca="1" si="10"/>
        <v>3004.7777476010347</v>
      </c>
      <c r="AF24" s="97">
        <f ca="1">MAX(_Saldo_Inicial _Actual - _Capital _Actual, 0)</f>
        <v>123641.79040182769</v>
      </c>
      <c r="AH24" s="292">
        <f>Fechas!_Dias_Interes_CAT</f>
        <v>14</v>
      </c>
      <c r="AI24" s="97">
        <f t="shared" ca="1" si="11"/>
        <v>631.79377824095764</v>
      </c>
      <c r="AJ24" s="293">
        <f t="shared" ca="1" si="12"/>
        <v>2928.96249421212</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3004.7777476010351</v>
      </c>
      <c r="Q25" s="97">
        <f ca="1">MAX( _Saldo_Final _Anterior + _Saldo_Ciclico, 0)</f>
        <v>123641.79040182769</v>
      </c>
      <c r="S25" s="20">
        <f t="shared" ca="1" si="4"/>
        <v>44.304974893988252</v>
      </c>
      <c r="T25" s="20">
        <f t="shared" ca="1" si="5"/>
        <v>620.26964851583557</v>
      </c>
      <c r="U25" s="20">
        <f ca="1">Fechas!_Dias_Interes_Pago</f>
        <v>14</v>
      </c>
      <c r="V25" s="20">
        <f t="shared" ca="1" si="6"/>
        <v>620.26964851583557</v>
      </c>
      <c r="X25" s="97">
        <f t="shared" ca="1" si="7"/>
        <v>74.432357821900268</v>
      </c>
      <c r="Z25" s="97">
        <f t="shared" ca="1" si="8"/>
        <v>2310.0757412632993</v>
      </c>
      <c r="AA25" s="97">
        <f t="shared" ca="1" si="9"/>
        <v>0</v>
      </c>
      <c r="AB25" s="97">
        <f ca="1">MAX( _Calculo_Capital _Actual, _Stopper_Capital _Actual )</f>
        <v>2310.0757412632993</v>
      </c>
      <c r="AD25" s="97">
        <f t="shared" ca="1" si="10"/>
        <v>3004.7777476010351</v>
      </c>
      <c r="AF25" s="97">
        <f ca="1">MAX(_Saldo_Inicial _Actual - _Capital _Actual, 0)</f>
        <v>121331.71466056439</v>
      </c>
      <c r="AH25" s="292">
        <f>Fechas!_Dias_Interes_CAT</f>
        <v>14</v>
      </c>
      <c r="AI25" s="97">
        <f t="shared" ca="1" si="11"/>
        <v>620.26964851583557</v>
      </c>
      <c r="AJ25" s="293">
        <f t="shared" ca="1" si="12"/>
        <v>2930.3453897791351</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3004.7777476010351</v>
      </c>
      <c r="Q26" s="97">
        <f ca="1">MAX( _Saldo_Final _Anterior + _Saldo_Ciclico, 0)</f>
        <v>121331.71466056439</v>
      </c>
      <c r="S26" s="20">
        <f t="shared" ca="1" si="4"/>
        <v>43.477197753368905</v>
      </c>
      <c r="T26" s="20">
        <f t="shared" ca="1" si="5"/>
        <v>608.68076854716469</v>
      </c>
      <c r="U26" s="20">
        <f ca="1">Fechas!_Dias_Interes_Pago</f>
        <v>14</v>
      </c>
      <c r="V26" s="20">
        <f t="shared" ca="1" si="6"/>
        <v>608.68076854716469</v>
      </c>
      <c r="X26" s="97">
        <f t="shared" ca="1" si="7"/>
        <v>73.041692225659759</v>
      </c>
      <c r="Z26" s="97">
        <f t="shared" ca="1" si="8"/>
        <v>2323.0552868282107</v>
      </c>
      <c r="AA26" s="97">
        <f t="shared" ca="1" si="9"/>
        <v>0</v>
      </c>
      <c r="AB26" s="97">
        <f ca="1">MAX( _Calculo_Capital _Actual, _Stopper_Capital _Actual )</f>
        <v>2323.0552868282107</v>
      </c>
      <c r="AD26" s="97">
        <f t="shared" ca="1" si="10"/>
        <v>3004.7777476010351</v>
      </c>
      <c r="AF26" s="97">
        <f ca="1">MAX(_Saldo_Inicial _Actual - _Capital _Actual, 0)</f>
        <v>119008.65937373618</v>
      </c>
      <c r="AH26" s="292">
        <f>Fechas!_Dias_Interes_CAT</f>
        <v>14</v>
      </c>
      <c r="AI26" s="97">
        <f t="shared" ca="1" si="11"/>
        <v>608.68076854716469</v>
      </c>
      <c r="AJ26" s="293">
        <f t="shared" ca="1" si="12"/>
        <v>2931.7360553753751</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3004.7777476010351</v>
      </c>
      <c r="Q27" s="97">
        <f ca="1">MAX( _Saldo_Final _Anterior + _Saldo_Ciclico, 0)</f>
        <v>119008.65937373618</v>
      </c>
      <c r="S27" s="20">
        <f t="shared" ca="1" si="4"/>
        <v>42.644769608922132</v>
      </c>
      <c r="T27" s="20">
        <f t="shared" ca="1" si="5"/>
        <v>597.0267745249098</v>
      </c>
      <c r="U27" s="20">
        <f ca="1">Fechas!_Dias_Interes_Pago</f>
        <v>14</v>
      </c>
      <c r="V27" s="20">
        <f t="shared" ca="1" si="6"/>
        <v>597.0267745249098</v>
      </c>
      <c r="X27" s="97">
        <f t="shared" ca="1" si="7"/>
        <v>71.643212942989166</v>
      </c>
      <c r="Z27" s="97">
        <f t="shared" ca="1" si="8"/>
        <v>2336.1077601331363</v>
      </c>
      <c r="AA27" s="97">
        <f t="shared" ca="1" si="9"/>
        <v>0</v>
      </c>
      <c r="AB27" s="97">
        <f ca="1">MAX( _Calculo_Capital _Actual, _Stopper_Capital _Actual )</f>
        <v>2336.1077601331363</v>
      </c>
      <c r="AD27" s="97">
        <f t="shared" ca="1" si="10"/>
        <v>3004.7777476010351</v>
      </c>
      <c r="AF27" s="97">
        <f ca="1">MAX(_Saldo_Inicial _Actual - _Capital _Actual, 0)</f>
        <v>116672.55161360305</v>
      </c>
      <c r="AH27" s="292">
        <f>Fechas!_Dias_Interes_CAT</f>
        <v>14</v>
      </c>
      <c r="AI27" s="97">
        <f t="shared" ca="1" si="11"/>
        <v>597.0267745249098</v>
      </c>
      <c r="AJ27" s="293">
        <f t="shared" ca="1" si="12"/>
        <v>2933.1345346580461</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3004.7777476010351</v>
      </c>
      <c r="Q28" s="97">
        <f ca="1">MAX( _Saldo_Final _Anterior + _Saldo_Ciclico, 0)</f>
        <v>116672.55161360305</v>
      </c>
      <c r="S28" s="20">
        <f t="shared" ca="1" si="4"/>
        <v>41.807664328207757</v>
      </c>
      <c r="T28" s="20">
        <f t="shared" ca="1" si="5"/>
        <v>585.30730059490861</v>
      </c>
      <c r="U28" s="20">
        <f ca="1">Fechas!_Dias_Interes_Pago</f>
        <v>14</v>
      </c>
      <c r="V28" s="20">
        <f t="shared" ca="1" si="6"/>
        <v>585.30730059490861</v>
      </c>
      <c r="X28" s="97">
        <f t="shared" ca="1" si="7"/>
        <v>70.236876071389034</v>
      </c>
      <c r="Z28" s="97">
        <f t="shared" ca="1" si="8"/>
        <v>2349.2335709347371</v>
      </c>
      <c r="AA28" s="97">
        <f t="shared" ca="1" si="9"/>
        <v>0</v>
      </c>
      <c r="AB28" s="97">
        <f ca="1">MAX( _Calculo_Capital _Actual, _Stopper_Capital _Actual )</f>
        <v>2349.2335709347371</v>
      </c>
      <c r="AD28" s="97">
        <f t="shared" ca="1" si="10"/>
        <v>3004.7777476010347</v>
      </c>
      <c r="AF28" s="97">
        <f ca="1">MAX(_Saldo_Inicial _Actual - _Capital _Actual, 0)</f>
        <v>114323.31804266831</v>
      </c>
      <c r="AH28" s="292">
        <f>Fechas!_Dias_Interes_CAT</f>
        <v>14</v>
      </c>
      <c r="AI28" s="97">
        <f t="shared" ca="1" si="11"/>
        <v>585.30730059490861</v>
      </c>
      <c r="AJ28" s="293">
        <f t="shared" ca="1" si="12"/>
        <v>2934.5408715296458</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3004.7777476010351</v>
      </c>
      <c r="Q29" s="97">
        <f ca="1">MAX( _Saldo_Final _Anterior + _Saldo_Ciclico, 0)</f>
        <v>114323.31804266831</v>
      </c>
      <c r="S29" s="20">
        <f t="shared" ca="1" si="4"/>
        <v>40.965855631956146</v>
      </c>
      <c r="T29" s="20">
        <f t="shared" ca="1" si="5"/>
        <v>573.52197884738598</v>
      </c>
      <c r="U29" s="20">
        <f ca="1">Fechas!_Dias_Interes_Pago</f>
        <v>14</v>
      </c>
      <c r="V29" s="20">
        <f t="shared" ca="1" si="6"/>
        <v>573.52197884738598</v>
      </c>
      <c r="X29" s="97">
        <f t="shared" ca="1" si="7"/>
        <v>68.822637461686313</v>
      </c>
      <c r="Z29" s="97">
        <f t="shared" ca="1" si="8"/>
        <v>2362.433131291963</v>
      </c>
      <c r="AA29" s="97">
        <f t="shared" ca="1" si="9"/>
        <v>0</v>
      </c>
      <c r="AB29" s="97">
        <f ca="1">MAX( _Calculo_Capital _Actual, _Stopper_Capital _Actual )</f>
        <v>2362.433131291963</v>
      </c>
      <c r="AD29" s="97">
        <f t="shared" ca="1" si="10"/>
        <v>3004.7777476010351</v>
      </c>
      <c r="AF29" s="97">
        <f ca="1">MAX(_Saldo_Inicial _Actual - _Capital _Actual, 0)</f>
        <v>111960.88491137634</v>
      </c>
      <c r="AH29" s="292">
        <f>Fechas!_Dias_Interes_CAT</f>
        <v>14</v>
      </c>
      <c r="AI29" s="97">
        <f t="shared" ca="1" si="11"/>
        <v>573.52197884738598</v>
      </c>
      <c r="AJ29" s="293">
        <f t="shared" ca="1" si="12"/>
        <v>2935.955110139349</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3004.7777476010351</v>
      </c>
      <c r="Q30" s="97">
        <f ca="1">MAX( _Saldo_Final _Anterior + _Saldo_Ciclico, 0)</f>
        <v>111960.88491137634</v>
      </c>
      <c r="S30" s="20">
        <f t="shared" ca="1" si="4"/>
        <v>40.11931709324319</v>
      </c>
      <c r="T30" s="20">
        <f t="shared" ca="1" si="5"/>
        <v>561.67043930540467</v>
      </c>
      <c r="U30" s="20">
        <f ca="1">Fechas!_Dias_Interes_Pago</f>
        <v>14</v>
      </c>
      <c r="V30" s="20">
        <f t="shared" ca="1" si="6"/>
        <v>561.67043930540467</v>
      </c>
      <c r="X30" s="97">
        <f t="shared" ca="1" si="7"/>
        <v>67.400452716648559</v>
      </c>
      <c r="Z30" s="97">
        <f t="shared" ca="1" si="8"/>
        <v>2375.706855578982</v>
      </c>
      <c r="AA30" s="97">
        <f t="shared" ca="1" si="9"/>
        <v>0</v>
      </c>
      <c r="AB30" s="97">
        <f ca="1">MAX( _Calculo_Capital _Actual, _Stopper_Capital _Actual )</f>
        <v>2375.706855578982</v>
      </c>
      <c r="AD30" s="97">
        <f t="shared" ca="1" si="10"/>
        <v>3004.7777476010351</v>
      </c>
      <c r="AF30" s="97">
        <f ca="1">MAX(_Saldo_Inicial _Actual - _Capital _Actual, 0)</f>
        <v>109585.17805579735</v>
      </c>
      <c r="AH30" s="292">
        <f>Fechas!_Dias_Interes_CAT</f>
        <v>14</v>
      </c>
      <c r="AI30" s="97">
        <f t="shared" ca="1" si="11"/>
        <v>561.67043930540467</v>
      </c>
      <c r="AJ30" s="293">
        <f t="shared" ca="1" si="12"/>
        <v>2937.3772948843866</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52</v>
      </c>
      <c r="J31" s="14">
        <v>12</v>
      </c>
      <c r="K31" s="14">
        <f t="shared" ca="1" si="0"/>
        <v>12</v>
      </c>
      <c r="L31" s="32">
        <f t="shared" ca="1" si="1"/>
        <v>1</v>
      </c>
      <c r="N31" s="20">
        <f t="shared" ca="1" si="2"/>
        <v>0</v>
      </c>
      <c r="O31" s="97">
        <f t="shared" ca="1" si="3"/>
        <v>3004.7777476010351</v>
      </c>
      <c r="Q31" s="97">
        <f ca="1">MAX( _Saldo_Final _Anterior + _Saldo_Ciclico, 0)</f>
        <v>109585.17805579735</v>
      </c>
      <c r="S31" s="20">
        <f t="shared" ca="1" si="4"/>
        <v>39.268022136660719</v>
      </c>
      <c r="T31" s="20">
        <f t="shared" ca="1" si="5"/>
        <v>549.75230991325009</v>
      </c>
      <c r="U31" s="20">
        <f ca="1">Fechas!_Dias_Interes_Pago</f>
        <v>14</v>
      </c>
      <c r="V31" s="20">
        <f t="shared" ca="1" si="6"/>
        <v>549.75230991325009</v>
      </c>
      <c r="X31" s="97">
        <f t="shared" ca="1" si="7"/>
        <v>65.970277189590007</v>
      </c>
      <c r="Z31" s="97">
        <f t="shared" ca="1" si="8"/>
        <v>2389.0551604981947</v>
      </c>
      <c r="AA31" s="97">
        <f t="shared" ca="1" si="9"/>
        <v>0</v>
      </c>
      <c r="AB31" s="97">
        <f ca="1">MAX( _Calculo_Capital _Actual, _Stopper_Capital _Actual )</f>
        <v>2389.0551604981947</v>
      </c>
      <c r="AD31" s="97">
        <f t="shared" ca="1" si="10"/>
        <v>3004.7777476010347</v>
      </c>
      <c r="AF31" s="97">
        <f ca="1">MAX(_Saldo_Inicial _Actual - _Capital _Actual, 0)</f>
        <v>107196.12289529917</v>
      </c>
      <c r="AH31" s="292">
        <f>Fechas!_Dias_Interes_CAT</f>
        <v>14</v>
      </c>
      <c r="AI31" s="97">
        <f t="shared" ca="1" si="11"/>
        <v>549.75230991325009</v>
      </c>
      <c r="AJ31" s="293">
        <f t="shared" ca="1" si="12"/>
        <v>2938.8074704114447</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3004.7777476010351</v>
      </c>
      <c r="Q32" s="97">
        <f ca="1">MAX( _Saldo_Final _Anterior + _Saldo_Ciclico, 0)</f>
        <v>107196.12289529917</v>
      </c>
      <c r="S32" s="20">
        <f t="shared" ca="1" si="4"/>
        <v>38.411944037482201</v>
      </c>
      <c r="T32" s="20">
        <f t="shared" ca="1" si="5"/>
        <v>537.76721652475078</v>
      </c>
      <c r="U32" s="20">
        <f ca="1">Fechas!_Dias_Interes_Pago</f>
        <v>14</v>
      </c>
      <c r="V32" s="20">
        <f t="shared" ca="1" si="6"/>
        <v>537.76721652475078</v>
      </c>
      <c r="X32" s="97">
        <f t="shared" ca="1" si="7"/>
        <v>64.532065982970096</v>
      </c>
      <c r="Z32" s="97">
        <f t="shared" ca="1" si="8"/>
        <v>2402.4784650933143</v>
      </c>
      <c r="AA32" s="97">
        <f t="shared" ca="1" si="9"/>
        <v>0</v>
      </c>
      <c r="AB32" s="97">
        <f ca="1">MAX( _Calculo_Capital _Actual, _Stopper_Capital _Actual )</f>
        <v>2402.4784650933143</v>
      </c>
      <c r="AD32" s="97">
        <f t="shared" ca="1" si="10"/>
        <v>3004.7777476010351</v>
      </c>
      <c r="AF32" s="97">
        <f ca="1">MAX(_Saldo_Inicial _Actual - _Capital _Actual, 0)</f>
        <v>104793.64443020585</v>
      </c>
      <c r="AH32" s="292">
        <f>Fechas!_Dias_Interes_CAT</f>
        <v>14</v>
      </c>
      <c r="AI32" s="97">
        <f t="shared" ca="1" si="11"/>
        <v>537.76721652475078</v>
      </c>
      <c r="AJ32" s="293">
        <f t="shared" ca="1" si="12"/>
        <v>2940.2456816180652</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3004.7777476010351</v>
      </c>
      <c r="Q33" s="97">
        <f ca="1">MAX( _Saldo_Final _Anterior + _Saldo_Ciclico, 0)</f>
        <v>104793.64443020585</v>
      </c>
      <c r="S33" s="20">
        <f t="shared" ca="1" si="4"/>
        <v>37.551055920823764</v>
      </c>
      <c r="T33" s="20">
        <f t="shared" ca="1" si="5"/>
        <v>525.71478289153265</v>
      </c>
      <c r="U33" s="20">
        <f ca="1">Fechas!_Dias_Interes_Pago</f>
        <v>14</v>
      </c>
      <c r="V33" s="20">
        <f t="shared" ca="1" si="6"/>
        <v>525.71478289153265</v>
      </c>
      <c r="X33" s="97">
        <f t="shared" ca="1" si="7"/>
        <v>63.085773946983913</v>
      </c>
      <c r="Z33" s="97">
        <f t="shared" ca="1" si="8"/>
        <v>2415.9771907625186</v>
      </c>
      <c r="AA33" s="97">
        <f t="shared" ca="1" si="9"/>
        <v>0</v>
      </c>
      <c r="AB33" s="97">
        <f ca="1">MAX( _Calculo_Capital _Actual, _Stopper_Capital _Actual )</f>
        <v>2415.9771907625186</v>
      </c>
      <c r="AD33" s="97">
        <f t="shared" ca="1" si="10"/>
        <v>3004.7777476010351</v>
      </c>
      <c r="AF33" s="97">
        <f ca="1">MAX(_Saldo_Inicial _Actual - _Capital _Actual, 0)</f>
        <v>102377.66723944333</v>
      </c>
      <c r="AH33" s="292">
        <f>Fechas!_Dias_Interes_CAT</f>
        <v>14</v>
      </c>
      <c r="AI33" s="97">
        <f t="shared" ca="1" si="11"/>
        <v>525.71478289153265</v>
      </c>
      <c r="AJ33" s="293">
        <f t="shared" ca="1" si="12"/>
        <v>2941.6919736540513</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3004.7777476010351</v>
      </c>
      <c r="Q34" s="97">
        <f ca="1">MAX( _Saldo_Final _Anterior + _Saldo_Ciclico, 0)</f>
        <v>102377.66723944333</v>
      </c>
      <c r="S34" s="20">
        <f t="shared" ca="1" si="4"/>
        <v>36.685330760800525</v>
      </c>
      <c r="T34" s="20">
        <f t="shared" ca="1" si="5"/>
        <v>513.59463065120735</v>
      </c>
      <c r="U34" s="20">
        <f ca="1">Fechas!_Dias_Interes_Pago</f>
        <v>14</v>
      </c>
      <c r="V34" s="20">
        <f t="shared" ca="1" si="6"/>
        <v>513.59463065120735</v>
      </c>
      <c r="X34" s="97">
        <f t="shared" ca="1" si="7"/>
        <v>61.631355678144878</v>
      </c>
      <c r="Z34" s="97">
        <f t="shared" ca="1" si="8"/>
        <v>2429.5517612716831</v>
      </c>
      <c r="AA34" s="97">
        <f t="shared" ca="1" si="9"/>
        <v>0</v>
      </c>
      <c r="AB34" s="97">
        <f ca="1">MAX( _Calculo_Capital _Actual, _Stopper_Capital _Actual )</f>
        <v>2429.5517612716831</v>
      </c>
      <c r="AD34" s="97">
        <f t="shared" ca="1" si="10"/>
        <v>3004.7777476010351</v>
      </c>
      <c r="AF34" s="97">
        <f ca="1">MAX(_Saldo_Inicial _Actual - _Capital _Actual, 0)</f>
        <v>99948.115478171647</v>
      </c>
      <c r="AH34" s="292">
        <f>Fechas!_Dias_Interes_CAT</f>
        <v>14</v>
      </c>
      <c r="AI34" s="97">
        <f t="shared" ca="1" si="11"/>
        <v>513.59463065120735</v>
      </c>
      <c r="AJ34" s="293">
        <f t="shared" ca="1" si="12"/>
        <v>2943.1463919228904</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3004.7777476010351</v>
      </c>
      <c r="Q35" s="97">
        <f ca="1">MAX( _Saldo_Final _Anterior + _Saldo_Ciclico, 0)</f>
        <v>99948.115478171647</v>
      </c>
      <c r="S35" s="20">
        <f t="shared" ca="1" si="4"/>
        <v>35.814741379678175</v>
      </c>
      <c r="T35" s="20">
        <f t="shared" ca="1" si="5"/>
        <v>501.40637931549446</v>
      </c>
      <c r="U35" s="20">
        <f ca="1">Fechas!_Dias_Interes_Pago</f>
        <v>14</v>
      </c>
      <c r="V35" s="20">
        <f t="shared" ca="1" si="6"/>
        <v>501.40637931549446</v>
      </c>
      <c r="X35" s="97">
        <f t="shared" ca="1" si="7"/>
        <v>60.168765517859335</v>
      </c>
      <c r="Z35" s="97">
        <f t="shared" ca="1" si="8"/>
        <v>2443.2026027676811</v>
      </c>
      <c r="AA35" s="97">
        <f t="shared" ca="1" si="9"/>
        <v>0</v>
      </c>
      <c r="AB35" s="97">
        <f ca="1">MAX( _Calculo_Capital _Actual, _Stopper_Capital _Actual )</f>
        <v>2443.2026027676811</v>
      </c>
      <c r="AD35" s="97">
        <f t="shared" ca="1" si="10"/>
        <v>3004.7777476010351</v>
      </c>
      <c r="AF35" s="97">
        <f ca="1">MAX(_Saldo_Inicial _Actual - _Capital _Actual, 0)</f>
        <v>97504.91287540397</v>
      </c>
      <c r="AH35" s="292">
        <f>Fechas!_Dias_Interes_CAT</f>
        <v>14</v>
      </c>
      <c r="AI35" s="97">
        <f t="shared" ca="1" si="11"/>
        <v>501.40637931549446</v>
      </c>
      <c r="AJ35" s="293">
        <f t="shared" ca="1" si="12"/>
        <v>2944.6089820831758</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3004.7777476010351</v>
      </c>
      <c r="Q36" s="97">
        <f ca="1">MAX( _Saldo_Final _Anterior + _Saldo_Ciclico, 0)</f>
        <v>97504.91287540397</v>
      </c>
      <c r="S36" s="20">
        <f t="shared" ca="1" si="4"/>
        <v>34.939260447019755</v>
      </c>
      <c r="T36" s="20">
        <f t="shared" ca="1" si="5"/>
        <v>489.14964625827656</v>
      </c>
      <c r="U36" s="20">
        <f ca="1">Fechas!_Dias_Interes_Pago</f>
        <v>14</v>
      </c>
      <c r="V36" s="20">
        <f t="shared" ca="1" si="6"/>
        <v>489.14964625827656</v>
      </c>
      <c r="X36" s="97">
        <f t="shared" ca="1" si="7"/>
        <v>58.697957550993188</v>
      </c>
      <c r="Z36" s="97">
        <f t="shared" ca="1" si="8"/>
        <v>2456.9301437917652</v>
      </c>
      <c r="AA36" s="97">
        <f t="shared" ca="1" si="9"/>
        <v>0</v>
      </c>
      <c r="AB36" s="97">
        <f ca="1">MAX( _Calculo_Capital _Actual, _Stopper_Capital _Actual )</f>
        <v>2456.9301437917652</v>
      </c>
      <c r="AD36" s="97">
        <f t="shared" ca="1" si="10"/>
        <v>3004.7777476010351</v>
      </c>
      <c r="AF36" s="97">
        <f ca="1">MAX(_Saldo_Inicial _Actual - _Capital _Actual, 0)</f>
        <v>95047.98273161221</v>
      </c>
      <c r="AH36" s="292">
        <f>Fechas!_Dias_Interes_CAT</f>
        <v>14</v>
      </c>
      <c r="AI36" s="97">
        <f t="shared" ca="1" si="11"/>
        <v>489.14964625827656</v>
      </c>
      <c r="AJ36" s="293">
        <f t="shared" ca="1" si="12"/>
        <v>2946.079790050042</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3004.7777476010351</v>
      </c>
      <c r="Q37" s="97">
        <f ca="1">MAX( _Saldo_Final _Anterior + _Saldo_Ciclico, 0)</f>
        <v>95047.98273161221</v>
      </c>
      <c r="S37" s="20">
        <f t="shared" ca="1" si="4"/>
        <v>34.058860478827711</v>
      </c>
      <c r="T37" s="20">
        <f t="shared" ca="1" si="5"/>
        <v>476.82404670358795</v>
      </c>
      <c r="U37" s="20">
        <f ca="1">Fechas!_Dias_Interes_Pago</f>
        <v>14</v>
      </c>
      <c r="V37" s="20">
        <f t="shared" ca="1" si="6"/>
        <v>476.82404670358795</v>
      </c>
      <c r="X37" s="97">
        <f t="shared" ca="1" si="7"/>
        <v>57.218885604430554</v>
      </c>
      <c r="Z37" s="97">
        <f t="shared" ca="1" si="8"/>
        <v>2470.7348152930167</v>
      </c>
      <c r="AA37" s="97">
        <f t="shared" ca="1" si="9"/>
        <v>0</v>
      </c>
      <c r="AB37" s="97">
        <f ca="1">MAX( _Calculo_Capital _Actual, _Stopper_Capital _Actual )</f>
        <v>2470.7348152930167</v>
      </c>
      <c r="AD37" s="97">
        <f t="shared" ca="1" si="10"/>
        <v>3004.7777476010351</v>
      </c>
      <c r="AF37" s="97">
        <f ca="1">MAX(_Saldo_Inicial _Actual - _Capital _Actual, 0)</f>
        <v>92577.247916319189</v>
      </c>
      <c r="AH37" s="292">
        <f>Fechas!_Dias_Interes_CAT</f>
        <v>14</v>
      </c>
      <c r="AI37" s="97">
        <f t="shared" ca="1" si="11"/>
        <v>476.82404670358795</v>
      </c>
      <c r="AJ37" s="293">
        <f t="shared" ca="1" si="12"/>
        <v>2947.5588619966047</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3004.7777476010351</v>
      </c>
      <c r="Q38" s="97">
        <f ca="1">MAX( _Saldo_Final _Anterior + _Saldo_Ciclico, 0)</f>
        <v>92577.247916319189</v>
      </c>
      <c r="S38" s="20">
        <f t="shared" ca="1" si="4"/>
        <v>33.173513836681046</v>
      </c>
      <c r="T38" s="20">
        <f t="shared" ca="1" si="5"/>
        <v>464.42919371353463</v>
      </c>
      <c r="U38" s="20">
        <f ca="1">Fechas!_Dias_Interes_Pago</f>
        <v>14</v>
      </c>
      <c r="V38" s="20">
        <f t="shared" ca="1" si="6"/>
        <v>464.42919371353463</v>
      </c>
      <c r="X38" s="97">
        <f t="shared" ca="1" si="7"/>
        <v>55.731503245624154</v>
      </c>
      <c r="Z38" s="97">
        <f t="shared" ca="1" si="8"/>
        <v>2484.6170506418762</v>
      </c>
      <c r="AA38" s="97">
        <f t="shared" ca="1" si="9"/>
        <v>0</v>
      </c>
      <c r="AB38" s="97">
        <f ca="1">MAX( _Calculo_Capital _Actual, _Stopper_Capital _Actual )</f>
        <v>2484.6170506418762</v>
      </c>
      <c r="AD38" s="97">
        <f t="shared" ca="1" si="10"/>
        <v>3004.7777476010347</v>
      </c>
      <c r="AF38" s="97">
        <f ca="1">MAX(_Saldo_Inicial _Actual - _Capital _Actual, 0)</f>
        <v>90092.630865677318</v>
      </c>
      <c r="AH38" s="292">
        <f>Fechas!_Dias_Interes_CAT</f>
        <v>14</v>
      </c>
      <c r="AI38" s="97">
        <f t="shared" ca="1" si="11"/>
        <v>464.42919371353463</v>
      </c>
      <c r="AJ38" s="293">
        <f t="shared" ca="1" si="12"/>
        <v>2949.0462443554106</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3004.7777476010351</v>
      </c>
      <c r="Q39" s="97">
        <f ca="1">MAX( _Saldo_Final _Anterior + _Saldo_Ciclico, 0)</f>
        <v>90092.630865677318</v>
      </c>
      <c r="S39" s="20">
        <f t="shared" ca="1" si="4"/>
        <v>32.283192726867703</v>
      </c>
      <c r="T39" s="20">
        <f t="shared" ca="1" si="5"/>
        <v>451.96469817614786</v>
      </c>
      <c r="U39" s="20">
        <f ca="1">Fechas!_Dias_Interes_Pago</f>
        <v>14</v>
      </c>
      <c r="V39" s="20">
        <f t="shared" ca="1" si="6"/>
        <v>451.96469817614786</v>
      </c>
      <c r="X39" s="97">
        <f t="shared" ca="1" si="7"/>
        <v>54.235763781137742</v>
      </c>
      <c r="Z39" s="97">
        <f t="shared" ca="1" si="8"/>
        <v>2498.5772856437493</v>
      </c>
      <c r="AA39" s="97">
        <f t="shared" ca="1" si="9"/>
        <v>0</v>
      </c>
      <c r="AB39" s="97">
        <f ca="1">MAX( _Calculo_Capital _Actual, _Stopper_Capital _Actual )</f>
        <v>2498.5772856437493</v>
      </c>
      <c r="AD39" s="97">
        <f t="shared" ca="1" si="10"/>
        <v>3004.7777476010351</v>
      </c>
      <c r="AF39" s="97">
        <f ca="1">MAX(_Saldo_Inicial _Actual - _Capital _Actual, 0)</f>
        <v>87594.053580033564</v>
      </c>
      <c r="AH39" s="292">
        <f>Fechas!_Dias_Interes_CAT</f>
        <v>14</v>
      </c>
      <c r="AI39" s="97">
        <f t="shared" ca="1" si="11"/>
        <v>451.96469817614786</v>
      </c>
      <c r="AJ39" s="293">
        <f t="shared" ca="1" si="12"/>
        <v>2950.5419838198973</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3004.7777476010351</v>
      </c>
      <c r="Q40" s="97">
        <f ca="1">MAX( _Saldo_Final _Anterior + _Saldo_Ciclico, 0)</f>
        <v>87594.053580033564</v>
      </c>
      <c r="S40" s="20">
        <f t="shared" ca="1" si="4"/>
        <v>31.387869199512028</v>
      </c>
      <c r="T40" s="20">
        <f t="shared" ca="1" si="5"/>
        <v>439.43016879316838</v>
      </c>
      <c r="U40" s="20">
        <f ca="1">Fechas!_Dias_Interes_Pago</f>
        <v>14</v>
      </c>
      <c r="V40" s="20">
        <f t="shared" ca="1" si="6"/>
        <v>439.43016879316838</v>
      </c>
      <c r="X40" s="97">
        <f t="shared" ca="1" si="7"/>
        <v>52.731620255180204</v>
      </c>
      <c r="Z40" s="97">
        <f t="shared" ca="1" si="8"/>
        <v>2512.6159585526866</v>
      </c>
      <c r="AA40" s="97">
        <f t="shared" ca="1" si="9"/>
        <v>0</v>
      </c>
      <c r="AB40" s="97">
        <f ca="1">MAX( _Calculo_Capital _Actual, _Stopper_Capital _Actual )</f>
        <v>2512.6159585526866</v>
      </c>
      <c r="AD40" s="97">
        <f t="shared" ca="1" si="10"/>
        <v>3004.7777476010351</v>
      </c>
      <c r="AF40" s="97">
        <f ca="1">MAX(_Saldo_Inicial _Actual - _Capital _Actual, 0)</f>
        <v>85081.437621480873</v>
      </c>
      <c r="AH40" s="292">
        <f>Fechas!_Dias_Interes_CAT</f>
        <v>14</v>
      </c>
      <c r="AI40" s="97">
        <f t="shared" ca="1" si="11"/>
        <v>439.43016879316838</v>
      </c>
      <c r="AJ40" s="293">
        <f t="shared" ca="1" si="12"/>
        <v>2952.046127345855</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3004.7777476010351</v>
      </c>
      <c r="Q41" s="97">
        <f ca="1">MAX( _Saldo_Final _Anterior + _Saldo_Ciclico, 0)</f>
        <v>85081.437621480873</v>
      </c>
      <c r="S41" s="20">
        <f t="shared" ca="1" si="4"/>
        <v>30.487515147697312</v>
      </c>
      <c r="T41" s="20">
        <f t="shared" ca="1" si="5"/>
        <v>426.82521206776238</v>
      </c>
      <c r="U41" s="20">
        <f ca="1">Fechas!_Dias_Interes_Pago</f>
        <v>14</v>
      </c>
      <c r="V41" s="20">
        <f t="shared" ca="1" si="6"/>
        <v>426.82521206776238</v>
      </c>
      <c r="X41" s="97">
        <f t="shared" ca="1" si="7"/>
        <v>51.219025448131482</v>
      </c>
      <c r="Z41" s="97">
        <f t="shared" ca="1" si="8"/>
        <v>2526.7335100851415</v>
      </c>
      <c r="AA41" s="97">
        <f t="shared" ca="1" si="9"/>
        <v>0</v>
      </c>
      <c r="AB41" s="97">
        <f ca="1">MAX( _Calculo_Capital _Actual, _Stopper_Capital _Actual )</f>
        <v>2526.7335100851415</v>
      </c>
      <c r="AD41" s="97">
        <f t="shared" ca="1" si="10"/>
        <v>3004.7777476010356</v>
      </c>
      <c r="AF41" s="97">
        <f ca="1">MAX(_Saldo_Inicial _Actual - _Capital _Actual, 0)</f>
        <v>82554.704111395724</v>
      </c>
      <c r="AH41" s="292">
        <f>Fechas!_Dias_Interes_CAT</f>
        <v>14</v>
      </c>
      <c r="AI41" s="97">
        <f t="shared" ca="1" si="11"/>
        <v>426.82521206776238</v>
      </c>
      <c r="AJ41" s="293">
        <f t="shared" ca="1" si="12"/>
        <v>2953.558722152904</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3004.7777476010351</v>
      </c>
      <c r="Q42" s="97">
        <f ca="1">MAX( _Saldo_Final _Anterior + _Saldo_Ciclico, 0)</f>
        <v>82554.704111395724</v>
      </c>
      <c r="S42" s="20">
        <f t="shared" ca="1" si="4"/>
        <v>29.582102306583469</v>
      </c>
      <c r="T42" s="20">
        <f t="shared" ca="1" si="5"/>
        <v>414.14943229216857</v>
      </c>
      <c r="U42" s="20">
        <f ca="1">Fechas!_Dias_Interes_Pago</f>
        <v>14</v>
      </c>
      <c r="V42" s="20">
        <f t="shared" ca="1" si="6"/>
        <v>414.14943229216857</v>
      </c>
      <c r="X42" s="97">
        <f t="shared" ca="1" si="7"/>
        <v>49.697931875060227</v>
      </c>
      <c r="Z42" s="97">
        <f t="shared" ca="1" si="8"/>
        <v>2540.9303834338061</v>
      </c>
      <c r="AA42" s="97">
        <f t="shared" ca="1" si="9"/>
        <v>0</v>
      </c>
      <c r="AB42" s="97">
        <f ca="1">MAX( _Calculo_Capital _Actual, _Stopper_Capital _Actual )</f>
        <v>2540.9303834338061</v>
      </c>
      <c r="AD42" s="97">
        <f t="shared" ca="1" si="10"/>
        <v>3004.7777476010347</v>
      </c>
      <c r="AF42" s="97">
        <f ca="1">MAX(_Saldo_Inicial _Actual - _Capital _Actual, 0)</f>
        <v>80013.773727961918</v>
      </c>
      <c r="AH42" s="292">
        <f>Fechas!_Dias_Interes_CAT</f>
        <v>14</v>
      </c>
      <c r="AI42" s="97">
        <f t="shared" ca="1" si="11"/>
        <v>414.14943229216857</v>
      </c>
      <c r="AJ42" s="293">
        <f t="shared" ca="1" si="12"/>
        <v>2955.0798157259746</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3004.7777476010351</v>
      </c>
      <c r="Q43" s="97">
        <f ca="1">MAX( _Saldo_Final _Anterior + _Saldo_Ciclico, 0)</f>
        <v>80013.773727961918</v>
      </c>
      <c r="S43" s="20">
        <f t="shared" ca="1" si="4"/>
        <v>28.671602252519687</v>
      </c>
      <c r="T43" s="20">
        <f t="shared" ca="1" si="5"/>
        <v>401.40243153527564</v>
      </c>
      <c r="U43" s="20">
        <f ca="1">Fechas!_Dias_Interes_Pago</f>
        <v>14</v>
      </c>
      <c r="V43" s="20">
        <f t="shared" ca="1" si="6"/>
        <v>401.40243153527564</v>
      </c>
      <c r="X43" s="97">
        <f t="shared" ca="1" si="7"/>
        <v>48.168291784233077</v>
      </c>
      <c r="Z43" s="97">
        <f t="shared" ca="1" si="8"/>
        <v>2555.2070242815262</v>
      </c>
      <c r="AA43" s="97">
        <f t="shared" ca="1" si="9"/>
        <v>0</v>
      </c>
      <c r="AB43" s="97">
        <f ca="1">MAX( _Calculo_Capital _Actual, _Stopper_Capital _Actual )</f>
        <v>2555.2070242815262</v>
      </c>
      <c r="AD43" s="97">
        <f t="shared" ca="1" si="10"/>
        <v>3004.7777476010351</v>
      </c>
      <c r="AF43" s="97">
        <f ca="1">MAX(_Saldo_Inicial _Actual - _Capital _Actual, 0)</f>
        <v>77458.566703680393</v>
      </c>
      <c r="AH43" s="292">
        <f>Fechas!_Dias_Interes_CAT</f>
        <v>14</v>
      </c>
      <c r="AI43" s="97">
        <f t="shared" ca="1" si="11"/>
        <v>401.40243153527564</v>
      </c>
      <c r="AJ43" s="293">
        <f t="shared" ca="1" si="12"/>
        <v>2956.609455816802</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25</v>
      </c>
      <c r="L44" s="32">
        <f t="shared" ca="1" si="1"/>
        <v>1</v>
      </c>
      <c r="M44"/>
      <c r="N44" s="20">
        <f t="shared" ca="1" si="2"/>
        <v>0</v>
      </c>
      <c r="O44" s="97">
        <f t="shared" ca="1" si="3"/>
        <v>3004.7777476010351</v>
      </c>
      <c r="P44"/>
      <c r="Q44" s="97">
        <f ca="1">MAX( _Saldo_Final _Anterior + _Saldo_Ciclico, 0)</f>
        <v>77458.566703680393</v>
      </c>
      <c r="R44"/>
      <c r="S44" s="20">
        <f t="shared" ca="1" si="4"/>
        <v>27.755986402152143</v>
      </c>
      <c r="T44" s="20">
        <f t="shared" ca="1" si="5"/>
        <v>388.58380963013002</v>
      </c>
      <c r="U44" s="20">
        <f ca="1">Fechas!_Dias_Interes_Pago</f>
        <v>14</v>
      </c>
      <c r="V44" s="20">
        <f t="shared" ca="1" si="6"/>
        <v>388.58380963013002</v>
      </c>
      <c r="W44"/>
      <c r="X44" s="97">
        <f t="shared" ca="1" si="7"/>
        <v>46.630057155615603</v>
      </c>
      <c r="Y44"/>
      <c r="Z44" s="97">
        <f t="shared" ca="1" si="8"/>
        <v>2569.5638808152894</v>
      </c>
      <c r="AA44" s="97">
        <f t="shared" ca="1" si="9"/>
        <v>0</v>
      </c>
      <c r="AB44" s="97">
        <f ca="1">MAX( _Calculo_Capital _Actual, _Stopper_Capital _Actual )</f>
        <v>2569.5638808152894</v>
      </c>
      <c r="AC44"/>
      <c r="AD44" s="97">
        <f t="shared" ca="1" si="10"/>
        <v>3004.7777476010351</v>
      </c>
      <c r="AE44"/>
      <c r="AF44" s="97">
        <f ca="1">MAX(_Saldo_Inicial _Actual - _Capital _Actual, 0)</f>
        <v>74889.002822865106</v>
      </c>
      <c r="AH44" s="292">
        <f>Fechas!_Dias_Interes_CAT</f>
        <v>14</v>
      </c>
      <c r="AI44" s="97">
        <f t="shared" ca="1" si="11"/>
        <v>388.58380963013002</v>
      </c>
      <c r="AJ44" s="293">
        <f t="shared" ca="1" si="12"/>
        <v>2958.1476904454194</v>
      </c>
      <c r="AK44" s="44"/>
      <c r="AL44" s="44"/>
      <c r="AM44" s="44"/>
      <c r="AN44" s="102"/>
      <c r="AO44" s="301"/>
      <c r="AP44" s="301"/>
    </row>
    <row r="45" spans="2:57">
      <c r="B45" s="32"/>
      <c r="C45" s="32"/>
      <c r="J45" s="14">
        <v>26</v>
      </c>
      <c r="K45" s="14">
        <f t="shared" ca="1" si="0"/>
        <v>26</v>
      </c>
      <c r="L45" s="32">
        <f t="shared" ca="1" si="1"/>
        <v>1</v>
      </c>
      <c r="N45" s="20">
        <f t="shared" ca="1" si="2"/>
        <v>0</v>
      </c>
      <c r="O45" s="97">
        <f t="shared" ca="1" si="3"/>
        <v>3004.7777476010351</v>
      </c>
      <c r="Q45" s="97">
        <f ca="1">MAX( _Saldo_Final _Anterior + _Saldo_Ciclico, 0)</f>
        <v>74889.002822865106</v>
      </c>
      <c r="S45" s="20">
        <f t="shared" ca="1" si="4"/>
        <v>26.835226011526665</v>
      </c>
      <c r="T45" s="20">
        <f t="shared" ca="1" si="5"/>
        <v>375.69316416137332</v>
      </c>
      <c r="U45" s="20">
        <f ca="1">Fechas!_Dias_Interes_Pago</f>
        <v>14</v>
      </c>
      <c r="V45" s="20">
        <f t="shared" ca="1" si="6"/>
        <v>375.69316416137332</v>
      </c>
      <c r="X45" s="97">
        <f t="shared" ca="1" si="7"/>
        <v>45.083179699364798</v>
      </c>
      <c r="Z45" s="97">
        <f t="shared" ca="1" si="8"/>
        <v>2584.0014037402971</v>
      </c>
      <c r="AA45" s="97">
        <f t="shared" ca="1" si="9"/>
        <v>0</v>
      </c>
      <c r="AB45" s="97">
        <f ca="1">MAX( _Calculo_Capital _Actual, _Stopper_Capital _Actual )</f>
        <v>2584.0014037402971</v>
      </c>
      <c r="AD45" s="97">
        <f t="shared" ca="1" si="10"/>
        <v>3004.7777476010351</v>
      </c>
      <c r="AF45" s="97">
        <f ca="1">MAX(_Saldo_Inicial _Actual - _Capital _Actual, 0)</f>
        <v>72305.001419124805</v>
      </c>
      <c r="AH45" s="292">
        <f>Fechas!_Dias_Interes_CAT</f>
        <v>14</v>
      </c>
      <c r="AI45" s="97">
        <f t="shared" ca="1" si="11"/>
        <v>375.69316416137332</v>
      </c>
      <c r="AJ45" s="293">
        <f t="shared" ca="1" si="12"/>
        <v>2959.6945679016703</v>
      </c>
      <c r="AK45" s="44"/>
      <c r="AL45" s="44"/>
      <c r="AM45" s="44"/>
      <c r="AN45" s="102"/>
      <c r="AO45" s="32"/>
      <c r="AP45" s="32"/>
      <c r="AV45" s="14"/>
      <c r="AW45" s="14"/>
      <c r="AX45" s="14"/>
      <c r="AY45" s="14"/>
      <c r="AZ45" s="14"/>
      <c r="BC45" s="14"/>
      <c r="BD45" s="14"/>
      <c r="BE45" s="14"/>
    </row>
    <row r="46" spans="2:57">
      <c r="B46" s="32"/>
      <c r="C46" s="32"/>
      <c r="J46" s="14">
        <v>27</v>
      </c>
      <c r="K46" s="14">
        <f t="shared" ca="1" si="0"/>
        <v>27</v>
      </c>
      <c r="L46" s="32">
        <f t="shared" ca="1" si="1"/>
        <v>1</v>
      </c>
      <c r="N46" s="20">
        <f t="shared" ca="1" si="2"/>
        <v>0</v>
      </c>
      <c r="O46" s="97">
        <f t="shared" ca="1" si="3"/>
        <v>3004.7777476010351</v>
      </c>
      <c r="Q46" s="97">
        <f ca="1">MAX( _Saldo_Final _Anterior + _Saldo_Ciclico, 0)</f>
        <v>72305.001419124805</v>
      </c>
      <c r="S46" s="20">
        <f t="shared" ca="1" si="4"/>
        <v>25.909292175186387</v>
      </c>
      <c r="T46" s="20">
        <f t="shared" ca="1" si="5"/>
        <v>362.73009045260943</v>
      </c>
      <c r="U46" s="20">
        <f ca="1">Fechas!_Dias_Interes_Pago</f>
        <v>14</v>
      </c>
      <c r="V46" s="20">
        <f t="shared" ca="1" si="6"/>
        <v>362.73009045260943</v>
      </c>
      <c r="X46" s="97">
        <f t="shared" ca="1" si="7"/>
        <v>43.527610854313131</v>
      </c>
      <c r="Z46" s="97">
        <f t="shared" ca="1" si="8"/>
        <v>2598.5200462941125</v>
      </c>
      <c r="AA46" s="97">
        <f t="shared" ca="1" si="9"/>
        <v>0</v>
      </c>
      <c r="AB46" s="97">
        <f ca="1">MAX( _Calculo_Capital _Actual, _Stopper_Capital _Actual )</f>
        <v>2598.5200462941125</v>
      </c>
      <c r="AD46" s="97">
        <f t="shared" ca="1" si="10"/>
        <v>3004.7777476010351</v>
      </c>
      <c r="AF46" s="97">
        <f ca="1">MAX(_Saldo_Inicial _Actual - _Capital _Actual, 0)</f>
        <v>69706.481372830691</v>
      </c>
      <c r="AH46" s="292">
        <f>Fechas!_Dias_Interes_CAT</f>
        <v>14</v>
      </c>
      <c r="AI46" s="97">
        <f t="shared" ca="1" si="11"/>
        <v>362.73009045260943</v>
      </c>
      <c r="AJ46" s="293">
        <f t="shared" ca="1" si="12"/>
        <v>2961.2501367467221</v>
      </c>
      <c r="AK46" s="44"/>
      <c r="AL46" s="44"/>
      <c r="AM46" s="44"/>
      <c r="AN46" s="102"/>
      <c r="AO46" s="32"/>
      <c r="AP46" s="32"/>
      <c r="AV46" s="14"/>
      <c r="AW46" s="14"/>
      <c r="AX46" s="14"/>
      <c r="AY46" s="14"/>
      <c r="AZ46" s="14"/>
      <c r="BC46" s="14"/>
      <c r="BD46" s="14"/>
      <c r="BE46" s="14"/>
    </row>
    <row r="47" spans="2:57">
      <c r="B47" s="32"/>
      <c r="C47" s="32"/>
      <c r="J47" s="14">
        <v>28</v>
      </c>
      <c r="K47" s="14">
        <f t="shared" ca="1" si="0"/>
        <v>28</v>
      </c>
      <c r="L47" s="32">
        <f t="shared" ca="1" si="1"/>
        <v>1</v>
      </c>
      <c r="N47" s="20">
        <f t="shared" ca="1" si="2"/>
        <v>0</v>
      </c>
      <c r="O47" s="97">
        <f t="shared" ca="1" si="3"/>
        <v>3004.7777476010351</v>
      </c>
      <c r="Q47" s="97">
        <f ca="1">MAX( _Saldo_Final _Anterior + _Saldo_Ciclico, 0)</f>
        <v>69706.481372830691</v>
      </c>
      <c r="S47" s="20">
        <f t="shared" ca="1" si="4"/>
        <v>24.978155825264331</v>
      </c>
      <c r="T47" s="20">
        <f t="shared" ca="1" si="5"/>
        <v>349.69418155370062</v>
      </c>
      <c r="U47" s="20">
        <f ca="1">Fechas!_Dias_Interes_Pago</f>
        <v>14</v>
      </c>
      <c r="V47" s="20">
        <f t="shared" ca="1" si="6"/>
        <v>349.69418155370062</v>
      </c>
      <c r="X47" s="97">
        <f t="shared" ca="1" si="7"/>
        <v>41.96330178644407</v>
      </c>
      <c r="Z47" s="97">
        <f t="shared" ca="1" si="8"/>
        <v>2613.1202642608905</v>
      </c>
      <c r="AA47" s="97">
        <f t="shared" ca="1" si="9"/>
        <v>0</v>
      </c>
      <c r="AB47" s="97">
        <f ca="1">MAX( _Calculo_Capital _Actual, _Stopper_Capital _Actual )</f>
        <v>2613.1202642608905</v>
      </c>
      <c r="AD47" s="97">
        <f t="shared" ca="1" si="10"/>
        <v>3004.7777476010351</v>
      </c>
      <c r="AF47" s="97">
        <f ca="1">MAX(_Saldo_Inicial _Actual - _Capital _Actual, 0)</f>
        <v>67093.361108569807</v>
      </c>
      <c r="AH47" s="292">
        <f>Fechas!_Dias_Interes_CAT</f>
        <v>14</v>
      </c>
      <c r="AI47" s="97">
        <f t="shared" ca="1" si="11"/>
        <v>349.69418155370062</v>
      </c>
      <c r="AJ47" s="293">
        <f t="shared" ca="1" si="12"/>
        <v>2962.8144458145912</v>
      </c>
      <c r="AK47" s="44"/>
      <c r="AL47" s="44"/>
      <c r="AM47" s="44"/>
      <c r="AN47" s="102"/>
      <c r="AO47" s="32"/>
      <c r="AP47" s="32"/>
      <c r="AV47" s="14"/>
      <c r="AW47" s="14"/>
      <c r="AX47" s="14"/>
      <c r="AY47" s="14"/>
      <c r="AZ47" s="14"/>
      <c r="BC47" s="14"/>
      <c r="BD47" s="14"/>
      <c r="BE47" s="14"/>
    </row>
    <row r="48" spans="2:57">
      <c r="B48" s="32"/>
      <c r="C48" s="32"/>
      <c r="J48" s="14">
        <v>29</v>
      </c>
      <c r="K48" s="14">
        <f t="shared" ca="1" si="0"/>
        <v>29</v>
      </c>
      <c r="L48" s="32">
        <f t="shared" ca="1" si="1"/>
        <v>1</v>
      </c>
      <c r="N48" s="20">
        <f t="shared" ca="1" si="2"/>
        <v>0</v>
      </c>
      <c r="O48" s="97">
        <f t="shared" ca="1" si="3"/>
        <v>3004.7777476010351</v>
      </c>
      <c r="Q48" s="97">
        <f ca="1">MAX( _Saldo_Final _Anterior + _Saldo_Ciclico, 0)</f>
        <v>67093.361108569807</v>
      </c>
      <c r="S48" s="20">
        <f t="shared" ca="1" si="4"/>
        <v>24.041787730570846</v>
      </c>
      <c r="T48" s="20">
        <f t="shared" ca="1" si="5"/>
        <v>336.58502822799187</v>
      </c>
      <c r="U48" s="20">
        <f ca="1">Fechas!_Dias_Interes_Pago</f>
        <v>14</v>
      </c>
      <c r="V48" s="20">
        <f t="shared" ca="1" si="6"/>
        <v>336.58502822799187</v>
      </c>
      <c r="X48" s="97">
        <f t="shared" ca="1" si="7"/>
        <v>40.390203387359023</v>
      </c>
      <c r="Z48" s="97">
        <f t="shared" ca="1" si="8"/>
        <v>2627.8025159856843</v>
      </c>
      <c r="AA48" s="97">
        <f t="shared" ca="1" si="9"/>
        <v>0</v>
      </c>
      <c r="AB48" s="97">
        <f ca="1">MAX( _Calculo_Capital _Actual, _Stopper_Capital _Actual )</f>
        <v>2627.8025159856843</v>
      </c>
      <c r="AD48" s="97">
        <f t="shared" ca="1" si="10"/>
        <v>3004.7777476010351</v>
      </c>
      <c r="AF48" s="97">
        <f ca="1">MAX(_Saldo_Inicial _Actual - _Capital _Actual, 0)</f>
        <v>64465.558592584122</v>
      </c>
      <c r="AH48" s="292">
        <f>Fechas!_Dias_Interes_CAT</f>
        <v>14</v>
      </c>
      <c r="AI48" s="97">
        <f t="shared" ca="1" si="11"/>
        <v>336.58502822799187</v>
      </c>
      <c r="AJ48" s="293">
        <f t="shared" ca="1" si="12"/>
        <v>2964.3875442136759</v>
      </c>
      <c r="AK48" s="44"/>
      <c r="AL48" s="44"/>
      <c r="AM48" s="44"/>
      <c r="AN48" s="102"/>
      <c r="AO48" s="32"/>
      <c r="AP48" s="32"/>
      <c r="AV48" s="14"/>
      <c r="AW48" s="14"/>
      <c r="AX48" s="14"/>
      <c r="AY48" s="14"/>
      <c r="AZ48" s="14"/>
      <c r="BC48" s="14"/>
      <c r="BD48" s="14"/>
      <c r="BE48" s="14"/>
    </row>
    <row r="49" spans="2:57">
      <c r="B49" s="32"/>
      <c r="C49" s="32"/>
      <c r="J49" s="14">
        <v>30</v>
      </c>
      <c r="K49" s="14">
        <f t="shared" ca="1" si="0"/>
        <v>30</v>
      </c>
      <c r="L49" s="32">
        <f t="shared" ca="1" si="1"/>
        <v>1</v>
      </c>
      <c r="N49" s="20">
        <f t="shared" ca="1" si="2"/>
        <v>0</v>
      </c>
      <c r="O49" s="97">
        <f t="shared" ca="1" si="3"/>
        <v>3004.7777476010351</v>
      </c>
      <c r="Q49" s="97">
        <f ca="1">MAX( _Saldo_Final _Anterior + _Saldo_Ciclico, 0)</f>
        <v>64465.558592584122</v>
      </c>
      <c r="S49" s="20">
        <f t="shared" ca="1" si="4"/>
        <v>23.100158495675977</v>
      </c>
      <c r="T49" s="20">
        <f t="shared" ca="1" si="5"/>
        <v>323.40221893946369</v>
      </c>
      <c r="U49" s="20">
        <f ca="1">Fechas!_Dias_Interes_Pago</f>
        <v>14</v>
      </c>
      <c r="V49" s="20">
        <f t="shared" ca="1" si="6"/>
        <v>323.40221893946369</v>
      </c>
      <c r="X49" s="97">
        <f t="shared" ca="1" si="7"/>
        <v>38.808266272735644</v>
      </c>
      <c r="Z49" s="97">
        <f t="shared" ca="1" si="8"/>
        <v>2642.5672623888358</v>
      </c>
      <c r="AA49" s="97">
        <f t="shared" ca="1" si="9"/>
        <v>0</v>
      </c>
      <c r="AB49" s="97">
        <f ca="1">MAX( _Calculo_Capital _Actual, _Stopper_Capital _Actual )</f>
        <v>2642.5672623888358</v>
      </c>
      <c r="AD49" s="97">
        <f t="shared" ca="1" si="10"/>
        <v>3004.7777476010351</v>
      </c>
      <c r="AF49" s="97">
        <f ca="1">MAX(_Saldo_Inicial _Actual - _Capital _Actual, 0)</f>
        <v>61822.991330195284</v>
      </c>
      <c r="AH49" s="292">
        <f>Fechas!_Dias_Interes_CAT</f>
        <v>14</v>
      </c>
      <c r="AI49" s="97">
        <f t="shared" ca="1" si="11"/>
        <v>323.40221893946369</v>
      </c>
      <c r="AJ49" s="293">
        <f t="shared" ca="1" si="12"/>
        <v>2965.9694813282995</v>
      </c>
      <c r="AK49" s="44"/>
      <c r="AL49" s="44"/>
      <c r="AM49" s="44"/>
      <c r="AN49" s="102"/>
      <c r="AO49" s="32"/>
      <c r="AP49" s="32"/>
      <c r="AV49" s="14"/>
      <c r="AW49" s="14"/>
      <c r="AX49" s="14"/>
      <c r="AY49" s="14"/>
      <c r="AZ49" s="14"/>
      <c r="BC49" s="14"/>
      <c r="BD49" s="14"/>
      <c r="BE49" s="14"/>
    </row>
    <row r="50" spans="2:57">
      <c r="B50" s="32"/>
      <c r="C50" s="32"/>
      <c r="J50" s="14">
        <v>31</v>
      </c>
      <c r="K50" s="14">
        <f t="shared" ca="1" si="0"/>
        <v>31</v>
      </c>
      <c r="L50" s="32">
        <f t="shared" ca="1" si="1"/>
        <v>1</v>
      </c>
      <c r="N50" s="20">
        <f t="shared" ca="1" si="2"/>
        <v>0</v>
      </c>
      <c r="O50" s="97">
        <f t="shared" ca="1" si="3"/>
        <v>3004.7777476010351</v>
      </c>
      <c r="Q50" s="97">
        <f ca="1">MAX( _Saldo_Final _Anterior + _Saldo_Ciclico, 0)</f>
        <v>61822.991330195284</v>
      </c>
      <c r="S50" s="20">
        <f t="shared" ca="1" si="4"/>
        <v>22.153238559986644</v>
      </c>
      <c r="T50" s="20">
        <f t="shared" ca="1" si="5"/>
        <v>310.145339839813</v>
      </c>
      <c r="U50" s="20">
        <f ca="1">Fechas!_Dias_Interes_Pago</f>
        <v>14</v>
      </c>
      <c r="V50" s="20">
        <f t="shared" ca="1" si="6"/>
        <v>310.145339839813</v>
      </c>
      <c r="X50" s="97">
        <f t="shared" ca="1" si="7"/>
        <v>37.217440780777558</v>
      </c>
      <c r="Z50" s="97">
        <f t="shared" ca="1" si="8"/>
        <v>2657.4149669804447</v>
      </c>
      <c r="AA50" s="97">
        <f t="shared" ca="1" si="9"/>
        <v>0</v>
      </c>
      <c r="AB50" s="97">
        <f ca="1">MAX( _Calculo_Capital _Actual, _Stopper_Capital _Actual )</f>
        <v>2657.4149669804447</v>
      </c>
      <c r="AD50" s="97">
        <f t="shared" ca="1" si="10"/>
        <v>3004.7777476010351</v>
      </c>
      <c r="AF50" s="97">
        <f ca="1">MAX(_Saldo_Inicial _Actual - _Capital _Actual, 0)</f>
        <v>59165.576363214837</v>
      </c>
      <c r="AH50" s="292">
        <f>Fechas!_Dias_Interes_CAT</f>
        <v>14</v>
      </c>
      <c r="AI50" s="97">
        <f t="shared" ca="1" si="11"/>
        <v>310.145339839813</v>
      </c>
      <c r="AJ50" s="293">
        <f t="shared" ca="1" si="12"/>
        <v>2967.5603068202577</v>
      </c>
      <c r="AK50" s="44"/>
      <c r="AL50" s="44"/>
      <c r="AM50" s="44"/>
      <c r="AN50" s="102"/>
      <c r="AO50" s="32"/>
      <c r="AP50" s="32"/>
      <c r="AV50" s="14"/>
      <c r="AW50" s="14"/>
      <c r="AX50" s="14"/>
      <c r="AY50" s="14"/>
      <c r="AZ50" s="14"/>
      <c r="BC50" s="14"/>
      <c r="BD50" s="14"/>
      <c r="BE50" s="14"/>
    </row>
    <row r="51" spans="2:57">
      <c r="B51" s="32"/>
      <c r="C51" s="32"/>
      <c r="J51" s="14">
        <v>32</v>
      </c>
      <c r="K51" s="14">
        <f t="shared" ca="1" si="0"/>
        <v>32</v>
      </c>
      <c r="L51" s="32">
        <f t="shared" ca="1" si="1"/>
        <v>1</v>
      </c>
      <c r="N51" s="20">
        <f t="shared" ca="1" si="2"/>
        <v>0</v>
      </c>
      <c r="O51" s="97">
        <f t="shared" ca="1" si="3"/>
        <v>3004.7777476010351</v>
      </c>
      <c r="Q51" s="97">
        <f ca="1">MAX( _Saldo_Final _Anterior + _Saldo_Ciclico, 0)</f>
        <v>59165.576363214837</v>
      </c>
      <c r="S51" s="20">
        <f t="shared" ca="1" si="4"/>
        <v>21.200998196818649</v>
      </c>
      <c r="T51" s="20">
        <f t="shared" ca="1" si="5"/>
        <v>296.81397475546106</v>
      </c>
      <c r="U51" s="20">
        <f ca="1">Fechas!_Dias_Interes_Pago</f>
        <v>14</v>
      </c>
      <c r="V51" s="20">
        <f t="shared" ca="1" si="6"/>
        <v>296.81397475546106</v>
      </c>
      <c r="X51" s="97">
        <f t="shared" ca="1" si="7"/>
        <v>35.617676970655324</v>
      </c>
      <c r="Z51" s="97">
        <f t="shared" ca="1" si="8"/>
        <v>2672.3460958749188</v>
      </c>
      <c r="AA51" s="97">
        <f t="shared" ca="1" si="9"/>
        <v>0</v>
      </c>
      <c r="AB51" s="97">
        <f ca="1">MAX( _Calculo_Capital _Actual, _Stopper_Capital _Actual )</f>
        <v>2672.3460958749188</v>
      </c>
      <c r="AD51" s="97">
        <f t="shared" ca="1" si="10"/>
        <v>3004.7777476010351</v>
      </c>
      <c r="AF51" s="97">
        <f ca="1">MAX(_Saldo_Inicial _Actual - _Capital _Actual, 0)</f>
        <v>56493.230267339917</v>
      </c>
      <c r="AH51" s="292">
        <f>Fechas!_Dias_Interes_CAT</f>
        <v>14</v>
      </c>
      <c r="AI51" s="97">
        <f t="shared" ca="1" si="11"/>
        <v>296.81397475546106</v>
      </c>
      <c r="AJ51" s="293">
        <f t="shared" ca="1" si="12"/>
        <v>2969.1600706303798</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33</v>
      </c>
      <c r="L52" s="32">
        <f t="shared" ref="L52:L78" ca="1" si="14">INT(( _Amortizacion - 1 ) / Periodos.Por.Ciclo ) + 1</f>
        <v>1</v>
      </c>
      <c r="N52" s="20">
        <f t="shared" ca="1" si="2"/>
        <v>0</v>
      </c>
      <c r="O52" s="97">
        <f t="shared" ref="O52:O78" ca="1" si="15" xml:space="preserve"> ( Pago.Fijo + ( Pago.Extra.Ciclo.1 * ( _Ciclo = 1 ) ) ) * ( _Amortizacion &lt;= Numero.Pagos )</f>
        <v>3004.7777476010351</v>
      </c>
      <c r="Q52" s="97">
        <f ca="1">MAX( _Saldo_Final _Anterior + _Saldo_Ciclico, 0)</f>
        <v>56493.230267339917</v>
      </c>
      <c r="S52" s="20">
        <f t="shared" ca="1" si="4"/>
        <v>20.24340751246347</v>
      </c>
      <c r="T52" s="20">
        <f t="shared" ca="1" si="5"/>
        <v>283.40770517448857</v>
      </c>
      <c r="U52" s="20">
        <f ca="1">Fechas!_Dias_Interes_Pago</f>
        <v>14</v>
      </c>
      <c r="V52" s="20">
        <f t="shared" ca="1" si="6"/>
        <v>283.40770517448857</v>
      </c>
      <c r="X52" s="97">
        <f t="shared" ca="1" si="7"/>
        <v>34.008924620938629</v>
      </c>
      <c r="Z52" s="97">
        <f t="shared" ca="1" si="8"/>
        <v>2687.361117805608</v>
      </c>
      <c r="AA52" s="97">
        <f t="shared" ca="1" si="9"/>
        <v>0</v>
      </c>
      <c r="AB52" s="97">
        <f ca="1">MAX( _Calculo_Capital _Actual, _Stopper_Capital _Actual )</f>
        <v>2687.361117805608</v>
      </c>
      <c r="AD52" s="97">
        <f t="shared" ca="1" si="10"/>
        <v>3004.7777476010351</v>
      </c>
      <c r="AF52" s="97">
        <f ca="1">MAX(_Saldo_Inicial _Actual - _Capital _Actual, 0)</f>
        <v>53805.869149534308</v>
      </c>
      <c r="AH52" s="292">
        <f>Fechas!_Dias_Interes_CAT</f>
        <v>14</v>
      </c>
      <c r="AI52" s="97">
        <f t="shared" ca="1" si="11"/>
        <v>283.40770517448857</v>
      </c>
      <c r="AJ52" s="293">
        <f t="shared" ca="1" si="12"/>
        <v>2970.7688229800965</v>
      </c>
      <c r="AK52" s="44"/>
      <c r="AL52" s="44"/>
      <c r="AM52" s="44"/>
      <c r="AN52" s="102"/>
      <c r="AO52" s="32"/>
      <c r="AP52" s="32"/>
      <c r="AV52" s="14"/>
      <c r="AW52" s="14"/>
      <c r="AX52" s="14"/>
      <c r="AY52" s="14"/>
      <c r="AZ52" s="14"/>
      <c r="BC52" s="14"/>
      <c r="BD52" s="14"/>
      <c r="BE52" s="14"/>
    </row>
    <row r="53" spans="2:57">
      <c r="B53" s="32"/>
      <c r="C53" s="32"/>
      <c r="J53" s="14">
        <v>34</v>
      </c>
      <c r="K53" s="14">
        <f t="shared" ca="1" si="13"/>
        <v>34</v>
      </c>
      <c r="L53" s="32">
        <f t="shared" ca="1" si="14"/>
        <v>1</v>
      </c>
      <c r="N53" s="20">
        <f t="shared" ca="1" si="2"/>
        <v>0</v>
      </c>
      <c r="O53" s="97">
        <f t="shared" ca="1" si="15"/>
        <v>3004.7777476010351</v>
      </c>
      <c r="Q53" s="97">
        <f ca="1">MAX( _Saldo_Final _Anterior + _Saldo_Ciclico, 0)</f>
        <v>53805.869149534308</v>
      </c>
      <c r="S53" s="20">
        <f t="shared" ca="1" si="4"/>
        <v>19.280436445249794</v>
      </c>
      <c r="T53" s="20">
        <f t="shared" ca="1" si="5"/>
        <v>269.92611023349713</v>
      </c>
      <c r="U53" s="20">
        <f ca="1">Fechas!_Dias_Interes_Pago</f>
        <v>14</v>
      </c>
      <c r="V53" s="20">
        <f t="shared" ca="1" si="6"/>
        <v>269.92611023349713</v>
      </c>
      <c r="X53" s="97">
        <f t="shared" ca="1" si="7"/>
        <v>32.391133228019655</v>
      </c>
      <c r="Z53" s="97">
        <f t="shared" ca="1" si="8"/>
        <v>2702.4605041395184</v>
      </c>
      <c r="AA53" s="97">
        <f t="shared" ca="1" si="9"/>
        <v>0</v>
      </c>
      <c r="AB53" s="97">
        <f ca="1">MAX( _Calculo_Capital _Actual, _Stopper_Capital _Actual )</f>
        <v>2702.4605041395184</v>
      </c>
      <c r="AD53" s="97">
        <f t="shared" ca="1" si="10"/>
        <v>3004.7777476010351</v>
      </c>
      <c r="AF53" s="97">
        <f ca="1">MAX(_Saldo_Inicial _Actual - _Capital _Actual, 0)</f>
        <v>51103.408645394789</v>
      </c>
      <c r="AH53" s="292">
        <f>Fechas!_Dias_Interes_CAT</f>
        <v>14</v>
      </c>
      <c r="AI53" s="97">
        <f t="shared" ca="1" si="11"/>
        <v>269.92611023349713</v>
      </c>
      <c r="AJ53" s="293">
        <f t="shared" ca="1" si="12"/>
        <v>2972.3866143730156</v>
      </c>
      <c r="AK53" s="44"/>
      <c r="AL53" s="44"/>
      <c r="AM53" s="44"/>
      <c r="AN53" s="102"/>
      <c r="AO53" s="32"/>
      <c r="AP53" s="32"/>
      <c r="AV53" s="14"/>
      <c r="AW53" s="14"/>
      <c r="AX53" s="14"/>
      <c r="AY53" s="14"/>
      <c r="AZ53" s="14"/>
      <c r="BC53" s="14"/>
      <c r="BD53" s="14"/>
      <c r="BE53" s="14"/>
    </row>
    <row r="54" spans="2:57">
      <c r="B54" s="32"/>
      <c r="C54" s="32"/>
      <c r="J54" s="14">
        <v>35</v>
      </c>
      <c r="K54" s="14">
        <f t="shared" ca="1" si="13"/>
        <v>35</v>
      </c>
      <c r="L54" s="32">
        <f t="shared" ca="1" si="14"/>
        <v>1</v>
      </c>
      <c r="N54" s="20">
        <f t="shared" ca="1" si="2"/>
        <v>0</v>
      </c>
      <c r="O54" s="97">
        <f t="shared" ca="1" si="15"/>
        <v>3004.7777476010351</v>
      </c>
      <c r="Q54" s="97">
        <f ca="1">MAX( _Saldo_Final _Anterior + _Saldo_Ciclico, 0)</f>
        <v>51103.408645394789</v>
      </c>
      <c r="S54" s="20">
        <f t="shared" ca="1" si="4"/>
        <v>18.3120547645998</v>
      </c>
      <c r="T54" s="20">
        <f t="shared" ca="1" si="5"/>
        <v>256.36876670439722</v>
      </c>
      <c r="U54" s="20">
        <f ca="1">Fechas!_Dias_Interes_Pago</f>
        <v>14</v>
      </c>
      <c r="V54" s="20">
        <f t="shared" ca="1" si="6"/>
        <v>256.36876670439722</v>
      </c>
      <c r="X54" s="97">
        <f t="shared" ca="1" si="7"/>
        <v>30.764252004527666</v>
      </c>
      <c r="Z54" s="97">
        <f t="shared" ca="1" si="8"/>
        <v>2717.6447288921104</v>
      </c>
      <c r="AA54" s="97">
        <f t="shared" ca="1" si="9"/>
        <v>0</v>
      </c>
      <c r="AB54" s="97">
        <f ca="1">MAX( _Calculo_Capital _Actual, _Stopper_Capital _Actual )</f>
        <v>2717.6447288921104</v>
      </c>
      <c r="AD54" s="97">
        <f t="shared" ca="1" si="10"/>
        <v>3004.7777476010356</v>
      </c>
      <c r="AF54" s="97">
        <f ca="1">MAX(_Saldo_Inicial _Actual - _Capital _Actual, 0)</f>
        <v>48385.763916502678</v>
      </c>
      <c r="AH54" s="292">
        <f>Fechas!_Dias_Interes_CAT</f>
        <v>14</v>
      </c>
      <c r="AI54" s="97">
        <f t="shared" ca="1" si="11"/>
        <v>256.36876670439722</v>
      </c>
      <c r="AJ54" s="293">
        <f t="shared" ca="1" si="12"/>
        <v>2974.0134955965077</v>
      </c>
      <c r="AK54" s="44"/>
      <c r="AL54" s="44"/>
      <c r="AM54" s="44"/>
      <c r="AN54" s="102"/>
      <c r="AO54" s="32"/>
      <c r="AP54" s="32"/>
      <c r="AV54" s="14"/>
      <c r="AW54" s="14"/>
      <c r="AX54" s="14"/>
      <c r="AY54" s="14"/>
      <c r="AZ54" s="14"/>
      <c r="BC54" s="14"/>
      <c r="BD54" s="14"/>
      <c r="BE54" s="14"/>
    </row>
    <row r="55" spans="2:57">
      <c r="B55" s="32"/>
      <c r="C55" s="32"/>
      <c r="J55" s="14">
        <v>36</v>
      </c>
      <c r="K55" s="14">
        <f t="shared" ca="1" si="13"/>
        <v>36</v>
      </c>
      <c r="L55" s="32">
        <f t="shared" ca="1" si="14"/>
        <v>1</v>
      </c>
      <c r="N55" s="20">
        <f t="shared" ca="1" si="2"/>
        <v>0</v>
      </c>
      <c r="O55" s="97">
        <f t="shared" ca="1" si="15"/>
        <v>3004.7777476010351</v>
      </c>
      <c r="Q55" s="97">
        <f ca="1">MAX( _Saldo_Final _Anterior + _Saldo_Ciclico, 0)</f>
        <v>48385.763916502678</v>
      </c>
      <c r="S55" s="20">
        <f t="shared" ca="1" si="4"/>
        <v>17.338232070080124</v>
      </c>
      <c r="T55" s="20">
        <f t="shared" ca="1" si="5"/>
        <v>242.73524898112174</v>
      </c>
      <c r="U55" s="20">
        <f ca="1">Fechas!_Dias_Interes_Pago</f>
        <v>14</v>
      </c>
      <c r="V55" s="20">
        <f t="shared" ca="1" si="6"/>
        <v>242.73524898112174</v>
      </c>
      <c r="X55" s="97">
        <f t="shared" ca="1" si="7"/>
        <v>29.128229877734608</v>
      </c>
      <c r="Z55" s="97">
        <f t="shared" ca="1" si="8"/>
        <v>2732.9142687421786</v>
      </c>
      <c r="AA55" s="97">
        <f t="shared" ca="1" si="9"/>
        <v>0</v>
      </c>
      <c r="AB55" s="97">
        <f ca="1">MAX( _Calculo_Capital _Actual, _Stopper_Capital _Actual )</f>
        <v>2732.9142687421786</v>
      </c>
      <c r="AD55" s="97">
        <f t="shared" ca="1" si="10"/>
        <v>3004.7777476010351</v>
      </c>
      <c r="AF55" s="97">
        <f ca="1">MAX(_Saldo_Inicial _Actual - _Capital _Actual, 0)</f>
        <v>45652.8496477605</v>
      </c>
      <c r="AH55" s="292">
        <f>Fechas!_Dias_Interes_CAT</f>
        <v>14</v>
      </c>
      <c r="AI55" s="97">
        <f t="shared" ca="1" si="11"/>
        <v>242.73524898112174</v>
      </c>
      <c r="AJ55" s="293">
        <f t="shared" ca="1" si="12"/>
        <v>2975.6495177233005</v>
      </c>
      <c r="AK55" s="44"/>
      <c r="AL55" s="44"/>
      <c r="AM55" s="44"/>
      <c r="AN55" s="102"/>
      <c r="AO55" s="32"/>
      <c r="AP55" s="32"/>
      <c r="AV55" s="14"/>
      <c r="AW55" s="14"/>
      <c r="AX55" s="14"/>
      <c r="AY55" s="14"/>
      <c r="AZ55" s="14"/>
      <c r="BC55" s="14"/>
      <c r="BD55" s="14"/>
      <c r="BE55" s="14"/>
    </row>
    <row r="56" spans="2:57">
      <c r="B56" s="32"/>
      <c r="C56" s="32"/>
      <c r="J56" s="14">
        <v>37</v>
      </c>
      <c r="K56" s="14">
        <f t="shared" ca="1" si="13"/>
        <v>37</v>
      </c>
      <c r="L56" s="32">
        <f t="shared" ca="1" si="14"/>
        <v>1</v>
      </c>
      <c r="N56" s="20">
        <f t="shared" ca="1" si="2"/>
        <v>0</v>
      </c>
      <c r="O56" s="97">
        <f t="shared" ca="1" si="15"/>
        <v>3004.7777476010351</v>
      </c>
      <c r="Q56" s="97">
        <f ca="1">MAX( _Saldo_Final _Anterior + _Saldo_Ciclico, 0)</f>
        <v>45652.8496477605</v>
      </c>
      <c r="S56" s="20">
        <f t="shared" ca="1" si="4"/>
        <v>16.358937790447513</v>
      </c>
      <c r="T56" s="20">
        <f t="shared" ca="1" si="5"/>
        <v>229.02512906626518</v>
      </c>
      <c r="U56" s="20">
        <f ca="1">Fechas!_Dias_Interes_Pago</f>
        <v>14</v>
      </c>
      <c r="V56" s="20">
        <f t="shared" ca="1" si="6"/>
        <v>229.02512906626518</v>
      </c>
      <c r="X56" s="97">
        <f t="shared" ca="1" si="7"/>
        <v>27.483015487951821</v>
      </c>
      <c r="Z56" s="97">
        <f t="shared" ca="1" si="8"/>
        <v>2748.2696030468182</v>
      </c>
      <c r="AA56" s="97">
        <f t="shared" ca="1" si="9"/>
        <v>0</v>
      </c>
      <c r="AB56" s="97">
        <f ca="1">MAX( _Calculo_Capital _Actual, _Stopper_Capital _Actual )</f>
        <v>2748.2696030468182</v>
      </c>
      <c r="AD56" s="97">
        <f t="shared" ca="1" si="10"/>
        <v>3004.7777476010351</v>
      </c>
      <c r="AF56" s="97">
        <f ca="1">MAX(_Saldo_Inicial _Actual - _Capital _Actual, 0)</f>
        <v>42904.580044713679</v>
      </c>
      <c r="AH56" s="292">
        <f>Fechas!_Dias_Interes_CAT</f>
        <v>14</v>
      </c>
      <c r="AI56" s="97">
        <f t="shared" ca="1" si="11"/>
        <v>229.02512906626518</v>
      </c>
      <c r="AJ56" s="293">
        <f t="shared" ca="1" si="12"/>
        <v>2977.2947321130832</v>
      </c>
      <c r="AK56" s="44"/>
      <c r="AL56" s="44"/>
      <c r="AM56" s="44"/>
      <c r="AN56" s="102"/>
      <c r="AO56" s="32"/>
      <c r="AP56" s="32"/>
      <c r="AV56" s="14"/>
      <c r="AW56" s="14"/>
      <c r="AX56" s="14"/>
      <c r="AY56" s="14"/>
      <c r="AZ56" s="14"/>
      <c r="BC56" s="14"/>
      <c r="BD56" s="14"/>
      <c r="BE56" s="14"/>
    </row>
    <row r="57" spans="2:57">
      <c r="B57" s="32"/>
      <c r="C57" s="32"/>
      <c r="J57" s="14">
        <v>38</v>
      </c>
      <c r="K57" s="14">
        <f t="shared" ca="1" si="13"/>
        <v>38</v>
      </c>
      <c r="L57" s="32">
        <f t="shared" ca="1" si="14"/>
        <v>1</v>
      </c>
      <c r="N57" s="20">
        <f t="shared" ca="1" si="2"/>
        <v>0</v>
      </c>
      <c r="O57" s="97">
        <f t="shared" ca="1" si="15"/>
        <v>3004.7777476010351</v>
      </c>
      <c r="Q57" s="97">
        <f ca="1">MAX( _Saldo_Final _Anterior + _Saldo_Ciclico, 0)</f>
        <v>42904.580044713679</v>
      </c>
      <c r="S57" s="20">
        <f t="shared" ca="1" si="4"/>
        <v>15.374141182689069</v>
      </c>
      <c r="T57" s="20">
        <f t="shared" ca="1" si="5"/>
        <v>215.23797655764696</v>
      </c>
      <c r="U57" s="20">
        <f ca="1">Fechas!_Dias_Interes_Pago</f>
        <v>14</v>
      </c>
      <c r="V57" s="20">
        <f t="shared" ca="1" si="6"/>
        <v>215.23797655764696</v>
      </c>
      <c r="X57" s="97">
        <f t="shared" ca="1" si="7"/>
        <v>25.828557186917635</v>
      </c>
      <c r="Z57" s="97">
        <f t="shared" ca="1" si="8"/>
        <v>2763.7112138564703</v>
      </c>
      <c r="AA57" s="97">
        <f t="shared" ca="1" si="9"/>
        <v>0</v>
      </c>
      <c r="AB57" s="97">
        <f ca="1">MAX( _Calculo_Capital _Actual, _Stopper_Capital _Actual )</f>
        <v>2763.7112138564703</v>
      </c>
      <c r="AD57" s="97">
        <f t="shared" ca="1" si="10"/>
        <v>3004.7777476010351</v>
      </c>
      <c r="AF57" s="97">
        <f ca="1">MAX(_Saldo_Inicial _Actual - _Capital _Actual, 0)</f>
        <v>40140.868830857209</v>
      </c>
      <c r="AH57" s="292">
        <f>Fechas!_Dias_Interes_CAT</f>
        <v>14</v>
      </c>
      <c r="AI57" s="97">
        <f t="shared" ca="1" si="11"/>
        <v>215.23797655764696</v>
      </c>
      <c r="AJ57" s="293">
        <f t="shared" ca="1" si="12"/>
        <v>2978.9491904141173</v>
      </c>
      <c r="AK57" s="44"/>
      <c r="AL57" s="44"/>
      <c r="AM57" s="44"/>
      <c r="AN57" s="102"/>
      <c r="AO57" s="32"/>
      <c r="AP57" s="32"/>
      <c r="AV57" s="14"/>
      <c r="AW57" s="14"/>
      <c r="AX57" s="14"/>
      <c r="AY57" s="14"/>
      <c r="AZ57" s="14"/>
      <c r="BC57" s="14"/>
      <c r="BD57" s="14"/>
      <c r="BE57" s="14"/>
    </row>
    <row r="58" spans="2:57">
      <c r="B58" s="32"/>
      <c r="C58" s="32"/>
      <c r="J58" s="14">
        <v>39</v>
      </c>
      <c r="K58" s="14">
        <f t="shared" ca="1" si="13"/>
        <v>39</v>
      </c>
      <c r="L58" s="32">
        <f t="shared" ca="1" si="14"/>
        <v>1</v>
      </c>
      <c r="N58" s="20">
        <f t="shared" ca="1" si="2"/>
        <v>0</v>
      </c>
      <c r="O58" s="97">
        <f t="shared" ca="1" si="15"/>
        <v>3004.7777476010351</v>
      </c>
      <c r="Q58" s="97">
        <f ca="1">MAX( _Saldo_Final _Anterior + _Saldo_Ciclico, 0)</f>
        <v>40140.868830857209</v>
      </c>
      <c r="S58" s="20">
        <f t="shared" ca="1" si="4"/>
        <v>14.383811331057167</v>
      </c>
      <c r="T58" s="20">
        <f t="shared" ca="1" si="5"/>
        <v>201.37335863480035</v>
      </c>
      <c r="U58" s="20">
        <f ca="1">Fechas!_Dias_Interes_Pago</f>
        <v>14</v>
      </c>
      <c r="V58" s="20">
        <f t="shared" ca="1" si="6"/>
        <v>201.37335863480035</v>
      </c>
      <c r="X58" s="97">
        <f t="shared" ca="1" si="7"/>
        <v>24.164803036176043</v>
      </c>
      <c r="Z58" s="97">
        <f t="shared" ca="1" si="8"/>
        <v>2779.2395859300586</v>
      </c>
      <c r="AA58" s="97">
        <f t="shared" ca="1" si="9"/>
        <v>0</v>
      </c>
      <c r="AB58" s="97">
        <f ca="1">MAX( _Calculo_Capital _Actual, _Stopper_Capital _Actual )</f>
        <v>2779.2395859300586</v>
      </c>
      <c r="AD58" s="97">
        <f t="shared" ca="1" si="10"/>
        <v>3004.7777476010351</v>
      </c>
      <c r="AF58" s="97">
        <f ca="1">MAX(_Saldo_Inicial _Actual - _Capital _Actual, 0)</f>
        <v>37361.62924492715</v>
      </c>
      <c r="AH58" s="292">
        <f>Fechas!_Dias_Interes_CAT</f>
        <v>14</v>
      </c>
      <c r="AI58" s="97">
        <f t="shared" ca="1" si="11"/>
        <v>201.37335863480035</v>
      </c>
      <c r="AJ58" s="293">
        <f t="shared" ca="1" si="12"/>
        <v>2980.6129445648589</v>
      </c>
      <c r="AK58" s="44"/>
      <c r="AL58" s="44"/>
      <c r="AM58" s="44"/>
      <c r="AN58" s="102"/>
      <c r="AO58" s="32"/>
      <c r="AP58" s="32"/>
      <c r="AV58" s="14"/>
      <c r="AW58" s="14"/>
      <c r="AX58" s="14"/>
      <c r="AY58" s="14"/>
      <c r="AZ58" s="14"/>
      <c r="BC58" s="14"/>
      <c r="BD58" s="14"/>
      <c r="BE58" s="14"/>
    </row>
    <row r="59" spans="2:57">
      <c r="B59" s="32"/>
      <c r="C59" s="32"/>
      <c r="J59" s="14">
        <v>40</v>
      </c>
      <c r="K59" s="14">
        <f t="shared" ca="1" si="13"/>
        <v>40</v>
      </c>
      <c r="L59" s="32">
        <f t="shared" ca="1" si="14"/>
        <v>1</v>
      </c>
      <c r="N59" s="20">
        <f t="shared" ca="1" si="2"/>
        <v>0</v>
      </c>
      <c r="O59" s="97">
        <f t="shared" ca="1" si="15"/>
        <v>3004.7777476010351</v>
      </c>
      <c r="Q59" s="97">
        <f ca="1">MAX( _Saldo_Final _Anterior + _Saldo_Ciclico, 0)</f>
        <v>37361.62924492715</v>
      </c>
      <c r="S59" s="20">
        <f t="shared" ca="1" si="4"/>
        <v>13.387917146098895</v>
      </c>
      <c r="T59" s="20">
        <f t="shared" ca="1" si="5"/>
        <v>187.43084004538451</v>
      </c>
      <c r="U59" s="20">
        <f ca="1">Fechas!_Dias_Interes_Pago</f>
        <v>14</v>
      </c>
      <c r="V59" s="20">
        <f t="shared" ca="1" si="6"/>
        <v>187.43084004538451</v>
      </c>
      <c r="X59" s="97">
        <f t="shared" ca="1" si="7"/>
        <v>22.49170080544614</v>
      </c>
      <c r="Z59" s="97">
        <f t="shared" ca="1" si="8"/>
        <v>2794.8552067502046</v>
      </c>
      <c r="AA59" s="97">
        <f t="shared" ca="1" si="9"/>
        <v>0</v>
      </c>
      <c r="AB59" s="97">
        <f ca="1">MAX( _Calculo_Capital _Actual, _Stopper_Capital _Actual )</f>
        <v>2794.8552067502046</v>
      </c>
      <c r="AD59" s="97">
        <f t="shared" ca="1" si="10"/>
        <v>3004.7777476010356</v>
      </c>
      <c r="AF59" s="97">
        <f ca="1">MAX(_Saldo_Inicial _Actual - _Capital _Actual, 0)</f>
        <v>34566.774038176947</v>
      </c>
      <c r="AH59" s="292">
        <f>Fechas!_Dias_Interes_CAT</f>
        <v>14</v>
      </c>
      <c r="AI59" s="97">
        <f t="shared" ca="1" si="11"/>
        <v>187.43084004538451</v>
      </c>
      <c r="AJ59" s="293">
        <f t="shared" ca="1" si="12"/>
        <v>2982.2860467955893</v>
      </c>
      <c r="AK59" s="44"/>
      <c r="AL59" s="44"/>
      <c r="AM59" s="44"/>
      <c r="AN59" s="102"/>
      <c r="AO59" s="32"/>
      <c r="AP59" s="32"/>
      <c r="AV59" s="14"/>
      <c r="AW59" s="14"/>
      <c r="AX59" s="14"/>
      <c r="AY59" s="14"/>
      <c r="AZ59" s="14"/>
      <c r="BC59" s="14"/>
      <c r="BD59" s="14"/>
      <c r="BE59" s="14"/>
    </row>
    <row r="60" spans="2:57">
      <c r="B60" s="32"/>
      <c r="C60" s="32"/>
      <c r="J60" s="14">
        <v>41</v>
      </c>
      <c r="K60" s="14">
        <f t="shared" ca="1" si="13"/>
        <v>41</v>
      </c>
      <c r="L60" s="32">
        <f t="shared" ca="1" si="14"/>
        <v>1</v>
      </c>
      <c r="N60" s="20">
        <f t="shared" ca="1" si="2"/>
        <v>0</v>
      </c>
      <c r="O60" s="97">
        <f t="shared" ca="1" si="15"/>
        <v>3004.7777476010351</v>
      </c>
      <c r="Q60" s="97">
        <f ca="1">MAX( _Saldo_Final _Anterior + _Saldo_Ciclico, 0)</f>
        <v>34566.774038176947</v>
      </c>
      <c r="S60" s="20">
        <f t="shared" ca="1" si="4"/>
        <v>12.386427363680072</v>
      </c>
      <c r="T60" s="20">
        <f t="shared" ca="1" si="5"/>
        <v>173.40998309152101</v>
      </c>
      <c r="U60" s="20">
        <f ca="1">Fechas!_Dias_Interes_Pago</f>
        <v>14</v>
      </c>
      <c r="V60" s="20">
        <f t="shared" ca="1" si="6"/>
        <v>173.40998309152101</v>
      </c>
      <c r="X60" s="97">
        <f t="shared" ca="1" si="7"/>
        <v>20.80919797098252</v>
      </c>
      <c r="Z60" s="97">
        <f t="shared" ca="1" si="8"/>
        <v>2810.5585665385315</v>
      </c>
      <c r="AA60" s="97">
        <f t="shared" ca="1" si="9"/>
        <v>0</v>
      </c>
      <c r="AB60" s="97">
        <f ca="1">MAX( _Calculo_Capital _Actual, _Stopper_Capital _Actual )</f>
        <v>2810.5585665385315</v>
      </c>
      <c r="AD60" s="97">
        <f t="shared" ca="1" si="10"/>
        <v>3004.7777476010351</v>
      </c>
      <c r="AF60" s="97">
        <f ca="1">MAX(_Saldo_Inicial _Actual - _Capital _Actual, 0)</f>
        <v>31756.215471638418</v>
      </c>
      <c r="AH60" s="292">
        <f>Fechas!_Dias_Interes_CAT</f>
        <v>14</v>
      </c>
      <c r="AI60" s="97">
        <f t="shared" ca="1" si="11"/>
        <v>173.40998309152101</v>
      </c>
      <c r="AJ60" s="293">
        <f t="shared" ca="1" si="12"/>
        <v>2983.9685496300526</v>
      </c>
      <c r="AK60" s="44"/>
      <c r="AL60" s="44"/>
      <c r="AM60" s="44"/>
      <c r="AN60" s="102"/>
      <c r="AO60" s="32"/>
      <c r="AP60" s="32"/>
      <c r="AV60" s="14"/>
      <c r="AW60" s="14"/>
      <c r="AX60" s="14"/>
      <c r="AY60" s="14"/>
      <c r="AZ60" s="14"/>
      <c r="BC60" s="14"/>
      <c r="BD60" s="14"/>
      <c r="BE60" s="14"/>
    </row>
    <row r="61" spans="2:57">
      <c r="B61" s="32"/>
      <c r="C61" s="32"/>
      <c r="J61" s="14">
        <v>42</v>
      </c>
      <c r="K61" s="14">
        <f t="shared" ca="1" si="13"/>
        <v>42</v>
      </c>
      <c r="L61" s="32">
        <f t="shared" ca="1" si="14"/>
        <v>1</v>
      </c>
      <c r="N61" s="20">
        <f t="shared" ca="1" si="2"/>
        <v>0</v>
      </c>
      <c r="O61" s="97">
        <f t="shared" ca="1" si="15"/>
        <v>3004.7777476010351</v>
      </c>
      <c r="Q61" s="97">
        <f ca="1">MAX( _Saldo_Final _Anterior + _Saldo_Ciclico, 0)</f>
        <v>31756.215471638418</v>
      </c>
      <c r="S61" s="20">
        <f t="shared" ca="1" si="4"/>
        <v>11.379310544003767</v>
      </c>
      <c r="T61" s="20">
        <f t="shared" ca="1" si="5"/>
        <v>159.31034761605272</v>
      </c>
      <c r="U61" s="20">
        <f ca="1">Fechas!_Dias_Interes_Pago</f>
        <v>14</v>
      </c>
      <c r="V61" s="20">
        <f t="shared" ca="1" si="6"/>
        <v>159.31034761605272</v>
      </c>
      <c r="X61" s="97">
        <f t="shared" ca="1" si="7"/>
        <v>19.117241713926326</v>
      </c>
      <c r="Z61" s="97">
        <f t="shared" ca="1" si="8"/>
        <v>2826.350158271056</v>
      </c>
      <c r="AA61" s="97">
        <f t="shared" ca="1" si="9"/>
        <v>0</v>
      </c>
      <c r="AB61" s="97">
        <f ca="1">MAX( _Calculo_Capital _Actual, _Stopper_Capital _Actual )</f>
        <v>2826.350158271056</v>
      </c>
      <c r="AD61" s="97">
        <f t="shared" ca="1" si="10"/>
        <v>3004.7777476010351</v>
      </c>
      <c r="AF61" s="97">
        <f ca="1">MAX(_Saldo_Inicial _Actual - _Capital _Actual, 0)</f>
        <v>28929.865313367362</v>
      </c>
      <c r="AH61" s="292">
        <f>Fechas!_Dias_Interes_CAT</f>
        <v>14</v>
      </c>
      <c r="AI61" s="97">
        <f t="shared" ca="1" si="11"/>
        <v>159.31034761605272</v>
      </c>
      <c r="AJ61" s="293">
        <f t="shared" ca="1" si="12"/>
        <v>2985.6605058871087</v>
      </c>
      <c r="AK61" s="44"/>
      <c r="AL61" s="44"/>
      <c r="AM61" s="44"/>
      <c r="AN61" s="102"/>
      <c r="AO61" s="32"/>
      <c r="AP61" s="32"/>
      <c r="AV61" s="14"/>
      <c r="AW61" s="14"/>
      <c r="AX61" s="14"/>
      <c r="AY61" s="14"/>
      <c r="AZ61" s="14"/>
      <c r="BC61" s="14"/>
      <c r="BD61" s="14"/>
      <c r="BE61" s="14"/>
    </row>
    <row r="62" spans="2:57">
      <c r="B62" s="32"/>
      <c r="C62" s="32"/>
      <c r="J62" s="14">
        <v>43</v>
      </c>
      <c r="K62" s="14">
        <f t="shared" ca="1" si="13"/>
        <v>43</v>
      </c>
      <c r="L62" s="32">
        <f t="shared" ca="1" si="14"/>
        <v>1</v>
      </c>
      <c r="N62" s="20">
        <f t="shared" ca="1" si="2"/>
        <v>0</v>
      </c>
      <c r="O62" s="97">
        <f t="shared" ca="1" si="15"/>
        <v>3004.7777476010351</v>
      </c>
      <c r="Q62" s="97">
        <f ca="1">MAX( _Saldo_Final _Anterior + _Saldo_Ciclico, 0)</f>
        <v>28929.865313367362</v>
      </c>
      <c r="S62" s="20">
        <f t="shared" ca="1" si="4"/>
        <v>10.366535070623305</v>
      </c>
      <c r="T62" s="20">
        <f t="shared" ca="1" si="5"/>
        <v>145.13149098872628</v>
      </c>
      <c r="U62" s="20">
        <f ca="1">Fechas!_Dias_Interes_Pago</f>
        <v>14</v>
      </c>
      <c r="V62" s="20">
        <f t="shared" ca="1" si="6"/>
        <v>145.13149098872628</v>
      </c>
      <c r="X62" s="97">
        <f t="shared" ca="1" si="7"/>
        <v>17.415778918647153</v>
      </c>
      <c r="Z62" s="97">
        <f t="shared" ca="1" si="8"/>
        <v>2842.2304776936617</v>
      </c>
      <c r="AA62" s="97">
        <f t="shared" ca="1" si="9"/>
        <v>0</v>
      </c>
      <c r="AB62" s="97">
        <f ca="1">MAX( _Calculo_Capital _Actual, _Stopper_Capital _Actual )</f>
        <v>2842.2304776936617</v>
      </c>
      <c r="AD62" s="97">
        <f t="shared" ca="1" si="10"/>
        <v>3004.7777476010351</v>
      </c>
      <c r="AF62" s="97">
        <f ca="1">MAX(_Saldo_Inicial _Actual - _Capital _Actual, 0)</f>
        <v>26087.6348356737</v>
      </c>
      <c r="AH62" s="292">
        <f>Fechas!_Dias_Interes_CAT</f>
        <v>14</v>
      </c>
      <c r="AI62" s="97">
        <f t="shared" ca="1" si="11"/>
        <v>145.13149098872628</v>
      </c>
      <c r="AJ62" s="293">
        <f t="shared" ca="1" si="12"/>
        <v>2987.3619686823881</v>
      </c>
      <c r="AK62" s="44"/>
      <c r="AL62" s="44"/>
      <c r="AM62" s="44"/>
      <c r="AN62" s="102"/>
      <c r="AO62" s="32"/>
      <c r="AP62" s="32"/>
      <c r="AV62" s="14"/>
      <c r="AW62" s="14"/>
      <c r="AX62" s="14"/>
      <c r="AY62" s="14"/>
      <c r="AZ62" s="14"/>
      <c r="BC62" s="14"/>
      <c r="BD62" s="14"/>
      <c r="BE62" s="14"/>
    </row>
    <row r="63" spans="2:57">
      <c r="B63" s="32"/>
      <c r="C63" s="32"/>
      <c r="J63" s="14">
        <v>44</v>
      </c>
      <c r="K63" s="14">
        <f t="shared" ca="1" si="13"/>
        <v>44</v>
      </c>
      <c r="L63" s="32">
        <f t="shared" ca="1" si="14"/>
        <v>1</v>
      </c>
      <c r="N63" s="20">
        <f t="shared" ca="1" si="2"/>
        <v>0</v>
      </c>
      <c r="O63" s="97">
        <f t="shared" ca="1" si="15"/>
        <v>3004.7777476010351</v>
      </c>
      <c r="Q63" s="97">
        <f ca="1">MAX( _Saldo_Final _Anterior + _Saldo_Ciclico, 0)</f>
        <v>26087.6348356737</v>
      </c>
      <c r="S63" s="20">
        <f t="shared" ca="1" si="4"/>
        <v>9.3480691494497421</v>
      </c>
      <c r="T63" s="20">
        <f t="shared" ca="1" si="5"/>
        <v>130.87296809229639</v>
      </c>
      <c r="U63" s="20">
        <f ca="1">Fechas!_Dias_Interes_Pago</f>
        <v>14</v>
      </c>
      <c r="V63" s="20">
        <f t="shared" ca="1" si="6"/>
        <v>130.87296809229639</v>
      </c>
      <c r="X63" s="97">
        <f t="shared" ca="1" si="7"/>
        <v>15.704756171075566</v>
      </c>
      <c r="Z63" s="97">
        <f t="shared" ca="1" si="8"/>
        <v>2858.200023337663</v>
      </c>
      <c r="AA63" s="97">
        <f t="shared" ca="1" si="9"/>
        <v>0</v>
      </c>
      <c r="AB63" s="97">
        <f ca="1">MAX( _Calculo_Capital _Actual, _Stopper_Capital _Actual )</f>
        <v>2858.200023337663</v>
      </c>
      <c r="AD63" s="97">
        <f t="shared" ca="1" si="10"/>
        <v>3004.7777476010351</v>
      </c>
      <c r="AF63" s="97">
        <f ca="1">MAX(_Saldo_Inicial _Actual - _Capital _Actual, 0)</f>
        <v>23229.434812336036</v>
      </c>
      <c r="AH63" s="292">
        <f>Fechas!_Dias_Interes_CAT</f>
        <v>14</v>
      </c>
      <c r="AI63" s="97">
        <f t="shared" ca="1" si="11"/>
        <v>130.87296809229639</v>
      </c>
      <c r="AJ63" s="293">
        <f t="shared" ca="1" si="12"/>
        <v>2989.0729914299595</v>
      </c>
      <c r="AK63" s="44"/>
      <c r="AL63" s="44"/>
      <c r="AM63" s="44"/>
      <c r="AN63" s="102"/>
      <c r="AO63" s="32"/>
      <c r="AP63" s="32"/>
      <c r="AV63" s="14"/>
      <c r="AW63" s="14"/>
      <c r="AX63" s="14"/>
      <c r="AY63" s="14"/>
      <c r="AZ63" s="14"/>
      <c r="BC63" s="14"/>
      <c r="BD63" s="14"/>
      <c r="BE63" s="14"/>
    </row>
    <row r="64" spans="2:57">
      <c r="B64" s="32"/>
      <c r="C64" s="32"/>
      <c r="J64" s="14">
        <v>45</v>
      </c>
      <c r="K64" s="14">
        <f t="shared" ca="1" si="13"/>
        <v>45</v>
      </c>
      <c r="L64" s="32">
        <f t="shared" ca="1" si="14"/>
        <v>1</v>
      </c>
      <c r="N64" s="20">
        <f t="shared" ca="1" si="2"/>
        <v>0</v>
      </c>
      <c r="O64" s="97">
        <f t="shared" ca="1" si="15"/>
        <v>3004.7777476010351</v>
      </c>
      <c r="Q64" s="97">
        <f ca="1">MAX( _Saldo_Final _Anterior + _Saldo_Ciclico, 0)</f>
        <v>23229.434812336036</v>
      </c>
      <c r="S64" s="20">
        <f t="shared" ca="1" si="4"/>
        <v>8.3238808077537456</v>
      </c>
      <c r="T64" s="20">
        <f t="shared" ca="1" si="5"/>
        <v>116.53433130855244</v>
      </c>
      <c r="U64" s="20">
        <f ca="1">Fechas!_Dias_Interes_Pago</f>
        <v>14</v>
      </c>
      <c r="V64" s="20">
        <f t="shared" ca="1" si="6"/>
        <v>116.53433130855244</v>
      </c>
      <c r="X64" s="97">
        <f t="shared" ca="1" si="7"/>
        <v>13.984119757026292</v>
      </c>
      <c r="Z64" s="97">
        <f t="shared" ca="1" si="8"/>
        <v>2874.2592965354565</v>
      </c>
      <c r="AA64" s="97">
        <f t="shared" ca="1" si="9"/>
        <v>0</v>
      </c>
      <c r="AB64" s="97">
        <f ca="1">MAX( _Calculo_Capital _Actual, _Stopper_Capital _Actual )</f>
        <v>2874.2592965354565</v>
      </c>
      <c r="AD64" s="97">
        <f t="shared" ca="1" si="10"/>
        <v>3004.7777476010351</v>
      </c>
      <c r="AF64" s="97">
        <f ca="1">MAX(_Saldo_Inicial _Actual - _Capital _Actual, 0)</f>
        <v>20355.17551580058</v>
      </c>
      <c r="AH64" s="292">
        <f>Fechas!_Dias_Interes_CAT</f>
        <v>14</v>
      </c>
      <c r="AI64" s="97">
        <f t="shared" ca="1" si="11"/>
        <v>116.53433130855244</v>
      </c>
      <c r="AJ64" s="293">
        <f t="shared" ca="1" si="12"/>
        <v>2990.7936278440088</v>
      </c>
      <c r="AK64" s="44"/>
      <c r="AL64" s="44"/>
      <c r="AM64" s="44"/>
      <c r="AN64" s="102"/>
      <c r="AO64" s="32"/>
      <c r="AP64" s="32"/>
      <c r="AV64" s="14"/>
      <c r="AW64" s="14"/>
      <c r="AX64" s="14"/>
      <c r="AY64" s="14"/>
      <c r="AZ64" s="14"/>
      <c r="BC64" s="14"/>
      <c r="BD64" s="14"/>
      <c r="BE64" s="14"/>
    </row>
    <row r="65" spans="2:57">
      <c r="B65" s="32"/>
      <c r="C65" s="32"/>
      <c r="J65" s="14">
        <v>46</v>
      </c>
      <c r="K65" s="14">
        <f t="shared" ca="1" si="13"/>
        <v>46</v>
      </c>
      <c r="L65" s="32">
        <f t="shared" ca="1" si="14"/>
        <v>1</v>
      </c>
      <c r="N65" s="20">
        <f t="shared" ca="1" si="2"/>
        <v>0</v>
      </c>
      <c r="O65" s="97">
        <f t="shared" ca="1" si="15"/>
        <v>3004.7777476010351</v>
      </c>
      <c r="Q65" s="97">
        <f ca="1">MAX( _Saldo_Final _Anterior + _Saldo_Ciclico, 0)</f>
        <v>20355.17551580058</v>
      </c>
      <c r="S65" s="20">
        <f t="shared" ca="1" si="4"/>
        <v>7.2939378931618748</v>
      </c>
      <c r="T65" s="20">
        <f t="shared" ca="1" si="5"/>
        <v>102.11513050426625</v>
      </c>
      <c r="U65" s="20">
        <f ca="1">Fechas!_Dias_Interes_Pago</f>
        <v>14</v>
      </c>
      <c r="V65" s="20">
        <f t="shared" ca="1" si="6"/>
        <v>102.11513050426625</v>
      </c>
      <c r="X65" s="97">
        <f t="shared" ca="1" si="7"/>
        <v>12.253815660511949</v>
      </c>
      <c r="Z65" s="97">
        <f t="shared" ca="1" si="8"/>
        <v>2890.4088014362569</v>
      </c>
      <c r="AA65" s="97">
        <f t="shared" ca="1" si="9"/>
        <v>0</v>
      </c>
      <c r="AB65" s="97">
        <f ca="1">MAX( _Calculo_Capital _Actual, _Stopper_Capital _Actual )</f>
        <v>2890.4088014362569</v>
      </c>
      <c r="AD65" s="97">
        <f t="shared" ca="1" si="10"/>
        <v>3004.7777476010351</v>
      </c>
      <c r="AF65" s="97">
        <f ca="1">MAX(_Saldo_Inicial _Actual - _Capital _Actual, 0)</f>
        <v>17464.766714364323</v>
      </c>
      <c r="AH65" s="292">
        <f>Fechas!_Dias_Interes_CAT</f>
        <v>14</v>
      </c>
      <c r="AI65" s="97">
        <f t="shared" ca="1" si="11"/>
        <v>102.11513050426625</v>
      </c>
      <c r="AJ65" s="293">
        <f t="shared" ca="1" si="12"/>
        <v>2992.5239319405232</v>
      </c>
      <c r="AK65" s="44"/>
      <c r="AL65" s="44"/>
      <c r="AM65" s="44"/>
      <c r="AN65" s="102"/>
      <c r="AO65" s="32"/>
      <c r="AP65" s="32"/>
      <c r="AV65" s="14"/>
      <c r="AW65" s="14"/>
      <c r="AX65" s="14"/>
      <c r="AY65" s="14"/>
      <c r="AZ65" s="14"/>
      <c r="BC65" s="14"/>
      <c r="BD65" s="14"/>
      <c r="BE65" s="14"/>
    </row>
    <row r="66" spans="2:57">
      <c r="B66" s="32"/>
      <c r="C66" s="32"/>
      <c r="J66" s="14">
        <v>47</v>
      </c>
      <c r="K66" s="14">
        <f t="shared" ca="1" si="13"/>
        <v>47</v>
      </c>
      <c r="L66" s="32">
        <f t="shared" ca="1" si="14"/>
        <v>1</v>
      </c>
      <c r="N66" s="20">
        <f t="shared" ca="1" si="2"/>
        <v>0</v>
      </c>
      <c r="O66" s="97">
        <f t="shared" ca="1" si="15"/>
        <v>3004.7777476010351</v>
      </c>
      <c r="Q66" s="97">
        <f ca="1">MAX( _Saldo_Final _Anterior + _Saldo_Ciclico, 0)</f>
        <v>17464.766714364323</v>
      </c>
      <c r="S66" s="20">
        <f t="shared" ca="1" si="4"/>
        <v>6.258208072647216</v>
      </c>
      <c r="T66" s="20">
        <f t="shared" ca="1" si="5"/>
        <v>87.614913017061028</v>
      </c>
      <c r="U66" s="20">
        <f ca="1">Fechas!_Dias_Interes_Pago</f>
        <v>14</v>
      </c>
      <c r="V66" s="20">
        <f t="shared" ca="1" si="6"/>
        <v>87.614913017061028</v>
      </c>
      <c r="X66" s="97">
        <f t="shared" ca="1" si="7"/>
        <v>10.513789562047323</v>
      </c>
      <c r="Z66" s="97">
        <f t="shared" ca="1" si="8"/>
        <v>2906.6490450219267</v>
      </c>
      <c r="AA66" s="97">
        <f t="shared" ca="1" si="9"/>
        <v>0</v>
      </c>
      <c r="AB66" s="97">
        <f ca="1">MAX( _Calculo_Capital _Actual, _Stopper_Capital _Actual )</f>
        <v>2906.6490450219267</v>
      </c>
      <c r="AD66" s="97">
        <f t="shared" ca="1" si="10"/>
        <v>3004.7777476010351</v>
      </c>
      <c r="AF66" s="97">
        <f ca="1">MAX(_Saldo_Inicial _Actual - _Capital _Actual, 0)</f>
        <v>14558.117669342397</v>
      </c>
      <c r="AH66" s="292">
        <f>Fechas!_Dias_Interes_CAT</f>
        <v>14</v>
      </c>
      <c r="AI66" s="97">
        <f t="shared" ca="1" si="11"/>
        <v>87.614913017061028</v>
      </c>
      <c r="AJ66" s="293">
        <f t="shared" ca="1" si="12"/>
        <v>2994.2639580389878</v>
      </c>
      <c r="AK66" s="44"/>
      <c r="AL66" s="44"/>
      <c r="AM66" s="44"/>
      <c r="AN66" s="102"/>
      <c r="AO66" s="32"/>
      <c r="AP66" s="32"/>
      <c r="AV66" s="14"/>
      <c r="AW66" s="14"/>
      <c r="AX66" s="14"/>
      <c r="AY66" s="14"/>
      <c r="AZ66" s="14"/>
      <c r="BC66" s="14"/>
      <c r="BD66" s="14"/>
      <c r="BE66" s="14"/>
    </row>
    <row r="67" spans="2:57">
      <c r="B67" s="32"/>
      <c r="C67" s="32"/>
      <c r="J67" s="14">
        <v>48</v>
      </c>
      <c r="K67" s="14">
        <f t="shared" ca="1" si="13"/>
        <v>48</v>
      </c>
      <c r="L67" s="32">
        <f t="shared" ca="1" si="14"/>
        <v>1</v>
      </c>
      <c r="N67" s="20">
        <f t="shared" ca="1" si="2"/>
        <v>0</v>
      </c>
      <c r="O67" s="97">
        <f t="shared" ca="1" si="15"/>
        <v>3004.7777476010351</v>
      </c>
      <c r="Q67" s="97">
        <f ca="1">MAX( _Saldo_Final _Anterior + _Saldo_Ciclico, 0)</f>
        <v>14558.117669342397</v>
      </c>
      <c r="S67" s="20">
        <f t="shared" ca="1" si="4"/>
        <v>5.2166588315143585</v>
      </c>
      <c r="T67" s="20">
        <f t="shared" ca="1" si="5"/>
        <v>73.033223641201019</v>
      </c>
      <c r="U67" s="20">
        <f ca="1">Fechas!_Dias_Interes_Pago</f>
        <v>14</v>
      </c>
      <c r="V67" s="20">
        <f t="shared" ca="1" si="6"/>
        <v>73.033223641201019</v>
      </c>
      <c r="X67" s="97">
        <f t="shared" ca="1" si="7"/>
        <v>8.7639868369441221</v>
      </c>
      <c r="Z67" s="97">
        <f t="shared" ca="1" si="8"/>
        <v>2922.9805371228899</v>
      </c>
      <c r="AA67" s="97">
        <f t="shared" ca="1" si="9"/>
        <v>0</v>
      </c>
      <c r="AB67" s="97">
        <f ca="1">MAX( _Calculo_Capital _Actual, _Stopper_Capital _Actual )</f>
        <v>2922.9805371228899</v>
      </c>
      <c r="AD67" s="97">
        <f t="shared" ca="1" si="10"/>
        <v>3004.7777476010351</v>
      </c>
      <c r="AF67" s="97">
        <f ca="1">MAX(_Saldo_Inicial _Actual - _Capital _Actual, 0)</f>
        <v>11635.137132219506</v>
      </c>
      <c r="AH67" s="292">
        <f>Fechas!_Dias_Interes_CAT</f>
        <v>14</v>
      </c>
      <c r="AI67" s="97">
        <f t="shared" ca="1" si="11"/>
        <v>73.033223641201019</v>
      </c>
      <c r="AJ67" s="293">
        <f t="shared" ca="1" si="12"/>
        <v>2996.0137607640909</v>
      </c>
      <c r="AK67" s="44"/>
      <c r="AL67" s="44"/>
      <c r="AM67" s="44"/>
      <c r="AN67" s="102"/>
      <c r="AO67" s="32"/>
      <c r="AP67" s="32"/>
      <c r="AV67" s="14"/>
      <c r="AW67" s="14"/>
      <c r="AX67" s="14"/>
      <c r="AY67" s="14"/>
      <c r="AZ67" s="14"/>
      <c r="BC67" s="14"/>
      <c r="BD67" s="14"/>
      <c r="BE67" s="14"/>
    </row>
    <row r="68" spans="2:57">
      <c r="B68" s="32"/>
      <c r="C68" s="32"/>
      <c r="J68" s="14">
        <v>49</v>
      </c>
      <c r="K68" s="14">
        <f t="shared" ca="1" si="13"/>
        <v>49</v>
      </c>
      <c r="L68" s="32">
        <f t="shared" ca="1" si="14"/>
        <v>1</v>
      </c>
      <c r="N68" s="20">
        <f t="shared" ca="1" si="2"/>
        <v>0</v>
      </c>
      <c r="O68" s="97">
        <f t="shared" ca="1" si="15"/>
        <v>3004.7777476010351</v>
      </c>
      <c r="Q68" s="97">
        <f ca="1">MAX( _Saldo_Final _Anterior + _Saldo_Ciclico, 0)</f>
        <v>11635.137132219506</v>
      </c>
      <c r="S68" s="20">
        <f t="shared" ca="1" si="4"/>
        <v>4.1692574723786562</v>
      </c>
      <c r="T68" s="20">
        <f t="shared" ca="1" si="5"/>
        <v>58.369604613301185</v>
      </c>
      <c r="U68" s="20">
        <f ca="1">Fechas!_Dias_Interes_Pago</f>
        <v>14</v>
      </c>
      <c r="V68" s="20">
        <f t="shared" ca="1" si="6"/>
        <v>58.369604613301185</v>
      </c>
      <c r="X68" s="97">
        <f t="shared" ca="1" si="7"/>
        <v>7.0043525535961422</v>
      </c>
      <c r="Z68" s="97">
        <f t="shared" ca="1" si="8"/>
        <v>2939.4037904341376</v>
      </c>
      <c r="AA68" s="97">
        <f t="shared" ca="1" si="9"/>
        <v>0</v>
      </c>
      <c r="AB68" s="97">
        <f ca="1">MAX( _Calculo_Capital _Actual, _Stopper_Capital _Actual )</f>
        <v>2939.4037904341376</v>
      </c>
      <c r="AD68" s="97">
        <f t="shared" ca="1" si="10"/>
        <v>3004.7777476010351</v>
      </c>
      <c r="AF68" s="97">
        <f ca="1">MAX(_Saldo_Inicial _Actual - _Capital _Actual, 0)</f>
        <v>8695.7333417853697</v>
      </c>
      <c r="AH68" s="292">
        <f>Fechas!_Dias_Interes_CAT</f>
        <v>14</v>
      </c>
      <c r="AI68" s="97">
        <f t="shared" ca="1" si="11"/>
        <v>58.369604613301185</v>
      </c>
      <c r="AJ68" s="293">
        <f t="shared" ca="1" si="12"/>
        <v>2997.773395047439</v>
      </c>
      <c r="AK68" s="44"/>
      <c r="AL68" s="44"/>
      <c r="AM68" s="44"/>
      <c r="AN68" s="102"/>
      <c r="AO68" s="32"/>
      <c r="AP68" s="32"/>
      <c r="AV68" s="14"/>
      <c r="AW68" s="14"/>
      <c r="AX68" s="14"/>
      <c r="AY68" s="14"/>
      <c r="AZ68" s="14"/>
      <c r="BC68" s="14"/>
      <c r="BD68" s="14"/>
      <c r="BE68" s="14"/>
    </row>
    <row r="69" spans="2:57">
      <c r="B69" s="32"/>
      <c r="C69" s="32"/>
      <c r="J69" s="14">
        <v>50</v>
      </c>
      <c r="K69" s="14">
        <f t="shared" ca="1" si="13"/>
        <v>50</v>
      </c>
      <c r="L69" s="32">
        <f t="shared" ca="1" si="14"/>
        <v>1</v>
      </c>
      <c r="N69" s="20">
        <f t="shared" ca="1" si="2"/>
        <v>0</v>
      </c>
      <c r="O69" s="97">
        <f t="shared" ca="1" si="15"/>
        <v>3004.7777476010351</v>
      </c>
      <c r="Q69" s="97">
        <f ca="1">MAX( _Saldo_Final _Anterior + _Saldo_Ciclico, 0)</f>
        <v>8695.7333417853697</v>
      </c>
      <c r="S69" s="20">
        <f t="shared" ca="1" si="4"/>
        <v>3.1159711141397577</v>
      </c>
      <c r="T69" s="20">
        <f t="shared" ca="1" si="5"/>
        <v>43.623595597956609</v>
      </c>
      <c r="U69" s="20">
        <f ca="1">Fechas!_Dias_Interes_Pago</f>
        <v>14</v>
      </c>
      <c r="V69" s="20">
        <f t="shared" ca="1" si="6"/>
        <v>43.623595597956609</v>
      </c>
      <c r="X69" s="97">
        <f t="shared" ca="1" si="7"/>
        <v>5.2348314717547932</v>
      </c>
      <c r="Z69" s="97">
        <f t="shared" ca="1" si="8"/>
        <v>2955.9193205313236</v>
      </c>
      <c r="AA69" s="97">
        <f t="shared" ca="1" si="9"/>
        <v>0</v>
      </c>
      <c r="AB69" s="97">
        <f ca="1">MAX( _Calculo_Capital _Actual, _Stopper_Capital _Actual )</f>
        <v>2955.9193205313236</v>
      </c>
      <c r="AD69" s="97">
        <f t="shared" ca="1" si="10"/>
        <v>3004.7777476010347</v>
      </c>
      <c r="AF69" s="97">
        <f ca="1">MAX(_Saldo_Inicial _Actual - _Capital _Actual, 0)</f>
        <v>5739.8140212540457</v>
      </c>
      <c r="AH69" s="292">
        <f>Fechas!_Dias_Interes_CAT</f>
        <v>14</v>
      </c>
      <c r="AI69" s="97">
        <f t="shared" ca="1" si="11"/>
        <v>43.623595597956609</v>
      </c>
      <c r="AJ69" s="293">
        <f t="shared" ca="1" si="12"/>
        <v>2999.54291612928</v>
      </c>
      <c r="AK69" s="44"/>
      <c r="AL69" s="44"/>
      <c r="AM69" s="44"/>
      <c r="AN69" s="102"/>
      <c r="AO69" s="32"/>
      <c r="AP69" s="32"/>
      <c r="AV69" s="14"/>
      <c r="AW69" s="14"/>
      <c r="AX69" s="14"/>
      <c r="AY69" s="14"/>
      <c r="AZ69" s="14"/>
      <c r="BC69" s="14"/>
      <c r="BD69" s="14"/>
      <c r="BE69" s="14"/>
    </row>
    <row r="70" spans="2:57">
      <c r="B70" s="32"/>
      <c r="C70" s="32"/>
      <c r="J70" s="14">
        <v>51</v>
      </c>
      <c r="K70" s="14">
        <f t="shared" ca="1" si="13"/>
        <v>51</v>
      </c>
      <c r="L70" s="32">
        <f t="shared" ca="1" si="14"/>
        <v>1</v>
      </c>
      <c r="N70" s="20">
        <f t="shared" ca="1" si="2"/>
        <v>0</v>
      </c>
      <c r="O70" s="97">
        <f t="shared" ca="1" si="15"/>
        <v>3004.7777476010351</v>
      </c>
      <c r="Q70" s="97">
        <f ca="1">MAX( _Saldo_Final _Anterior + _Saldo_Ciclico, 0)</f>
        <v>5739.8140212540457</v>
      </c>
      <c r="S70" s="20">
        <f t="shared" ca="1" si="4"/>
        <v>2.0567666909493663</v>
      </c>
      <c r="T70" s="20">
        <f t="shared" ca="1" si="5"/>
        <v>28.794733673291127</v>
      </c>
      <c r="U70" s="20">
        <f ca="1">Fechas!_Dias_Interes_Pago</f>
        <v>14</v>
      </c>
      <c r="V70" s="20">
        <f t="shared" ca="1" si="6"/>
        <v>28.794733673291127</v>
      </c>
      <c r="X70" s="97">
        <f t="shared" ca="1" si="7"/>
        <v>3.455368040794935</v>
      </c>
      <c r="Z70" s="97">
        <f t="shared" ca="1" si="8"/>
        <v>2972.5276458869489</v>
      </c>
      <c r="AA70" s="97">
        <f t="shared" ca="1" si="9"/>
        <v>0</v>
      </c>
      <c r="AB70" s="97">
        <f ca="1">MAX( _Calculo_Capital _Actual, _Stopper_Capital _Actual )</f>
        <v>2972.5276458869489</v>
      </c>
      <c r="AD70" s="97">
        <f t="shared" ca="1" si="10"/>
        <v>3004.7777476010347</v>
      </c>
      <c r="AF70" s="97">
        <f ca="1">MAX(_Saldo_Inicial _Actual - _Capital _Actual, 0)</f>
        <v>2767.2863753670968</v>
      </c>
      <c r="AH70" s="292">
        <f>Fechas!_Dias_Interes_CAT</f>
        <v>14</v>
      </c>
      <c r="AI70" s="97">
        <f t="shared" ca="1" si="11"/>
        <v>28.794733673291127</v>
      </c>
      <c r="AJ70" s="293">
        <f t="shared" ca="1" si="12"/>
        <v>3001.3223795602398</v>
      </c>
      <c r="AK70" s="44"/>
      <c r="AL70" s="44"/>
      <c r="AM70" s="44"/>
      <c r="AN70" s="102"/>
      <c r="AO70" s="32"/>
      <c r="AP70" s="32"/>
      <c r="AV70" s="14"/>
      <c r="AW70" s="14"/>
      <c r="AX70" s="14"/>
      <c r="AY70" s="14"/>
      <c r="AZ70" s="14"/>
      <c r="BC70" s="14"/>
      <c r="BD70" s="14"/>
      <c r="BE70" s="14"/>
    </row>
    <row r="71" spans="2:57">
      <c r="B71" s="32"/>
      <c r="C71" s="32"/>
      <c r="J71" s="14">
        <v>52</v>
      </c>
      <c r="K71" s="14">
        <f t="shared" ca="1" si="13"/>
        <v>52</v>
      </c>
      <c r="L71" s="32">
        <f t="shared" ca="1" si="14"/>
        <v>1</v>
      </c>
      <c r="N71" s="20">
        <f t="shared" ca="1" si="2"/>
        <v>0</v>
      </c>
      <c r="O71" s="97">
        <f t="shared" ca="1" si="15"/>
        <v>3004.7777476010351</v>
      </c>
      <c r="Q71" s="97">
        <f ca="1">MAX( _Saldo_Final _Anterior + _Saldo_Ciclico, 0)</f>
        <v>2767.2863753670968</v>
      </c>
      <c r="S71" s="20">
        <f t="shared" ca="1" si="4"/>
        <v>0.99161095117320963</v>
      </c>
      <c r="T71" s="20">
        <f t="shared" ca="1" si="5"/>
        <v>13.882553316424936</v>
      </c>
      <c r="U71" s="20">
        <f ca="1">Fechas!_Dias_Interes_Pago</f>
        <v>14</v>
      </c>
      <c r="V71" s="20">
        <f t="shared" ca="1" si="6"/>
        <v>13.882553316424936</v>
      </c>
      <c r="X71" s="97">
        <f t="shared" ca="1" si="7"/>
        <v>1.6659063979709923</v>
      </c>
      <c r="Z71" s="97">
        <f t="shared" ca="1" si="8"/>
        <v>2989.2292878866392</v>
      </c>
      <c r="AA71" s="97">
        <f t="shared" ca="1" si="9"/>
        <v>2767.2863753670968</v>
      </c>
      <c r="AB71" s="97">
        <f ca="1">MAX( _Calculo_Capital _Actual, _Stopper_Capital _Actual )</f>
        <v>2989.2292878866392</v>
      </c>
      <c r="AD71" s="97">
        <f t="shared" ca="1" si="10"/>
        <v>3004.7777476010351</v>
      </c>
      <c r="AF71" s="97">
        <f ca="1">MAX(_Saldo_Inicial _Actual - _Capital _Actual, 0)</f>
        <v>0</v>
      </c>
      <c r="AH71" s="292">
        <f>Fechas!_Dias_Interes_CAT</f>
        <v>14</v>
      </c>
      <c r="AI71" s="97">
        <f t="shared" ca="1" si="11"/>
        <v>13.882553316424936</v>
      </c>
      <c r="AJ71" s="293">
        <f t="shared" ca="1" si="12"/>
        <v>3003.1118412030642</v>
      </c>
      <c r="AK71" s="44"/>
      <c r="AL71" s="44"/>
      <c r="AM71" s="44"/>
      <c r="AN71" s="102"/>
      <c r="AO71" s="32"/>
      <c r="AP71" s="32"/>
      <c r="AV71" s="14"/>
      <c r="AW71" s="14"/>
      <c r="AX71" s="14"/>
      <c r="AY71" s="14"/>
      <c r="AZ71" s="14"/>
      <c r="BC71" s="14"/>
      <c r="BD71" s="14"/>
      <c r="BE71" s="14"/>
    </row>
    <row r="72" spans="2:57">
      <c r="B72" s="32"/>
      <c r="C72" s="32"/>
      <c r="J72" s="14">
        <v>53</v>
      </c>
      <c r="K72" s="14">
        <f t="shared" ca="1" si="13"/>
        <v>1</v>
      </c>
      <c r="L72" s="32">
        <f t="shared" ca="1" si="14"/>
        <v>2</v>
      </c>
      <c r="N72" s="20">
        <f t="shared" ca="1" si="2"/>
        <v>0</v>
      </c>
      <c r="O72" s="97">
        <f t="shared" ca="1" si="15"/>
        <v>0</v>
      </c>
      <c r="Q72" s="97">
        <f ca="1">MAX( _Saldo_Final _Anterior + _Saldo_Ciclico, 0)</f>
        <v>0</v>
      </c>
      <c r="S72" s="20">
        <f t="shared" ca="1" si="4"/>
        <v>0</v>
      </c>
      <c r="T72" s="20">
        <f t="shared" ca="1" si="5"/>
        <v>0</v>
      </c>
      <c r="U72" s="20">
        <f ca="1">Fechas!_Dias_Interes_Pago</f>
        <v>14</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14</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2</v>
      </c>
      <c r="L73" s="32">
        <f t="shared" ca="1" si="14"/>
        <v>2</v>
      </c>
      <c r="N73" s="20">
        <f t="shared" ca="1" si="2"/>
        <v>0</v>
      </c>
      <c r="O73" s="97">
        <f t="shared" ca="1" si="15"/>
        <v>0</v>
      </c>
      <c r="Q73" s="97">
        <f ca="1">MAX( _Saldo_Final _Anterior + _Saldo_Ciclico, 0)</f>
        <v>0</v>
      </c>
      <c r="S73" s="20">
        <f t="shared" ca="1" si="4"/>
        <v>0</v>
      </c>
      <c r="T73" s="20">
        <f t="shared" ca="1" si="5"/>
        <v>0</v>
      </c>
      <c r="U73" s="20">
        <f ca="1">Fechas!_Dias_Interes_Pago</f>
        <v>14</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14</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3</v>
      </c>
      <c r="L74" s="32">
        <f t="shared" ca="1" si="14"/>
        <v>2</v>
      </c>
      <c r="N74" s="20">
        <f t="shared" ca="1" si="2"/>
        <v>0</v>
      </c>
      <c r="O74" s="97">
        <f t="shared" ca="1" si="15"/>
        <v>0</v>
      </c>
      <c r="Q74" s="97">
        <f ca="1">MAX( _Saldo_Final _Anterior + _Saldo_Ciclico, 0)</f>
        <v>0</v>
      </c>
      <c r="S74" s="20">
        <f t="shared" ca="1" si="4"/>
        <v>0</v>
      </c>
      <c r="T74" s="20">
        <f t="shared" ca="1" si="5"/>
        <v>0</v>
      </c>
      <c r="U74" s="20">
        <f ca="1">Fechas!_Dias_Interes_Pago</f>
        <v>14</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14</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4</v>
      </c>
      <c r="L75" s="32">
        <f t="shared" ca="1" si="14"/>
        <v>2</v>
      </c>
      <c r="N75" s="20">
        <f t="shared" ca="1" si="2"/>
        <v>0</v>
      </c>
      <c r="O75" s="97">
        <f t="shared" ca="1" si="15"/>
        <v>0</v>
      </c>
      <c r="Q75" s="97">
        <f ca="1">MAX( _Saldo_Final _Anterior + _Saldo_Ciclico, 0)</f>
        <v>0</v>
      </c>
      <c r="S75" s="20">
        <f t="shared" ca="1" si="4"/>
        <v>0</v>
      </c>
      <c r="T75" s="20">
        <f t="shared" ca="1" si="5"/>
        <v>0</v>
      </c>
      <c r="U75" s="20">
        <f ca="1">Fechas!_Dias_Interes_Pago</f>
        <v>14</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14</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5</v>
      </c>
      <c r="L76" s="32">
        <f t="shared" ca="1" si="14"/>
        <v>2</v>
      </c>
      <c r="N76" s="20">
        <f t="shared" ca="1" si="2"/>
        <v>0</v>
      </c>
      <c r="O76" s="97">
        <f t="shared" ca="1" si="15"/>
        <v>0</v>
      </c>
      <c r="Q76" s="97">
        <f ca="1">MAX( _Saldo_Final _Anterior + _Saldo_Ciclico, 0)</f>
        <v>0</v>
      </c>
      <c r="S76" s="20">
        <f t="shared" ca="1" si="4"/>
        <v>0</v>
      </c>
      <c r="T76" s="20">
        <f t="shared" ca="1" si="5"/>
        <v>0</v>
      </c>
      <c r="U76" s="20">
        <f ca="1">Fechas!_Dias_Interes_Pago</f>
        <v>14</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14</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6</v>
      </c>
      <c r="L77" s="32">
        <f t="shared" ca="1" si="14"/>
        <v>2</v>
      </c>
      <c r="N77" s="20">
        <f t="shared" ca="1" si="2"/>
        <v>0</v>
      </c>
      <c r="O77" s="97">
        <f t="shared" ca="1" si="15"/>
        <v>0</v>
      </c>
      <c r="Q77" s="97">
        <f ca="1">MAX( _Saldo_Final _Anterior + _Saldo_Ciclico, 0)</f>
        <v>0</v>
      </c>
      <c r="S77" s="20">
        <f t="shared" ca="1" si="4"/>
        <v>0</v>
      </c>
      <c r="T77" s="20">
        <f t="shared" ca="1" si="5"/>
        <v>0</v>
      </c>
      <c r="U77" s="20">
        <f ca="1">Fechas!_Dias_Interes_Pago</f>
        <v>14</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14</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7</v>
      </c>
      <c r="L78" s="32">
        <f t="shared" ca="1" si="14"/>
        <v>2</v>
      </c>
      <c r="N78" s="20">
        <f t="shared" ca="1" si="2"/>
        <v>0</v>
      </c>
      <c r="O78" s="97">
        <f t="shared" ca="1" si="15"/>
        <v>0</v>
      </c>
      <c r="Q78" s="97">
        <f ca="1">MAX( _Saldo_Final _Anterior + _Saldo_Ciclico, 0)</f>
        <v>0</v>
      </c>
      <c r="S78" s="20">
        <f t="shared" ca="1" si="4"/>
        <v>0</v>
      </c>
      <c r="T78" s="20">
        <f t="shared" ca="1" si="5"/>
        <v>0</v>
      </c>
      <c r="U78" s="20">
        <f ca="1">Fechas!_Dias_Interes_Pago</f>
        <v>14</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14</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8</v>
      </c>
      <c r="L79" s="32">
        <f ca="1">INT(( _Amortizacion - 1 ) / Periodos.Por.Ciclo ) + 1</f>
        <v>2</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14</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14</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59" t="s">
        <v>72</v>
      </c>
      <c r="K14" s="960"/>
      <c r="L14" s="961"/>
      <c r="N14" s="959" t="s">
        <v>73</v>
      </c>
      <c r="O14" s="961"/>
      <c r="Q14" s="328" t="s">
        <v>74</v>
      </c>
      <c r="R14" s="329"/>
      <c r="S14" s="329"/>
      <c r="T14" s="329"/>
      <c r="U14" s="329"/>
      <c r="V14" s="329"/>
      <c r="W14" s="329"/>
      <c r="X14" s="329"/>
      <c r="Y14" s="329"/>
      <c r="Z14" s="329"/>
      <c r="AA14" s="329"/>
      <c r="AB14" s="329"/>
      <c r="AC14" s="329"/>
      <c r="AD14" s="329"/>
      <c r="AE14" s="329"/>
      <c r="AF14" s="330"/>
      <c r="AH14" s="953" t="s">
        <v>1737</v>
      </c>
      <c r="AI14" s="953"/>
      <c r="AJ14" s="953"/>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4.9615384615384617E-3</v>
      </c>
      <c r="K17"/>
      <c r="AD17" s="14"/>
      <c r="AV17" s="14"/>
      <c r="AW17" s="14"/>
      <c r="AX17" s="14"/>
      <c r="AY17" s="14"/>
      <c r="AZ17" s="14"/>
      <c r="BC17" s="14"/>
      <c r="BD17" s="14"/>
      <c r="BE17" s="14"/>
    </row>
    <row r="18" spans="2:57">
      <c r="B18" s="290" t="s">
        <v>44</v>
      </c>
      <c r="C18" s="291">
        <f>'Configuración de Tablas'!E28</f>
        <v>14</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26</v>
      </c>
      <c r="E19" s="289" t="s">
        <v>54</v>
      </c>
      <c r="F19" s="274">
        <f ca="1" xml:space="preserve"> Tasa.Diaria * Dias.Por.Periodo</f>
        <v>5.0166666666666667E-3</v>
      </c>
      <c r="K19"/>
      <c r="AD19" s="14"/>
      <c r="AV19" s="14"/>
      <c r="AW19" s="14"/>
      <c r="AX19" s="14"/>
      <c r="AY19" s="14"/>
      <c r="AZ19" s="14"/>
      <c r="BC19" s="14"/>
      <c r="BD19" s="14"/>
      <c r="BE19" s="14"/>
    </row>
    <row r="20" spans="2:57">
      <c r="B20" s="290" t="s">
        <v>1728</v>
      </c>
      <c r="C20" s="291">
        <f ca="1">'Configuración de Tablas'!E30</f>
        <v>52</v>
      </c>
      <c r="E20" s="290" t="s">
        <v>53</v>
      </c>
      <c r="F20" s="116">
        <f ca="1">IF( Tabla.Ciclica.Anual?, Periodos.Por.Año, Numero.Pagos )</f>
        <v>52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14</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14</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14</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14</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14</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14</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14</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14</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14</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14</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14</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14</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14</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14</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14</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14</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14</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14</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14</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14</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14</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14</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14</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14</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 ca="1">Fechas!_Dias_Interes_Pago</f>
        <v>14</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14</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 ca="1">Fechas!_Dias_Interes_Pago</f>
        <v>14</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14</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 ca="1">Fechas!_Dias_Interes_Pago</f>
        <v>14</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14</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 ca="1">Fechas!_Dias_Interes_Pago</f>
        <v>14</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14</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 ca="1">Fechas!_Dias_Interes_Pago</f>
        <v>14</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14</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 ca="1">Fechas!_Dias_Interes_Pago</f>
        <v>14</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14</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 ca="1">Fechas!_Dias_Interes_Pago</f>
        <v>14</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14</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 ca="1">Fechas!_Dias_Interes_Pago</f>
        <v>14</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14</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 ca="1">Fechas!_Dias_Interes_Pago</f>
        <v>14</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14</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 ca="1">Fechas!_Dias_Interes_Pago</f>
        <v>14</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14</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 ca="1">Fechas!_Dias_Interes_Pago</f>
        <v>14</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14</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 ca="1">Fechas!_Dias_Interes_Pago</f>
        <v>14</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14</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25</v>
      </c>
      <c r="L44" s="32">
        <f t="shared" ca="1" si="1"/>
        <v>1</v>
      </c>
      <c r="M44"/>
      <c r="N44" s="20">
        <f t="shared" ca="1" si="2"/>
        <v>0</v>
      </c>
      <c r="O44" s="97">
        <f t="shared" ca="1" si="3"/>
        <v>0</v>
      </c>
      <c r="P44"/>
      <c r="Q44" s="97">
        <f ca="1">MAX( _Saldo_Final _Anterior + _Saldo_Ciclico, 0)</f>
        <v>0</v>
      </c>
      <c r="R44"/>
      <c r="S44" s="20">
        <f t="shared" ca="1" si="4"/>
        <v>0</v>
      </c>
      <c r="T44" s="20">
        <f t="shared" ca="1" si="5"/>
        <v>0</v>
      </c>
      <c r="U44" s="20">
        <f ca="1">Fechas!_Dias_Interes_Pago</f>
        <v>14</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14</v>
      </c>
      <c r="AI44" s="97">
        <f t="shared" ca="1" si="11"/>
        <v>0</v>
      </c>
      <c r="AJ44" s="293">
        <f t="shared" ca="1" si="12"/>
        <v>0</v>
      </c>
      <c r="AK44" s="44"/>
      <c r="AL44" s="44"/>
      <c r="AM44" s="44"/>
      <c r="AN44" s="102"/>
      <c r="AO44" s="301"/>
      <c r="AP44" s="301"/>
    </row>
    <row r="45" spans="2:57">
      <c r="B45" s="32"/>
      <c r="C45" s="32"/>
      <c r="J45" s="14">
        <v>26</v>
      </c>
      <c r="K45" s="14">
        <f t="shared" ca="1" si="0"/>
        <v>26</v>
      </c>
      <c r="L45" s="32">
        <f t="shared" ca="1" si="1"/>
        <v>1</v>
      </c>
      <c r="N45" s="20">
        <f t="shared" ca="1" si="2"/>
        <v>0</v>
      </c>
      <c r="O45" s="97">
        <f t="shared" ca="1" si="3"/>
        <v>0</v>
      </c>
      <c r="Q45" s="97">
        <f ca="1">MAX( _Saldo_Final _Anterior + _Saldo_Ciclico, 0)</f>
        <v>0</v>
      </c>
      <c r="S45" s="20">
        <f t="shared" ca="1" si="4"/>
        <v>0</v>
      </c>
      <c r="T45" s="20">
        <f t="shared" ca="1" si="5"/>
        <v>0</v>
      </c>
      <c r="U45" s="20">
        <f ca="1">Fechas!_Dias_Interes_Pago</f>
        <v>14</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14</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27</v>
      </c>
      <c r="L46" s="32">
        <f t="shared" ca="1" si="1"/>
        <v>1</v>
      </c>
      <c r="N46" s="20">
        <f t="shared" ca="1" si="2"/>
        <v>0</v>
      </c>
      <c r="O46" s="97">
        <f t="shared" ca="1" si="3"/>
        <v>0</v>
      </c>
      <c r="Q46" s="97">
        <f ca="1">MAX( _Saldo_Final _Anterior + _Saldo_Ciclico, 0)</f>
        <v>0</v>
      </c>
      <c r="S46" s="20">
        <f t="shared" ca="1" si="4"/>
        <v>0</v>
      </c>
      <c r="T46" s="20">
        <f t="shared" ca="1" si="5"/>
        <v>0</v>
      </c>
      <c r="U46" s="20">
        <f ca="1">Fechas!_Dias_Interes_Pago</f>
        <v>14</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14</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28</v>
      </c>
      <c r="L47" s="32">
        <f t="shared" ca="1" si="1"/>
        <v>1</v>
      </c>
      <c r="N47" s="20">
        <f t="shared" ca="1" si="2"/>
        <v>0</v>
      </c>
      <c r="O47" s="97">
        <f t="shared" ca="1" si="3"/>
        <v>0</v>
      </c>
      <c r="Q47" s="97">
        <f ca="1">MAX( _Saldo_Final _Anterior + _Saldo_Ciclico, 0)</f>
        <v>0</v>
      </c>
      <c r="S47" s="20">
        <f t="shared" ca="1" si="4"/>
        <v>0</v>
      </c>
      <c r="T47" s="20">
        <f t="shared" ca="1" si="5"/>
        <v>0</v>
      </c>
      <c r="U47" s="20">
        <f ca="1">Fechas!_Dias_Interes_Pago</f>
        <v>14</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14</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29</v>
      </c>
      <c r="L48" s="32">
        <f t="shared" ca="1" si="1"/>
        <v>1</v>
      </c>
      <c r="N48" s="20">
        <f t="shared" ca="1" si="2"/>
        <v>0</v>
      </c>
      <c r="O48" s="97">
        <f t="shared" ca="1" si="3"/>
        <v>0</v>
      </c>
      <c r="Q48" s="97">
        <f ca="1">MAX( _Saldo_Final _Anterior + _Saldo_Ciclico, 0)</f>
        <v>0</v>
      </c>
      <c r="S48" s="20">
        <f t="shared" ca="1" si="4"/>
        <v>0</v>
      </c>
      <c r="T48" s="20">
        <f t="shared" ca="1" si="5"/>
        <v>0</v>
      </c>
      <c r="U48" s="20">
        <f ca="1">Fechas!_Dias_Interes_Pago</f>
        <v>14</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14</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30</v>
      </c>
      <c r="L49" s="32">
        <f t="shared" ca="1" si="1"/>
        <v>1</v>
      </c>
      <c r="N49" s="20">
        <f t="shared" ca="1" si="2"/>
        <v>0</v>
      </c>
      <c r="O49" s="97">
        <f t="shared" ca="1" si="3"/>
        <v>0</v>
      </c>
      <c r="Q49" s="97">
        <f ca="1">MAX( _Saldo_Final _Anterior + _Saldo_Ciclico, 0)</f>
        <v>0</v>
      </c>
      <c r="S49" s="20">
        <f t="shared" ca="1" si="4"/>
        <v>0</v>
      </c>
      <c r="T49" s="20">
        <f t="shared" ca="1" si="5"/>
        <v>0</v>
      </c>
      <c r="U49" s="20">
        <f ca="1">Fechas!_Dias_Interes_Pago</f>
        <v>14</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14</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31</v>
      </c>
      <c r="L50" s="32">
        <f t="shared" ca="1" si="1"/>
        <v>1</v>
      </c>
      <c r="N50" s="20">
        <f t="shared" ca="1" si="2"/>
        <v>0</v>
      </c>
      <c r="O50" s="97">
        <f t="shared" ca="1" si="3"/>
        <v>0</v>
      </c>
      <c r="Q50" s="97">
        <f ca="1">MAX( _Saldo_Final _Anterior + _Saldo_Ciclico, 0)</f>
        <v>0</v>
      </c>
      <c r="S50" s="20">
        <f t="shared" ca="1" si="4"/>
        <v>0</v>
      </c>
      <c r="T50" s="20">
        <f t="shared" ca="1" si="5"/>
        <v>0</v>
      </c>
      <c r="U50" s="20">
        <f ca="1">Fechas!_Dias_Interes_Pago</f>
        <v>14</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14</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32</v>
      </c>
      <c r="L51" s="32">
        <f t="shared" ca="1" si="1"/>
        <v>1</v>
      </c>
      <c r="N51" s="20">
        <f t="shared" ca="1" si="2"/>
        <v>0</v>
      </c>
      <c r="O51" s="97">
        <f t="shared" ca="1" si="3"/>
        <v>0</v>
      </c>
      <c r="Q51" s="97">
        <f ca="1">MAX( _Saldo_Final _Anterior + _Saldo_Ciclico, 0)</f>
        <v>0</v>
      </c>
      <c r="S51" s="20">
        <f t="shared" ca="1" si="4"/>
        <v>0</v>
      </c>
      <c r="T51" s="20">
        <f t="shared" ca="1" si="5"/>
        <v>0</v>
      </c>
      <c r="U51" s="20">
        <f ca="1">Fechas!_Dias_Interes_Pago</f>
        <v>14</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14</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33</v>
      </c>
      <c r="L52" s="32">
        <f t="shared" ref="L52:L78" ca="1" si="14">INT(( _Amortizacion - 1 ) / Periodos.Por.Ciclo ) + 1</f>
        <v>1</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14</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14</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34</v>
      </c>
      <c r="L53" s="32">
        <f t="shared" ca="1" si="14"/>
        <v>1</v>
      </c>
      <c r="N53" s="20">
        <f t="shared" ca="1" si="2"/>
        <v>0</v>
      </c>
      <c r="O53" s="97">
        <f t="shared" ca="1" si="15"/>
        <v>0</v>
      </c>
      <c r="Q53" s="97">
        <f ca="1">MAX( _Saldo_Final _Anterior + _Saldo_Ciclico, 0)</f>
        <v>0</v>
      </c>
      <c r="S53" s="20">
        <f t="shared" ca="1" si="4"/>
        <v>0</v>
      </c>
      <c r="T53" s="20">
        <f t="shared" ca="1" si="5"/>
        <v>0</v>
      </c>
      <c r="U53" s="20">
        <f ca="1">Fechas!_Dias_Interes_Pago</f>
        <v>14</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14</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35</v>
      </c>
      <c r="L54" s="32">
        <f t="shared" ca="1" si="14"/>
        <v>1</v>
      </c>
      <c r="N54" s="20">
        <f t="shared" ca="1" si="2"/>
        <v>0</v>
      </c>
      <c r="O54" s="97">
        <f t="shared" ca="1" si="15"/>
        <v>0</v>
      </c>
      <c r="Q54" s="97">
        <f ca="1">MAX( _Saldo_Final _Anterior + _Saldo_Ciclico, 0)</f>
        <v>0</v>
      </c>
      <c r="S54" s="20">
        <f t="shared" ca="1" si="4"/>
        <v>0</v>
      </c>
      <c r="T54" s="20">
        <f t="shared" ca="1" si="5"/>
        <v>0</v>
      </c>
      <c r="U54" s="20">
        <f ca="1">Fechas!_Dias_Interes_Pago</f>
        <v>14</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14</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36</v>
      </c>
      <c r="L55" s="32">
        <f t="shared" ca="1" si="14"/>
        <v>1</v>
      </c>
      <c r="N55" s="20">
        <f t="shared" ca="1" si="2"/>
        <v>0</v>
      </c>
      <c r="O55" s="97">
        <f t="shared" ca="1" si="15"/>
        <v>0</v>
      </c>
      <c r="Q55" s="97">
        <f ca="1">MAX( _Saldo_Final _Anterior + _Saldo_Ciclico, 0)</f>
        <v>0</v>
      </c>
      <c r="S55" s="20">
        <f t="shared" ca="1" si="4"/>
        <v>0</v>
      </c>
      <c r="T55" s="20">
        <f t="shared" ca="1" si="5"/>
        <v>0</v>
      </c>
      <c r="U55" s="20">
        <f ca="1">Fechas!_Dias_Interes_Pago</f>
        <v>14</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14</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37</v>
      </c>
      <c r="L56" s="32">
        <f t="shared" ca="1" si="14"/>
        <v>1</v>
      </c>
      <c r="N56" s="20">
        <f t="shared" ca="1" si="2"/>
        <v>0</v>
      </c>
      <c r="O56" s="97">
        <f t="shared" ca="1" si="15"/>
        <v>0</v>
      </c>
      <c r="Q56" s="97">
        <f ca="1">MAX( _Saldo_Final _Anterior + _Saldo_Ciclico, 0)</f>
        <v>0</v>
      </c>
      <c r="S56" s="20">
        <f t="shared" ca="1" si="4"/>
        <v>0</v>
      </c>
      <c r="T56" s="20">
        <f t="shared" ca="1" si="5"/>
        <v>0</v>
      </c>
      <c r="U56" s="20">
        <f ca="1">Fechas!_Dias_Interes_Pago</f>
        <v>14</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14</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38</v>
      </c>
      <c r="L57" s="32">
        <f t="shared" ca="1" si="14"/>
        <v>1</v>
      </c>
      <c r="N57" s="20">
        <f t="shared" ca="1" si="2"/>
        <v>0</v>
      </c>
      <c r="O57" s="97">
        <f t="shared" ca="1" si="15"/>
        <v>0</v>
      </c>
      <c r="Q57" s="97">
        <f ca="1">MAX( _Saldo_Final _Anterior + _Saldo_Ciclico, 0)</f>
        <v>0</v>
      </c>
      <c r="S57" s="20">
        <f t="shared" ca="1" si="4"/>
        <v>0</v>
      </c>
      <c r="T57" s="20">
        <f t="shared" ca="1" si="5"/>
        <v>0</v>
      </c>
      <c r="U57" s="20">
        <f ca="1">Fechas!_Dias_Interes_Pago</f>
        <v>14</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14</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39</v>
      </c>
      <c r="L58" s="32">
        <f t="shared" ca="1" si="14"/>
        <v>1</v>
      </c>
      <c r="N58" s="20">
        <f t="shared" ca="1" si="2"/>
        <v>0</v>
      </c>
      <c r="O58" s="97">
        <f t="shared" ca="1" si="15"/>
        <v>0</v>
      </c>
      <c r="Q58" s="97">
        <f ca="1">MAX( _Saldo_Final _Anterior + _Saldo_Ciclico, 0)</f>
        <v>0</v>
      </c>
      <c r="S58" s="20">
        <f t="shared" ca="1" si="4"/>
        <v>0</v>
      </c>
      <c r="T58" s="20">
        <f t="shared" ca="1" si="5"/>
        <v>0</v>
      </c>
      <c r="U58" s="20">
        <f ca="1">Fechas!_Dias_Interes_Pago</f>
        <v>14</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14</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40</v>
      </c>
      <c r="L59" s="32">
        <f t="shared" ca="1" si="14"/>
        <v>1</v>
      </c>
      <c r="N59" s="20">
        <f t="shared" ca="1" si="2"/>
        <v>0</v>
      </c>
      <c r="O59" s="97">
        <f t="shared" ca="1" si="15"/>
        <v>0</v>
      </c>
      <c r="Q59" s="97">
        <f ca="1">MAX( _Saldo_Final _Anterior + _Saldo_Ciclico, 0)</f>
        <v>0</v>
      </c>
      <c r="S59" s="20">
        <f t="shared" ca="1" si="4"/>
        <v>0</v>
      </c>
      <c r="T59" s="20">
        <f t="shared" ca="1" si="5"/>
        <v>0</v>
      </c>
      <c r="U59" s="20">
        <f ca="1">Fechas!_Dias_Interes_Pago</f>
        <v>14</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14</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41</v>
      </c>
      <c r="L60" s="32">
        <f t="shared" ca="1" si="14"/>
        <v>1</v>
      </c>
      <c r="N60" s="20">
        <f t="shared" ca="1" si="2"/>
        <v>0</v>
      </c>
      <c r="O60" s="97">
        <f t="shared" ca="1" si="15"/>
        <v>0</v>
      </c>
      <c r="Q60" s="97">
        <f ca="1">MAX( _Saldo_Final _Anterior + _Saldo_Ciclico, 0)</f>
        <v>0</v>
      </c>
      <c r="S60" s="20">
        <f t="shared" ca="1" si="4"/>
        <v>0</v>
      </c>
      <c r="T60" s="20">
        <f t="shared" ca="1" si="5"/>
        <v>0</v>
      </c>
      <c r="U60" s="20">
        <f ca="1">Fechas!_Dias_Interes_Pago</f>
        <v>14</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14</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42</v>
      </c>
      <c r="L61" s="32">
        <f t="shared" ca="1" si="14"/>
        <v>1</v>
      </c>
      <c r="N61" s="20">
        <f t="shared" ca="1" si="2"/>
        <v>0</v>
      </c>
      <c r="O61" s="97">
        <f t="shared" ca="1" si="15"/>
        <v>0</v>
      </c>
      <c r="Q61" s="97">
        <f ca="1">MAX( _Saldo_Final _Anterior + _Saldo_Ciclico, 0)</f>
        <v>0</v>
      </c>
      <c r="S61" s="20">
        <f t="shared" ca="1" si="4"/>
        <v>0</v>
      </c>
      <c r="T61" s="20">
        <f t="shared" ca="1" si="5"/>
        <v>0</v>
      </c>
      <c r="U61" s="20">
        <f ca="1">Fechas!_Dias_Interes_Pago</f>
        <v>14</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14</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43</v>
      </c>
      <c r="L62" s="32">
        <f t="shared" ca="1" si="14"/>
        <v>1</v>
      </c>
      <c r="N62" s="20">
        <f t="shared" ca="1" si="2"/>
        <v>0</v>
      </c>
      <c r="O62" s="97">
        <f t="shared" ca="1" si="15"/>
        <v>0</v>
      </c>
      <c r="Q62" s="97">
        <f ca="1">MAX( _Saldo_Final _Anterior + _Saldo_Ciclico, 0)</f>
        <v>0</v>
      </c>
      <c r="S62" s="20">
        <f t="shared" ca="1" si="4"/>
        <v>0</v>
      </c>
      <c r="T62" s="20">
        <f t="shared" ca="1" si="5"/>
        <v>0</v>
      </c>
      <c r="U62" s="20">
        <f ca="1">Fechas!_Dias_Interes_Pago</f>
        <v>14</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14</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44</v>
      </c>
      <c r="L63" s="32">
        <f t="shared" ca="1" si="14"/>
        <v>1</v>
      </c>
      <c r="N63" s="20">
        <f t="shared" ca="1" si="2"/>
        <v>0</v>
      </c>
      <c r="O63" s="97">
        <f t="shared" ca="1" si="15"/>
        <v>0</v>
      </c>
      <c r="Q63" s="97">
        <f ca="1">MAX( _Saldo_Final _Anterior + _Saldo_Ciclico, 0)</f>
        <v>0</v>
      </c>
      <c r="S63" s="20">
        <f t="shared" ca="1" si="4"/>
        <v>0</v>
      </c>
      <c r="T63" s="20">
        <f t="shared" ca="1" si="5"/>
        <v>0</v>
      </c>
      <c r="U63" s="20">
        <f ca="1">Fechas!_Dias_Interes_Pago</f>
        <v>14</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14</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45</v>
      </c>
      <c r="L64" s="32">
        <f t="shared" ca="1" si="14"/>
        <v>1</v>
      </c>
      <c r="N64" s="20">
        <f t="shared" ca="1" si="2"/>
        <v>0</v>
      </c>
      <c r="O64" s="97">
        <f t="shared" ca="1" si="15"/>
        <v>0</v>
      </c>
      <c r="Q64" s="97">
        <f ca="1">MAX( _Saldo_Final _Anterior + _Saldo_Ciclico, 0)</f>
        <v>0</v>
      </c>
      <c r="S64" s="20">
        <f t="shared" ca="1" si="4"/>
        <v>0</v>
      </c>
      <c r="T64" s="20">
        <f t="shared" ca="1" si="5"/>
        <v>0</v>
      </c>
      <c r="U64" s="20">
        <f ca="1">Fechas!_Dias_Interes_Pago</f>
        <v>14</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14</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46</v>
      </c>
      <c r="L65" s="32">
        <f t="shared" ca="1" si="14"/>
        <v>1</v>
      </c>
      <c r="N65" s="20">
        <f t="shared" ca="1" si="2"/>
        <v>0</v>
      </c>
      <c r="O65" s="97">
        <f t="shared" ca="1" si="15"/>
        <v>0</v>
      </c>
      <c r="Q65" s="97">
        <f ca="1">MAX( _Saldo_Final _Anterior + _Saldo_Ciclico, 0)</f>
        <v>0</v>
      </c>
      <c r="S65" s="20">
        <f t="shared" ca="1" si="4"/>
        <v>0</v>
      </c>
      <c r="T65" s="20">
        <f t="shared" ca="1" si="5"/>
        <v>0</v>
      </c>
      <c r="U65" s="20">
        <f ca="1">Fechas!_Dias_Interes_Pago</f>
        <v>14</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14</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47</v>
      </c>
      <c r="L66" s="32">
        <f t="shared" ca="1" si="14"/>
        <v>1</v>
      </c>
      <c r="N66" s="20">
        <f t="shared" ca="1" si="2"/>
        <v>0</v>
      </c>
      <c r="O66" s="97">
        <f t="shared" ca="1" si="15"/>
        <v>0</v>
      </c>
      <c r="Q66" s="97">
        <f ca="1">MAX( _Saldo_Final _Anterior + _Saldo_Ciclico, 0)</f>
        <v>0</v>
      </c>
      <c r="S66" s="20">
        <f t="shared" ca="1" si="4"/>
        <v>0</v>
      </c>
      <c r="T66" s="20">
        <f t="shared" ca="1" si="5"/>
        <v>0</v>
      </c>
      <c r="U66" s="20">
        <f ca="1">Fechas!_Dias_Interes_Pago</f>
        <v>14</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14</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48</v>
      </c>
      <c r="L67" s="32">
        <f t="shared" ca="1" si="14"/>
        <v>1</v>
      </c>
      <c r="N67" s="20">
        <f t="shared" ca="1" si="2"/>
        <v>0</v>
      </c>
      <c r="O67" s="97">
        <f t="shared" ca="1" si="15"/>
        <v>0</v>
      </c>
      <c r="Q67" s="97">
        <f ca="1">MAX( _Saldo_Final _Anterior + _Saldo_Ciclico, 0)</f>
        <v>0</v>
      </c>
      <c r="S67" s="20">
        <f t="shared" ca="1" si="4"/>
        <v>0</v>
      </c>
      <c r="T67" s="20">
        <f t="shared" ca="1" si="5"/>
        <v>0</v>
      </c>
      <c r="U67" s="20">
        <f ca="1">Fechas!_Dias_Interes_Pago</f>
        <v>14</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14</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49</v>
      </c>
      <c r="L68" s="32">
        <f t="shared" ca="1" si="14"/>
        <v>1</v>
      </c>
      <c r="N68" s="20">
        <f t="shared" ca="1" si="2"/>
        <v>0</v>
      </c>
      <c r="O68" s="97">
        <f t="shared" ca="1" si="15"/>
        <v>0</v>
      </c>
      <c r="Q68" s="97">
        <f ca="1">MAX( _Saldo_Final _Anterior + _Saldo_Ciclico, 0)</f>
        <v>0</v>
      </c>
      <c r="S68" s="20">
        <f t="shared" ca="1" si="4"/>
        <v>0</v>
      </c>
      <c r="T68" s="20">
        <f t="shared" ca="1" si="5"/>
        <v>0</v>
      </c>
      <c r="U68" s="20">
        <f ca="1">Fechas!_Dias_Interes_Pago</f>
        <v>14</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14</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50</v>
      </c>
      <c r="L69" s="32">
        <f t="shared" ca="1" si="14"/>
        <v>1</v>
      </c>
      <c r="N69" s="20">
        <f t="shared" ca="1" si="2"/>
        <v>0</v>
      </c>
      <c r="O69" s="97">
        <f t="shared" ca="1" si="15"/>
        <v>0</v>
      </c>
      <c r="Q69" s="97">
        <f ca="1">MAX( _Saldo_Final _Anterior + _Saldo_Ciclico, 0)</f>
        <v>0</v>
      </c>
      <c r="S69" s="20">
        <f t="shared" ca="1" si="4"/>
        <v>0</v>
      </c>
      <c r="T69" s="20">
        <f t="shared" ca="1" si="5"/>
        <v>0</v>
      </c>
      <c r="U69" s="20">
        <f ca="1">Fechas!_Dias_Interes_Pago</f>
        <v>14</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14</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51</v>
      </c>
      <c r="L70" s="32">
        <f t="shared" ca="1" si="14"/>
        <v>1</v>
      </c>
      <c r="N70" s="20">
        <f t="shared" ca="1" si="2"/>
        <v>0</v>
      </c>
      <c r="O70" s="97">
        <f t="shared" ca="1" si="15"/>
        <v>0</v>
      </c>
      <c r="Q70" s="97">
        <f ca="1">MAX( _Saldo_Final _Anterior + _Saldo_Ciclico, 0)</f>
        <v>0</v>
      </c>
      <c r="S70" s="20">
        <f t="shared" ca="1" si="4"/>
        <v>0</v>
      </c>
      <c r="T70" s="20">
        <f t="shared" ca="1" si="5"/>
        <v>0</v>
      </c>
      <c r="U70" s="20">
        <f ca="1">Fechas!_Dias_Interes_Pago</f>
        <v>14</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14</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52</v>
      </c>
      <c r="L71" s="32">
        <f t="shared" ca="1" si="14"/>
        <v>1</v>
      </c>
      <c r="N71" s="20">
        <f t="shared" ca="1" si="2"/>
        <v>0</v>
      </c>
      <c r="O71" s="97">
        <f t="shared" ca="1" si="15"/>
        <v>0</v>
      </c>
      <c r="Q71" s="97">
        <f ca="1">MAX( _Saldo_Final _Anterior + _Saldo_Ciclico, 0)</f>
        <v>0</v>
      </c>
      <c r="S71" s="20">
        <f t="shared" ca="1" si="4"/>
        <v>0</v>
      </c>
      <c r="T71" s="20">
        <f t="shared" ca="1" si="5"/>
        <v>0</v>
      </c>
      <c r="U71" s="20">
        <f ca="1">Fechas!_Dias_Interes_Pago</f>
        <v>14</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14</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1</v>
      </c>
      <c r="L72" s="32">
        <f t="shared" ca="1" si="14"/>
        <v>2</v>
      </c>
      <c r="N72" s="20">
        <f t="shared" ca="1" si="2"/>
        <v>0</v>
      </c>
      <c r="O72" s="97">
        <f t="shared" ca="1" si="15"/>
        <v>0</v>
      </c>
      <c r="Q72" s="97">
        <f ca="1">MAX( _Saldo_Final _Anterior + _Saldo_Ciclico, 0)</f>
        <v>0</v>
      </c>
      <c r="S72" s="20">
        <f t="shared" ca="1" si="4"/>
        <v>0</v>
      </c>
      <c r="T72" s="20">
        <f t="shared" ca="1" si="5"/>
        <v>0</v>
      </c>
      <c r="U72" s="20">
        <f ca="1">Fechas!_Dias_Interes_Pago</f>
        <v>14</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14</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2</v>
      </c>
      <c r="L73" s="32">
        <f t="shared" ca="1" si="14"/>
        <v>2</v>
      </c>
      <c r="N73" s="20">
        <f t="shared" ca="1" si="2"/>
        <v>0</v>
      </c>
      <c r="O73" s="97">
        <f t="shared" ca="1" si="15"/>
        <v>0</v>
      </c>
      <c r="Q73" s="97">
        <f ca="1">MAX( _Saldo_Final _Anterior + _Saldo_Ciclico, 0)</f>
        <v>0</v>
      </c>
      <c r="S73" s="20">
        <f t="shared" ca="1" si="4"/>
        <v>0</v>
      </c>
      <c r="T73" s="20">
        <f t="shared" ca="1" si="5"/>
        <v>0</v>
      </c>
      <c r="U73" s="20">
        <f ca="1">Fechas!_Dias_Interes_Pago</f>
        <v>14</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14</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3</v>
      </c>
      <c r="L74" s="32">
        <f t="shared" ca="1" si="14"/>
        <v>2</v>
      </c>
      <c r="N74" s="20">
        <f t="shared" ca="1" si="2"/>
        <v>0</v>
      </c>
      <c r="O74" s="97">
        <f t="shared" ca="1" si="15"/>
        <v>0</v>
      </c>
      <c r="Q74" s="97">
        <f ca="1">MAX( _Saldo_Final _Anterior + _Saldo_Ciclico, 0)</f>
        <v>0</v>
      </c>
      <c r="S74" s="20">
        <f t="shared" ca="1" si="4"/>
        <v>0</v>
      </c>
      <c r="T74" s="20">
        <f t="shared" ca="1" si="5"/>
        <v>0</v>
      </c>
      <c r="U74" s="20">
        <f ca="1">Fechas!_Dias_Interes_Pago</f>
        <v>14</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14</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4</v>
      </c>
      <c r="L75" s="32">
        <f t="shared" ca="1" si="14"/>
        <v>2</v>
      </c>
      <c r="N75" s="20">
        <f t="shared" ca="1" si="2"/>
        <v>0</v>
      </c>
      <c r="O75" s="97">
        <f t="shared" ca="1" si="15"/>
        <v>0</v>
      </c>
      <c r="Q75" s="97">
        <f ca="1">MAX( _Saldo_Final _Anterior + _Saldo_Ciclico, 0)</f>
        <v>0</v>
      </c>
      <c r="S75" s="20">
        <f t="shared" ca="1" si="4"/>
        <v>0</v>
      </c>
      <c r="T75" s="20">
        <f t="shared" ca="1" si="5"/>
        <v>0</v>
      </c>
      <c r="U75" s="20">
        <f ca="1">Fechas!_Dias_Interes_Pago</f>
        <v>14</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14</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5</v>
      </c>
      <c r="L76" s="32">
        <f t="shared" ca="1" si="14"/>
        <v>2</v>
      </c>
      <c r="N76" s="20">
        <f t="shared" ca="1" si="2"/>
        <v>0</v>
      </c>
      <c r="O76" s="97">
        <f t="shared" ca="1" si="15"/>
        <v>0</v>
      </c>
      <c r="Q76" s="97">
        <f ca="1">MAX( _Saldo_Final _Anterior + _Saldo_Ciclico, 0)</f>
        <v>0</v>
      </c>
      <c r="S76" s="20">
        <f t="shared" ca="1" si="4"/>
        <v>0</v>
      </c>
      <c r="T76" s="20">
        <f t="shared" ca="1" si="5"/>
        <v>0</v>
      </c>
      <c r="U76" s="20">
        <f ca="1">Fechas!_Dias_Interes_Pago</f>
        <v>14</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14</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6</v>
      </c>
      <c r="L77" s="32">
        <f t="shared" ca="1" si="14"/>
        <v>2</v>
      </c>
      <c r="N77" s="20">
        <f t="shared" ca="1" si="2"/>
        <v>0</v>
      </c>
      <c r="O77" s="97">
        <f t="shared" ca="1" si="15"/>
        <v>0</v>
      </c>
      <c r="Q77" s="97">
        <f ca="1">MAX( _Saldo_Final _Anterior + _Saldo_Ciclico, 0)</f>
        <v>0</v>
      </c>
      <c r="S77" s="20">
        <f t="shared" ca="1" si="4"/>
        <v>0</v>
      </c>
      <c r="T77" s="20">
        <f t="shared" ca="1" si="5"/>
        <v>0</v>
      </c>
      <c r="U77" s="20">
        <f ca="1">Fechas!_Dias_Interes_Pago</f>
        <v>14</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14</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7</v>
      </c>
      <c r="L78" s="32">
        <f t="shared" ca="1" si="14"/>
        <v>2</v>
      </c>
      <c r="N78" s="20">
        <f t="shared" ca="1" si="2"/>
        <v>0</v>
      </c>
      <c r="O78" s="97">
        <f t="shared" ca="1" si="15"/>
        <v>0</v>
      </c>
      <c r="Q78" s="97">
        <f ca="1">MAX( _Saldo_Final _Anterior + _Saldo_Ciclico, 0)</f>
        <v>0</v>
      </c>
      <c r="S78" s="20">
        <f t="shared" ca="1" si="4"/>
        <v>0</v>
      </c>
      <c r="T78" s="20">
        <f t="shared" ca="1" si="5"/>
        <v>0</v>
      </c>
      <c r="U78" s="20">
        <f ca="1">Fechas!_Dias_Interes_Pago</f>
        <v>14</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14</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8</v>
      </c>
      <c r="L79" s="32">
        <f ca="1">INT(( _Amortizacion - 1 ) / Periodos.Por.Ciclo ) + 1</f>
        <v>2</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14</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14</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62" t="s">
        <v>72</v>
      </c>
      <c r="K14" s="963"/>
      <c r="L14" s="964"/>
      <c r="N14" s="962" t="s">
        <v>73</v>
      </c>
      <c r="O14" s="964"/>
      <c r="Q14" s="364" t="s">
        <v>74</v>
      </c>
      <c r="R14" s="365"/>
      <c r="S14" s="365"/>
      <c r="T14" s="365"/>
      <c r="U14" s="365"/>
      <c r="V14" s="365"/>
      <c r="W14" s="365"/>
      <c r="X14" s="365"/>
      <c r="Y14" s="365"/>
      <c r="Z14" s="365"/>
      <c r="AA14" s="365"/>
      <c r="AB14" s="365"/>
      <c r="AC14" s="365"/>
      <c r="AD14" s="365"/>
      <c r="AE14" s="365"/>
      <c r="AF14" s="366"/>
      <c r="AH14" s="965" t="s">
        <v>1737</v>
      </c>
      <c r="AI14" s="965"/>
      <c r="AJ14" s="965"/>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4.9615384615384617E-3</v>
      </c>
      <c r="K17"/>
      <c r="AD17" s="350"/>
      <c r="AV17" s="350"/>
      <c r="AW17" s="350"/>
      <c r="AX17" s="350"/>
      <c r="AY17" s="350"/>
      <c r="AZ17" s="350"/>
      <c r="BC17" s="350"/>
      <c r="BD17" s="350"/>
      <c r="BE17" s="350"/>
    </row>
    <row r="18" spans="2:57">
      <c r="B18" s="290" t="s">
        <v>44</v>
      </c>
      <c r="C18" s="375">
        <f>'Configuración de Tablas'!H28</f>
        <v>14</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26</v>
      </c>
      <c r="E19" s="289" t="s">
        <v>54</v>
      </c>
      <c r="F19" s="274">
        <f ca="1" xml:space="preserve"> Tasa.Diaria * Dias.Por.Periodo</f>
        <v>5.0166666666666667E-3</v>
      </c>
      <c r="K19"/>
      <c r="AD19" s="350"/>
      <c r="AV19" s="350"/>
      <c r="AW19" s="350"/>
      <c r="AX19" s="350"/>
      <c r="AY19" s="350"/>
      <c r="AZ19" s="350"/>
      <c r="BC19" s="350"/>
      <c r="BD19" s="350"/>
      <c r="BE19" s="350"/>
    </row>
    <row r="20" spans="2:57">
      <c r="B20" s="290" t="s">
        <v>1728</v>
      </c>
      <c r="C20" s="375">
        <f ca="1">'Configuración de Tablas'!H30</f>
        <v>52</v>
      </c>
      <c r="E20" s="290" t="s">
        <v>53</v>
      </c>
      <c r="F20" s="116">
        <f ca="1">IF( Tabla.Ciclica.Anual?, Periodos.Por.Año, Numero.Pagos )</f>
        <v>26</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14</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14</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14</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14</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14</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14</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14</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14</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14</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14</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14</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14</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14</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14</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14</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14</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14</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14</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14</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14</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14</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14</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14</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14</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 ca="1">Fechas!_Dias_Interes_Pago</f>
        <v>14</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14</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 ca="1">Fechas!_Dias_Interes_Pago</f>
        <v>14</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14</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 ca="1">Fechas!_Dias_Interes_Pago</f>
        <v>14</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14</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 ca="1">Fechas!_Dias_Interes_Pago</f>
        <v>14</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14</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 ca="1">Fechas!_Dias_Interes_Pago</f>
        <v>14</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14</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 ca="1">Fechas!_Dias_Interes_Pago</f>
        <v>14</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14</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 ca="1">Fechas!_Dias_Interes_Pago</f>
        <v>14</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14</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 ca="1">Fechas!_Dias_Interes_Pago</f>
        <v>14</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14</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 ca="1">Fechas!_Dias_Interes_Pago</f>
        <v>14</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14</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 ca="1">Fechas!_Dias_Interes_Pago</f>
        <v>14</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14</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 ca="1">Fechas!_Dias_Interes_Pago</f>
        <v>14</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14</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 ca="1">Fechas!_Dias_Interes_Pago</f>
        <v>14</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14</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25</v>
      </c>
      <c r="L44" s="32">
        <f t="shared" ca="1" si="1"/>
        <v>1</v>
      </c>
      <c r="M44"/>
      <c r="N44" s="20">
        <f t="shared" ca="1" si="2"/>
        <v>0</v>
      </c>
      <c r="O44" s="97">
        <f t="shared" ca="1" si="3"/>
        <v>0</v>
      </c>
      <c r="P44"/>
      <c r="Q44" s="97">
        <f ca="1">MAX( _Saldo_Final _Anterior + _Saldo_Ciclico, 0)</f>
        <v>0</v>
      </c>
      <c r="R44"/>
      <c r="S44" s="20">
        <f t="shared" ca="1" si="4"/>
        <v>0</v>
      </c>
      <c r="T44" s="20">
        <f t="shared" ca="1" si="5"/>
        <v>0</v>
      </c>
      <c r="U44" s="20">
        <f ca="1">Fechas!_Dias_Interes_Pago</f>
        <v>14</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14</v>
      </c>
      <c r="AI44" s="97">
        <f t="shared" ca="1" si="11"/>
        <v>0</v>
      </c>
      <c r="AJ44" s="293">
        <f t="shared" ca="1" si="12"/>
        <v>0</v>
      </c>
      <c r="AK44" s="376"/>
      <c r="AL44" s="376"/>
      <c r="AM44" s="376"/>
      <c r="AN44" s="383"/>
      <c r="AO44" s="300"/>
      <c r="AP44" s="301"/>
    </row>
    <row r="45" spans="2:57">
      <c r="B45" s="32"/>
      <c r="C45" s="32"/>
      <c r="J45" s="350">
        <v>26</v>
      </c>
      <c r="K45" s="350">
        <f t="shared" ca="1" si="0"/>
        <v>26</v>
      </c>
      <c r="L45" s="32">
        <f t="shared" ca="1" si="1"/>
        <v>1</v>
      </c>
      <c r="N45" s="20">
        <f t="shared" ca="1" si="2"/>
        <v>0</v>
      </c>
      <c r="O45" s="97">
        <f t="shared" ca="1" si="3"/>
        <v>0</v>
      </c>
      <c r="Q45" s="97">
        <f ca="1">MAX( _Saldo_Final _Anterior + _Saldo_Ciclico, 0)</f>
        <v>0</v>
      </c>
      <c r="S45" s="20">
        <f t="shared" ca="1" si="4"/>
        <v>0</v>
      </c>
      <c r="T45" s="20">
        <f t="shared" ca="1" si="5"/>
        <v>0</v>
      </c>
      <c r="U45" s="20">
        <f ca="1">Fechas!_Dias_Interes_Pago</f>
        <v>14</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14</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1</v>
      </c>
      <c r="L46" s="32">
        <f t="shared" ca="1" si="1"/>
        <v>2</v>
      </c>
      <c r="N46" s="20">
        <f t="shared" ca="1" si="2"/>
        <v>0</v>
      </c>
      <c r="O46" s="97">
        <f t="shared" ca="1" si="3"/>
        <v>0</v>
      </c>
      <c r="Q46" s="97">
        <f ca="1">MAX( _Saldo_Final _Anterior + _Saldo_Ciclico, 0)</f>
        <v>0</v>
      </c>
      <c r="S46" s="20">
        <f t="shared" ca="1" si="4"/>
        <v>0</v>
      </c>
      <c r="T46" s="20">
        <f t="shared" ca="1" si="5"/>
        <v>0</v>
      </c>
      <c r="U46" s="20">
        <f ca="1">Fechas!_Dias_Interes_Pago</f>
        <v>14</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14</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2</v>
      </c>
      <c r="L47" s="32">
        <f t="shared" ca="1" si="1"/>
        <v>2</v>
      </c>
      <c r="N47" s="20">
        <f t="shared" ca="1" si="2"/>
        <v>0</v>
      </c>
      <c r="O47" s="97">
        <f t="shared" ca="1" si="3"/>
        <v>0</v>
      </c>
      <c r="Q47" s="97">
        <f ca="1">MAX( _Saldo_Final _Anterior + _Saldo_Ciclico, 0)</f>
        <v>0</v>
      </c>
      <c r="S47" s="20">
        <f t="shared" ca="1" si="4"/>
        <v>0</v>
      </c>
      <c r="T47" s="20">
        <f t="shared" ca="1" si="5"/>
        <v>0</v>
      </c>
      <c r="U47" s="20">
        <f ca="1">Fechas!_Dias_Interes_Pago</f>
        <v>14</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14</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3</v>
      </c>
      <c r="L48" s="32">
        <f t="shared" ca="1" si="1"/>
        <v>2</v>
      </c>
      <c r="N48" s="20">
        <f t="shared" ca="1" si="2"/>
        <v>0</v>
      </c>
      <c r="O48" s="97">
        <f t="shared" ca="1" si="3"/>
        <v>0</v>
      </c>
      <c r="Q48" s="97">
        <f ca="1">MAX( _Saldo_Final _Anterior + _Saldo_Ciclico, 0)</f>
        <v>0</v>
      </c>
      <c r="S48" s="20">
        <f t="shared" ca="1" si="4"/>
        <v>0</v>
      </c>
      <c r="T48" s="20">
        <f t="shared" ca="1" si="5"/>
        <v>0</v>
      </c>
      <c r="U48" s="20">
        <f ca="1">Fechas!_Dias_Interes_Pago</f>
        <v>14</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14</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4</v>
      </c>
      <c r="L49" s="32">
        <f t="shared" ca="1" si="1"/>
        <v>2</v>
      </c>
      <c r="N49" s="20">
        <f t="shared" ca="1" si="2"/>
        <v>0</v>
      </c>
      <c r="O49" s="97">
        <f t="shared" ca="1" si="3"/>
        <v>0</v>
      </c>
      <c r="Q49" s="97">
        <f ca="1">MAX( _Saldo_Final _Anterior + _Saldo_Ciclico, 0)</f>
        <v>0</v>
      </c>
      <c r="S49" s="20">
        <f t="shared" ca="1" si="4"/>
        <v>0</v>
      </c>
      <c r="T49" s="20">
        <f t="shared" ca="1" si="5"/>
        <v>0</v>
      </c>
      <c r="U49" s="20">
        <f ca="1">Fechas!_Dias_Interes_Pago</f>
        <v>14</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14</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5</v>
      </c>
      <c r="L50" s="32">
        <f t="shared" ca="1" si="1"/>
        <v>2</v>
      </c>
      <c r="N50" s="20">
        <f t="shared" ca="1" si="2"/>
        <v>0</v>
      </c>
      <c r="O50" s="97">
        <f t="shared" ca="1" si="3"/>
        <v>0</v>
      </c>
      <c r="Q50" s="97">
        <f ca="1">MAX( _Saldo_Final _Anterior + _Saldo_Ciclico, 0)</f>
        <v>0</v>
      </c>
      <c r="S50" s="20">
        <f t="shared" ca="1" si="4"/>
        <v>0</v>
      </c>
      <c r="T50" s="20">
        <f t="shared" ca="1" si="5"/>
        <v>0</v>
      </c>
      <c r="U50" s="20">
        <f ca="1">Fechas!_Dias_Interes_Pago</f>
        <v>14</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14</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6</v>
      </c>
      <c r="L51" s="32">
        <f t="shared" ca="1" si="1"/>
        <v>2</v>
      </c>
      <c r="N51" s="20">
        <f t="shared" ca="1" si="2"/>
        <v>0</v>
      </c>
      <c r="O51" s="97">
        <f t="shared" ca="1" si="3"/>
        <v>0</v>
      </c>
      <c r="Q51" s="97">
        <f ca="1">MAX( _Saldo_Final _Anterior + _Saldo_Ciclico, 0)</f>
        <v>0</v>
      </c>
      <c r="S51" s="20">
        <f t="shared" ca="1" si="4"/>
        <v>0</v>
      </c>
      <c r="T51" s="20">
        <f t="shared" ca="1" si="5"/>
        <v>0</v>
      </c>
      <c r="U51" s="20">
        <f ca="1">Fechas!_Dias_Interes_Pago</f>
        <v>14</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14</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7</v>
      </c>
      <c r="L52" s="32">
        <f t="shared" ref="L52:L78" ca="1" si="14">INT(( _Amortizacion - 1 ) / Periodos.Por.Ciclo ) + 1</f>
        <v>2</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14</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14</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8</v>
      </c>
      <c r="L53" s="32">
        <f t="shared" ca="1" si="14"/>
        <v>2</v>
      </c>
      <c r="N53" s="20">
        <f t="shared" ca="1" si="2"/>
        <v>0</v>
      </c>
      <c r="O53" s="97">
        <f t="shared" ca="1" si="15"/>
        <v>0</v>
      </c>
      <c r="Q53" s="97">
        <f ca="1">MAX( _Saldo_Final _Anterior + _Saldo_Ciclico, 0)</f>
        <v>0</v>
      </c>
      <c r="S53" s="20">
        <f t="shared" ca="1" si="4"/>
        <v>0</v>
      </c>
      <c r="T53" s="20">
        <f t="shared" ca="1" si="5"/>
        <v>0</v>
      </c>
      <c r="U53" s="20">
        <f ca="1">Fechas!_Dias_Interes_Pago</f>
        <v>14</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14</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9</v>
      </c>
      <c r="L54" s="32">
        <f t="shared" ca="1" si="14"/>
        <v>2</v>
      </c>
      <c r="N54" s="20">
        <f t="shared" ca="1" si="2"/>
        <v>0</v>
      </c>
      <c r="O54" s="97">
        <f t="shared" ca="1" si="15"/>
        <v>0</v>
      </c>
      <c r="Q54" s="97">
        <f ca="1">MAX( _Saldo_Final _Anterior + _Saldo_Ciclico, 0)</f>
        <v>0</v>
      </c>
      <c r="S54" s="20">
        <f t="shared" ca="1" si="4"/>
        <v>0</v>
      </c>
      <c r="T54" s="20">
        <f t="shared" ca="1" si="5"/>
        <v>0</v>
      </c>
      <c r="U54" s="20">
        <f ca="1">Fechas!_Dias_Interes_Pago</f>
        <v>14</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14</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10</v>
      </c>
      <c r="L55" s="32">
        <f t="shared" ca="1" si="14"/>
        <v>2</v>
      </c>
      <c r="N55" s="20">
        <f t="shared" ca="1" si="2"/>
        <v>0</v>
      </c>
      <c r="O55" s="97">
        <f t="shared" ca="1" si="15"/>
        <v>0</v>
      </c>
      <c r="Q55" s="97">
        <f ca="1">MAX( _Saldo_Final _Anterior + _Saldo_Ciclico, 0)</f>
        <v>0</v>
      </c>
      <c r="S55" s="20">
        <f t="shared" ca="1" si="4"/>
        <v>0</v>
      </c>
      <c r="T55" s="20">
        <f t="shared" ca="1" si="5"/>
        <v>0</v>
      </c>
      <c r="U55" s="20">
        <f ca="1">Fechas!_Dias_Interes_Pago</f>
        <v>14</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14</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11</v>
      </c>
      <c r="L56" s="32">
        <f t="shared" ca="1" si="14"/>
        <v>2</v>
      </c>
      <c r="N56" s="20">
        <f t="shared" ca="1" si="2"/>
        <v>0</v>
      </c>
      <c r="O56" s="97">
        <f t="shared" ca="1" si="15"/>
        <v>0</v>
      </c>
      <c r="Q56" s="97">
        <f ca="1">MAX( _Saldo_Final _Anterior + _Saldo_Ciclico, 0)</f>
        <v>0</v>
      </c>
      <c r="S56" s="20">
        <f t="shared" ca="1" si="4"/>
        <v>0</v>
      </c>
      <c r="T56" s="20">
        <f t="shared" ca="1" si="5"/>
        <v>0</v>
      </c>
      <c r="U56" s="20">
        <f ca="1">Fechas!_Dias_Interes_Pago</f>
        <v>14</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14</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12</v>
      </c>
      <c r="L57" s="32">
        <f t="shared" ca="1" si="14"/>
        <v>2</v>
      </c>
      <c r="N57" s="20">
        <f t="shared" ca="1" si="2"/>
        <v>0</v>
      </c>
      <c r="O57" s="97">
        <f t="shared" ca="1" si="15"/>
        <v>0</v>
      </c>
      <c r="Q57" s="97">
        <f ca="1">MAX( _Saldo_Final _Anterior + _Saldo_Ciclico, 0)</f>
        <v>0</v>
      </c>
      <c r="S57" s="20">
        <f t="shared" ca="1" si="4"/>
        <v>0</v>
      </c>
      <c r="T57" s="20">
        <f t="shared" ca="1" si="5"/>
        <v>0</v>
      </c>
      <c r="U57" s="20">
        <f ca="1">Fechas!_Dias_Interes_Pago</f>
        <v>14</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14</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13</v>
      </c>
      <c r="L58" s="32">
        <f t="shared" ca="1" si="14"/>
        <v>2</v>
      </c>
      <c r="N58" s="20">
        <f t="shared" ca="1" si="2"/>
        <v>0</v>
      </c>
      <c r="O58" s="97">
        <f t="shared" ca="1" si="15"/>
        <v>0</v>
      </c>
      <c r="Q58" s="97">
        <f ca="1">MAX( _Saldo_Final _Anterior + _Saldo_Ciclico, 0)</f>
        <v>0</v>
      </c>
      <c r="S58" s="20">
        <f t="shared" ca="1" si="4"/>
        <v>0</v>
      </c>
      <c r="T58" s="20">
        <f t="shared" ca="1" si="5"/>
        <v>0</v>
      </c>
      <c r="U58" s="20">
        <f ca="1">Fechas!_Dias_Interes_Pago</f>
        <v>14</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14</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14</v>
      </c>
      <c r="L59" s="32">
        <f t="shared" ca="1" si="14"/>
        <v>2</v>
      </c>
      <c r="N59" s="20">
        <f t="shared" ca="1" si="2"/>
        <v>0</v>
      </c>
      <c r="O59" s="97">
        <f t="shared" ca="1" si="15"/>
        <v>0</v>
      </c>
      <c r="Q59" s="97">
        <f ca="1">MAX( _Saldo_Final _Anterior + _Saldo_Ciclico, 0)</f>
        <v>0</v>
      </c>
      <c r="S59" s="20">
        <f t="shared" ca="1" si="4"/>
        <v>0</v>
      </c>
      <c r="T59" s="20">
        <f t="shared" ca="1" si="5"/>
        <v>0</v>
      </c>
      <c r="U59" s="20">
        <f ca="1">Fechas!_Dias_Interes_Pago</f>
        <v>14</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14</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15</v>
      </c>
      <c r="L60" s="32">
        <f t="shared" ca="1" si="14"/>
        <v>2</v>
      </c>
      <c r="N60" s="20">
        <f t="shared" ca="1" si="2"/>
        <v>0</v>
      </c>
      <c r="O60" s="97">
        <f t="shared" ca="1" si="15"/>
        <v>0</v>
      </c>
      <c r="Q60" s="97">
        <f ca="1">MAX( _Saldo_Final _Anterior + _Saldo_Ciclico, 0)</f>
        <v>0</v>
      </c>
      <c r="S60" s="20">
        <f t="shared" ca="1" si="4"/>
        <v>0</v>
      </c>
      <c r="T60" s="20">
        <f t="shared" ca="1" si="5"/>
        <v>0</v>
      </c>
      <c r="U60" s="20">
        <f ca="1">Fechas!_Dias_Interes_Pago</f>
        <v>14</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14</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16</v>
      </c>
      <c r="L61" s="32">
        <f t="shared" ca="1" si="14"/>
        <v>2</v>
      </c>
      <c r="N61" s="20">
        <f t="shared" ca="1" si="2"/>
        <v>0</v>
      </c>
      <c r="O61" s="97">
        <f t="shared" ca="1" si="15"/>
        <v>0</v>
      </c>
      <c r="Q61" s="97">
        <f ca="1">MAX( _Saldo_Final _Anterior + _Saldo_Ciclico, 0)</f>
        <v>0</v>
      </c>
      <c r="S61" s="20">
        <f t="shared" ca="1" si="4"/>
        <v>0</v>
      </c>
      <c r="T61" s="20">
        <f t="shared" ca="1" si="5"/>
        <v>0</v>
      </c>
      <c r="U61" s="20">
        <f ca="1">Fechas!_Dias_Interes_Pago</f>
        <v>14</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14</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17</v>
      </c>
      <c r="L62" s="32">
        <f t="shared" ca="1" si="14"/>
        <v>2</v>
      </c>
      <c r="N62" s="20">
        <f t="shared" ca="1" si="2"/>
        <v>0</v>
      </c>
      <c r="O62" s="97">
        <f t="shared" ca="1" si="15"/>
        <v>0</v>
      </c>
      <c r="Q62" s="97">
        <f ca="1">MAX( _Saldo_Final _Anterior + _Saldo_Ciclico, 0)</f>
        <v>0</v>
      </c>
      <c r="S62" s="20">
        <f t="shared" ca="1" si="4"/>
        <v>0</v>
      </c>
      <c r="T62" s="20">
        <f t="shared" ca="1" si="5"/>
        <v>0</v>
      </c>
      <c r="U62" s="20">
        <f ca="1">Fechas!_Dias_Interes_Pago</f>
        <v>14</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14</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18</v>
      </c>
      <c r="L63" s="32">
        <f t="shared" ca="1" si="14"/>
        <v>2</v>
      </c>
      <c r="N63" s="20">
        <f t="shared" ca="1" si="2"/>
        <v>0</v>
      </c>
      <c r="O63" s="97">
        <f t="shared" ca="1" si="15"/>
        <v>0</v>
      </c>
      <c r="Q63" s="97">
        <f ca="1">MAX( _Saldo_Final _Anterior + _Saldo_Ciclico, 0)</f>
        <v>0</v>
      </c>
      <c r="S63" s="20">
        <f t="shared" ca="1" si="4"/>
        <v>0</v>
      </c>
      <c r="T63" s="20">
        <f t="shared" ca="1" si="5"/>
        <v>0</v>
      </c>
      <c r="U63" s="20">
        <f ca="1">Fechas!_Dias_Interes_Pago</f>
        <v>14</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14</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19</v>
      </c>
      <c r="L64" s="32">
        <f t="shared" ca="1" si="14"/>
        <v>2</v>
      </c>
      <c r="N64" s="20">
        <f t="shared" ca="1" si="2"/>
        <v>0</v>
      </c>
      <c r="O64" s="97">
        <f t="shared" ca="1" si="15"/>
        <v>0</v>
      </c>
      <c r="Q64" s="97">
        <f ca="1">MAX( _Saldo_Final _Anterior + _Saldo_Ciclico, 0)</f>
        <v>0</v>
      </c>
      <c r="S64" s="20">
        <f t="shared" ca="1" si="4"/>
        <v>0</v>
      </c>
      <c r="T64" s="20">
        <f t="shared" ca="1" si="5"/>
        <v>0</v>
      </c>
      <c r="U64" s="20">
        <f ca="1">Fechas!_Dias_Interes_Pago</f>
        <v>14</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14</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20</v>
      </c>
      <c r="L65" s="32">
        <f t="shared" ca="1" si="14"/>
        <v>2</v>
      </c>
      <c r="N65" s="20">
        <f t="shared" ca="1" si="2"/>
        <v>0</v>
      </c>
      <c r="O65" s="97">
        <f t="shared" ca="1" si="15"/>
        <v>0</v>
      </c>
      <c r="Q65" s="97">
        <f ca="1">MAX( _Saldo_Final _Anterior + _Saldo_Ciclico, 0)</f>
        <v>0</v>
      </c>
      <c r="S65" s="20">
        <f t="shared" ca="1" si="4"/>
        <v>0</v>
      </c>
      <c r="T65" s="20">
        <f t="shared" ca="1" si="5"/>
        <v>0</v>
      </c>
      <c r="U65" s="20">
        <f ca="1">Fechas!_Dias_Interes_Pago</f>
        <v>14</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14</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21</v>
      </c>
      <c r="L66" s="32">
        <f t="shared" ca="1" si="14"/>
        <v>2</v>
      </c>
      <c r="N66" s="20">
        <f t="shared" ca="1" si="2"/>
        <v>0</v>
      </c>
      <c r="O66" s="97">
        <f t="shared" ca="1" si="15"/>
        <v>0</v>
      </c>
      <c r="Q66" s="97">
        <f ca="1">MAX( _Saldo_Final _Anterior + _Saldo_Ciclico, 0)</f>
        <v>0</v>
      </c>
      <c r="S66" s="20">
        <f t="shared" ca="1" si="4"/>
        <v>0</v>
      </c>
      <c r="T66" s="20">
        <f t="shared" ca="1" si="5"/>
        <v>0</v>
      </c>
      <c r="U66" s="20">
        <f ca="1">Fechas!_Dias_Interes_Pago</f>
        <v>14</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14</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22</v>
      </c>
      <c r="L67" s="32">
        <f t="shared" ca="1" si="14"/>
        <v>2</v>
      </c>
      <c r="N67" s="20">
        <f t="shared" ca="1" si="2"/>
        <v>0</v>
      </c>
      <c r="O67" s="97">
        <f t="shared" ca="1" si="15"/>
        <v>0</v>
      </c>
      <c r="Q67" s="97">
        <f ca="1">MAX( _Saldo_Final _Anterior + _Saldo_Ciclico, 0)</f>
        <v>0</v>
      </c>
      <c r="S67" s="20">
        <f t="shared" ca="1" si="4"/>
        <v>0</v>
      </c>
      <c r="T67" s="20">
        <f t="shared" ca="1" si="5"/>
        <v>0</v>
      </c>
      <c r="U67" s="20">
        <f ca="1">Fechas!_Dias_Interes_Pago</f>
        <v>14</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14</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23</v>
      </c>
      <c r="L68" s="32">
        <f t="shared" ca="1" si="14"/>
        <v>2</v>
      </c>
      <c r="N68" s="20">
        <f t="shared" ca="1" si="2"/>
        <v>0</v>
      </c>
      <c r="O68" s="97">
        <f t="shared" ca="1" si="15"/>
        <v>0</v>
      </c>
      <c r="Q68" s="97">
        <f ca="1">MAX( _Saldo_Final _Anterior + _Saldo_Ciclico, 0)</f>
        <v>0</v>
      </c>
      <c r="S68" s="20">
        <f t="shared" ca="1" si="4"/>
        <v>0</v>
      </c>
      <c r="T68" s="20">
        <f t="shared" ca="1" si="5"/>
        <v>0</v>
      </c>
      <c r="U68" s="20">
        <f ca="1">Fechas!_Dias_Interes_Pago</f>
        <v>14</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14</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24</v>
      </c>
      <c r="L69" s="32">
        <f t="shared" ca="1" si="14"/>
        <v>2</v>
      </c>
      <c r="N69" s="20">
        <f t="shared" ca="1" si="2"/>
        <v>0</v>
      </c>
      <c r="O69" s="97">
        <f t="shared" ca="1" si="15"/>
        <v>0</v>
      </c>
      <c r="Q69" s="97">
        <f ca="1">MAX( _Saldo_Final _Anterior + _Saldo_Ciclico, 0)</f>
        <v>0</v>
      </c>
      <c r="S69" s="20">
        <f t="shared" ca="1" si="4"/>
        <v>0</v>
      </c>
      <c r="T69" s="20">
        <f t="shared" ca="1" si="5"/>
        <v>0</v>
      </c>
      <c r="U69" s="20">
        <f ca="1">Fechas!_Dias_Interes_Pago</f>
        <v>14</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14</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25</v>
      </c>
      <c r="L70" s="32">
        <f t="shared" ca="1" si="14"/>
        <v>2</v>
      </c>
      <c r="N70" s="20">
        <f t="shared" ca="1" si="2"/>
        <v>0</v>
      </c>
      <c r="O70" s="97">
        <f t="shared" ca="1" si="15"/>
        <v>0</v>
      </c>
      <c r="Q70" s="97">
        <f ca="1">MAX( _Saldo_Final _Anterior + _Saldo_Ciclico, 0)</f>
        <v>0</v>
      </c>
      <c r="S70" s="20">
        <f t="shared" ca="1" si="4"/>
        <v>0</v>
      </c>
      <c r="T70" s="20">
        <f t="shared" ca="1" si="5"/>
        <v>0</v>
      </c>
      <c r="U70" s="20">
        <f ca="1">Fechas!_Dias_Interes_Pago</f>
        <v>14</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14</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26</v>
      </c>
      <c r="L71" s="32">
        <f t="shared" ca="1" si="14"/>
        <v>2</v>
      </c>
      <c r="N71" s="20">
        <f t="shared" ca="1" si="2"/>
        <v>0</v>
      </c>
      <c r="O71" s="97">
        <f t="shared" ca="1" si="15"/>
        <v>0</v>
      </c>
      <c r="Q71" s="97">
        <f ca="1">MAX( _Saldo_Final _Anterior + _Saldo_Ciclico, 0)</f>
        <v>0</v>
      </c>
      <c r="S71" s="20">
        <f t="shared" ca="1" si="4"/>
        <v>0</v>
      </c>
      <c r="T71" s="20">
        <f t="shared" ca="1" si="5"/>
        <v>0</v>
      </c>
      <c r="U71" s="20">
        <f ca="1">Fechas!_Dias_Interes_Pago</f>
        <v>14</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14</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1</v>
      </c>
      <c r="L72" s="32">
        <f t="shared" ca="1" si="14"/>
        <v>3</v>
      </c>
      <c r="N72" s="20">
        <f t="shared" ca="1" si="2"/>
        <v>0</v>
      </c>
      <c r="O72" s="97">
        <f t="shared" ca="1" si="15"/>
        <v>0</v>
      </c>
      <c r="Q72" s="97">
        <f ca="1">MAX( _Saldo_Final _Anterior + _Saldo_Ciclico, 0)</f>
        <v>0</v>
      </c>
      <c r="S72" s="20">
        <f t="shared" ca="1" si="4"/>
        <v>0</v>
      </c>
      <c r="T72" s="20">
        <f t="shared" ca="1" si="5"/>
        <v>0</v>
      </c>
      <c r="U72" s="20">
        <f ca="1">Fechas!_Dias_Interes_Pago</f>
        <v>14</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14</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2</v>
      </c>
      <c r="L73" s="32">
        <f t="shared" ca="1" si="14"/>
        <v>3</v>
      </c>
      <c r="N73" s="20">
        <f t="shared" ca="1" si="2"/>
        <v>0</v>
      </c>
      <c r="O73" s="97">
        <f t="shared" ca="1" si="15"/>
        <v>0</v>
      </c>
      <c r="Q73" s="97">
        <f ca="1">MAX( _Saldo_Final _Anterior + _Saldo_Ciclico, 0)</f>
        <v>0</v>
      </c>
      <c r="S73" s="20">
        <f t="shared" ca="1" si="4"/>
        <v>0</v>
      </c>
      <c r="T73" s="20">
        <f t="shared" ca="1" si="5"/>
        <v>0</v>
      </c>
      <c r="U73" s="20">
        <f ca="1">Fechas!_Dias_Interes_Pago</f>
        <v>14</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14</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3</v>
      </c>
      <c r="L74" s="32">
        <f t="shared" ca="1" si="14"/>
        <v>3</v>
      </c>
      <c r="N74" s="20">
        <f t="shared" ca="1" si="2"/>
        <v>0</v>
      </c>
      <c r="O74" s="97">
        <f t="shared" ca="1" si="15"/>
        <v>0</v>
      </c>
      <c r="Q74" s="97">
        <f ca="1">MAX( _Saldo_Final _Anterior + _Saldo_Ciclico, 0)</f>
        <v>0</v>
      </c>
      <c r="S74" s="20">
        <f t="shared" ca="1" si="4"/>
        <v>0</v>
      </c>
      <c r="T74" s="20">
        <f t="shared" ca="1" si="5"/>
        <v>0</v>
      </c>
      <c r="U74" s="20">
        <f ca="1">Fechas!_Dias_Interes_Pago</f>
        <v>14</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14</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4</v>
      </c>
      <c r="L75" s="32">
        <f t="shared" ca="1" si="14"/>
        <v>3</v>
      </c>
      <c r="N75" s="20">
        <f t="shared" ca="1" si="2"/>
        <v>0</v>
      </c>
      <c r="O75" s="97">
        <f t="shared" ca="1" si="15"/>
        <v>0</v>
      </c>
      <c r="Q75" s="97">
        <f ca="1">MAX( _Saldo_Final _Anterior + _Saldo_Ciclico, 0)</f>
        <v>0</v>
      </c>
      <c r="S75" s="20">
        <f t="shared" ca="1" si="4"/>
        <v>0</v>
      </c>
      <c r="T75" s="20">
        <f t="shared" ca="1" si="5"/>
        <v>0</v>
      </c>
      <c r="U75" s="20">
        <f ca="1">Fechas!_Dias_Interes_Pago</f>
        <v>14</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14</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5</v>
      </c>
      <c r="L76" s="32">
        <f t="shared" ca="1" si="14"/>
        <v>3</v>
      </c>
      <c r="N76" s="20">
        <f t="shared" ca="1" si="2"/>
        <v>0</v>
      </c>
      <c r="O76" s="97">
        <f t="shared" ca="1" si="15"/>
        <v>0</v>
      </c>
      <c r="Q76" s="97">
        <f ca="1">MAX( _Saldo_Final _Anterior + _Saldo_Ciclico, 0)</f>
        <v>0</v>
      </c>
      <c r="S76" s="20">
        <f t="shared" ca="1" si="4"/>
        <v>0</v>
      </c>
      <c r="T76" s="20">
        <f t="shared" ca="1" si="5"/>
        <v>0</v>
      </c>
      <c r="U76" s="20">
        <f ca="1">Fechas!_Dias_Interes_Pago</f>
        <v>14</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14</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6</v>
      </c>
      <c r="L77" s="32">
        <f t="shared" ca="1" si="14"/>
        <v>3</v>
      </c>
      <c r="N77" s="20">
        <f t="shared" ca="1" si="2"/>
        <v>0</v>
      </c>
      <c r="O77" s="97">
        <f t="shared" ca="1" si="15"/>
        <v>0</v>
      </c>
      <c r="Q77" s="97">
        <f ca="1">MAX( _Saldo_Final _Anterior + _Saldo_Ciclico, 0)</f>
        <v>0</v>
      </c>
      <c r="S77" s="20">
        <f t="shared" ca="1" si="4"/>
        <v>0</v>
      </c>
      <c r="T77" s="20">
        <f t="shared" ca="1" si="5"/>
        <v>0</v>
      </c>
      <c r="U77" s="20">
        <f ca="1">Fechas!_Dias_Interes_Pago</f>
        <v>14</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14</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7</v>
      </c>
      <c r="L78" s="32">
        <f t="shared" ca="1" si="14"/>
        <v>3</v>
      </c>
      <c r="N78" s="20">
        <f t="shared" ca="1" si="2"/>
        <v>0</v>
      </c>
      <c r="O78" s="97">
        <f t="shared" ca="1" si="15"/>
        <v>0</v>
      </c>
      <c r="Q78" s="97">
        <f ca="1">MAX( _Saldo_Final _Anterior + _Saldo_Ciclico, 0)</f>
        <v>0</v>
      </c>
      <c r="S78" s="20">
        <f t="shared" ca="1" si="4"/>
        <v>0</v>
      </c>
      <c r="T78" s="20">
        <f t="shared" ca="1" si="5"/>
        <v>0</v>
      </c>
      <c r="U78" s="20">
        <f ca="1">Fechas!_Dias_Interes_Pago</f>
        <v>14</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14</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8</v>
      </c>
      <c r="L79" s="32">
        <f ca="1">INT(( _Amortizacion - 1 ) / Periodos.Por.Ciclo ) + 1</f>
        <v>3</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14</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14</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26</v>
      </c>
      <c r="K17"/>
    </row>
    <row r="18" spans="2:19">
      <c r="B18" s="102" t="s">
        <v>2508</v>
      </c>
      <c r="C18" s="375">
        <f ca="1">'Configuración de Tablas'!K28</f>
        <v>26</v>
      </c>
      <c r="E18" s="289"/>
      <c r="F18" s="274"/>
      <c r="J18" s="376"/>
      <c r="K18"/>
      <c r="Q18" s="378" t="s">
        <v>81</v>
      </c>
      <c r="R18" s="350"/>
    </row>
    <row r="19" spans="2:19">
      <c r="B19" s="102" t="s">
        <v>2509</v>
      </c>
      <c r="C19" s="375">
        <f ca="1">'Configuración de Tablas'!K29</f>
        <v>52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13</v>
      </c>
      <c r="L32" s="32">
        <f t="shared" ca="1" si="1"/>
        <v>1</v>
      </c>
      <c r="N32" s="20">
        <f t="shared" ca="1" si="2"/>
        <v>0</v>
      </c>
    </row>
    <row r="33" spans="1:14">
      <c r="J33" s="350">
        <v>14</v>
      </c>
      <c r="K33" s="350">
        <f t="shared" ca="1" si="0"/>
        <v>14</v>
      </c>
      <c r="L33" s="32">
        <f t="shared" ca="1" si="1"/>
        <v>1</v>
      </c>
      <c r="N33" s="20">
        <f t="shared" ca="1" si="2"/>
        <v>0</v>
      </c>
    </row>
    <row r="34" spans="1:14">
      <c r="J34" s="350">
        <v>15</v>
      </c>
      <c r="K34" s="350">
        <f t="shared" ca="1" si="0"/>
        <v>15</v>
      </c>
      <c r="L34" s="32">
        <f t="shared" ca="1" si="1"/>
        <v>1</v>
      </c>
      <c r="N34" s="20">
        <f t="shared" ca="1" si="2"/>
        <v>0</v>
      </c>
    </row>
    <row r="35" spans="1:14">
      <c r="J35" s="350">
        <v>16</v>
      </c>
      <c r="K35" s="350">
        <f t="shared" ca="1" si="0"/>
        <v>16</v>
      </c>
      <c r="L35" s="32">
        <f t="shared" ca="1" si="1"/>
        <v>1</v>
      </c>
      <c r="N35" s="20">
        <f t="shared" ca="1" si="2"/>
        <v>0</v>
      </c>
    </row>
    <row r="36" spans="1:14">
      <c r="J36" s="350">
        <v>17</v>
      </c>
      <c r="K36" s="350">
        <f t="shared" ca="1" si="0"/>
        <v>17</v>
      </c>
      <c r="L36" s="32">
        <f t="shared" ca="1" si="1"/>
        <v>1</v>
      </c>
      <c r="N36" s="20">
        <f t="shared" ca="1" si="2"/>
        <v>0</v>
      </c>
    </row>
    <row r="37" spans="1:14">
      <c r="B37" s="32"/>
      <c r="C37" s="101"/>
      <c r="E37" s="111"/>
      <c r="F37" s="300"/>
      <c r="J37" s="350">
        <v>18</v>
      </c>
      <c r="K37" s="350">
        <f t="shared" ca="1" si="0"/>
        <v>18</v>
      </c>
      <c r="L37" s="32">
        <f t="shared" ca="1" si="1"/>
        <v>1</v>
      </c>
      <c r="N37" s="20">
        <f t="shared" ca="1" si="2"/>
        <v>0</v>
      </c>
    </row>
    <row r="38" spans="1:14">
      <c r="J38" s="350">
        <v>19</v>
      </c>
      <c r="K38" s="350">
        <f t="shared" ca="1" si="0"/>
        <v>19</v>
      </c>
      <c r="L38" s="32">
        <f t="shared" ca="1" si="1"/>
        <v>1</v>
      </c>
      <c r="N38" s="20">
        <f t="shared" ca="1" si="2"/>
        <v>0</v>
      </c>
    </row>
    <row r="39" spans="1:14">
      <c r="B39" s="32"/>
      <c r="C39" s="32"/>
      <c r="J39" s="350">
        <v>20</v>
      </c>
      <c r="K39" s="350">
        <f t="shared" ca="1" si="0"/>
        <v>20</v>
      </c>
      <c r="L39" s="32">
        <f t="shared" ca="1" si="1"/>
        <v>1</v>
      </c>
      <c r="N39" s="20">
        <f t="shared" ca="1" si="2"/>
        <v>0</v>
      </c>
    </row>
    <row r="40" spans="1:14">
      <c r="B40" s="32"/>
      <c r="C40" s="32"/>
      <c r="J40" s="350">
        <v>21</v>
      </c>
      <c r="K40" s="350">
        <f t="shared" ca="1" si="0"/>
        <v>21</v>
      </c>
      <c r="L40" s="32">
        <f t="shared" ca="1" si="1"/>
        <v>1</v>
      </c>
      <c r="N40" s="20">
        <f t="shared" ca="1" si="2"/>
        <v>0</v>
      </c>
    </row>
    <row r="41" spans="1:14">
      <c r="B41" s="32"/>
      <c r="C41" s="32"/>
      <c r="J41" s="350">
        <v>22</v>
      </c>
      <c r="K41" s="350">
        <f t="shared" ca="1" si="0"/>
        <v>22</v>
      </c>
      <c r="L41" s="32">
        <f t="shared" ca="1" si="1"/>
        <v>1</v>
      </c>
      <c r="N41" s="20">
        <f t="shared" ca="1" si="2"/>
        <v>0</v>
      </c>
    </row>
    <row r="42" spans="1:14">
      <c r="B42" s="301"/>
      <c r="C42" s="301"/>
      <c r="E42" s="116"/>
      <c r="F42" s="116"/>
      <c r="J42" s="350">
        <v>23</v>
      </c>
      <c r="K42" s="350">
        <f t="shared" ca="1" si="0"/>
        <v>23</v>
      </c>
      <c r="L42" s="32">
        <f t="shared" ca="1" si="1"/>
        <v>1</v>
      </c>
      <c r="N42" s="20">
        <f t="shared" ca="1" si="2"/>
        <v>0</v>
      </c>
    </row>
    <row r="43" spans="1:14">
      <c r="B43" s="32"/>
      <c r="C43" s="32"/>
      <c r="J43" s="350">
        <v>24</v>
      </c>
      <c r="K43" s="350">
        <f t="shared" ca="1" si="0"/>
        <v>24</v>
      </c>
      <c r="L43" s="32">
        <f t="shared" ca="1" si="1"/>
        <v>1</v>
      </c>
      <c r="N43" s="20">
        <f t="shared" ca="1" si="2"/>
        <v>0</v>
      </c>
    </row>
    <row r="44" spans="1:14">
      <c r="A44" s="116"/>
      <c r="B44" s="32"/>
      <c r="C44" s="32"/>
      <c r="G44" s="116"/>
      <c r="I44" s="116"/>
      <c r="J44" s="350">
        <v>25</v>
      </c>
      <c r="K44" s="350">
        <f t="shared" ca="1" si="0"/>
        <v>25</v>
      </c>
      <c r="L44" s="32">
        <f t="shared" ca="1" si="1"/>
        <v>1</v>
      </c>
      <c r="N44" s="20">
        <f t="shared" ca="1" si="2"/>
        <v>0</v>
      </c>
    </row>
    <row r="45" spans="1:14">
      <c r="B45" s="32"/>
      <c r="C45" s="32"/>
      <c r="J45" s="350">
        <v>26</v>
      </c>
      <c r="K45" s="350">
        <f t="shared" ca="1" si="0"/>
        <v>26</v>
      </c>
      <c r="L45" s="32">
        <f t="shared" ca="1" si="1"/>
        <v>1</v>
      </c>
      <c r="N45" s="20">
        <f t="shared" ca="1" si="2"/>
        <v>0</v>
      </c>
    </row>
    <row r="46" spans="1:14">
      <c r="B46" s="32"/>
      <c r="C46" s="32"/>
      <c r="J46" s="350">
        <v>27</v>
      </c>
      <c r="K46" s="350">
        <f t="shared" ca="1" si="0"/>
        <v>1</v>
      </c>
      <c r="L46" s="32">
        <f t="shared" ca="1" si="1"/>
        <v>2</v>
      </c>
      <c r="N46" s="20">
        <f t="shared" ca="1" si="2"/>
        <v>9167.2506673600001</v>
      </c>
    </row>
    <row r="47" spans="1:14">
      <c r="B47" s="32"/>
      <c r="C47" s="32"/>
      <c r="J47" s="350">
        <v>28</v>
      </c>
      <c r="K47" s="350">
        <f t="shared" ca="1" si="0"/>
        <v>2</v>
      </c>
      <c r="L47" s="32">
        <f t="shared" ca="1" si="1"/>
        <v>2</v>
      </c>
      <c r="N47" s="20">
        <f t="shared" ca="1" si="2"/>
        <v>0</v>
      </c>
    </row>
    <row r="48" spans="1:14">
      <c r="B48" s="32"/>
      <c r="C48" s="32"/>
      <c r="J48" s="350">
        <v>29</v>
      </c>
      <c r="K48" s="350">
        <f t="shared" ca="1" si="0"/>
        <v>3</v>
      </c>
      <c r="L48" s="32">
        <f t="shared" ca="1" si="1"/>
        <v>2</v>
      </c>
      <c r="N48" s="20">
        <f t="shared" ca="1" si="2"/>
        <v>0</v>
      </c>
    </row>
    <row r="49" spans="2:14">
      <c r="B49" s="32"/>
      <c r="C49" s="32"/>
      <c r="J49" s="350">
        <v>30</v>
      </c>
      <c r="K49" s="350">
        <f t="shared" ca="1" si="0"/>
        <v>4</v>
      </c>
      <c r="L49" s="32">
        <f t="shared" ca="1" si="1"/>
        <v>2</v>
      </c>
      <c r="N49" s="20">
        <f t="shared" ca="1" si="2"/>
        <v>0</v>
      </c>
    </row>
    <row r="50" spans="2:14">
      <c r="B50" s="32"/>
      <c r="C50" s="32"/>
      <c r="J50" s="350">
        <v>31</v>
      </c>
      <c r="K50" s="350">
        <f t="shared" ca="1" si="0"/>
        <v>5</v>
      </c>
      <c r="L50" s="32">
        <f t="shared" ca="1" si="1"/>
        <v>2</v>
      </c>
      <c r="N50" s="20">
        <f t="shared" ca="1" si="2"/>
        <v>0</v>
      </c>
    </row>
    <row r="51" spans="2:14">
      <c r="B51" s="32"/>
      <c r="C51" s="32"/>
      <c r="J51" s="350">
        <v>32</v>
      </c>
      <c r="K51" s="350">
        <f t="shared" ca="1" si="0"/>
        <v>6</v>
      </c>
      <c r="L51" s="32">
        <f t="shared" ca="1" si="1"/>
        <v>2</v>
      </c>
      <c r="N51" s="20">
        <f t="shared" ca="1" si="2"/>
        <v>0</v>
      </c>
    </row>
    <row r="52" spans="2:14">
      <c r="B52" s="32"/>
      <c r="C52" s="32"/>
      <c r="J52" s="350">
        <v>33</v>
      </c>
      <c r="K52" s="350">
        <f t="shared" ref="K52:K79" ca="1" si="3">MOD( _Amortizacion - 1, Periodos.Por.Ciclo ) + 1</f>
        <v>7</v>
      </c>
      <c r="L52" s="32">
        <f t="shared" ref="L52:L79" ca="1" si="4">INT(( _Amortizacion - 1 ) / Periodos.Por.Ciclo ) + 1</f>
        <v>2</v>
      </c>
      <c r="N52" s="20">
        <f t="shared" ref="N52:N79" ca="1" si="5">( ( Monto.Renovacion ) * ( _Ciclicas = 1 ) * ( _Ciclo &gt; 1 ) ) * ( _Amortizacion &lt;= Numero.De.Pagos )</f>
        <v>0</v>
      </c>
    </row>
    <row r="53" spans="2:14">
      <c r="B53" s="32"/>
      <c r="C53" s="32"/>
      <c r="J53" s="350">
        <v>34</v>
      </c>
      <c r="K53" s="350">
        <f t="shared" ca="1" si="3"/>
        <v>8</v>
      </c>
      <c r="L53" s="32">
        <f t="shared" ca="1" si="4"/>
        <v>2</v>
      </c>
      <c r="N53" s="20">
        <f t="shared" ca="1" si="5"/>
        <v>0</v>
      </c>
    </row>
    <row r="54" spans="2:14">
      <c r="B54" s="32"/>
      <c r="C54" s="32"/>
      <c r="J54" s="350">
        <v>35</v>
      </c>
      <c r="K54" s="350">
        <f t="shared" ca="1" si="3"/>
        <v>9</v>
      </c>
      <c r="L54" s="32">
        <f t="shared" ca="1" si="4"/>
        <v>2</v>
      </c>
      <c r="N54" s="20">
        <f t="shared" ca="1" si="5"/>
        <v>0</v>
      </c>
    </row>
    <row r="55" spans="2:14">
      <c r="B55" s="32"/>
      <c r="C55" s="32"/>
      <c r="J55" s="350">
        <v>36</v>
      </c>
      <c r="K55" s="350">
        <f t="shared" ca="1" si="3"/>
        <v>10</v>
      </c>
      <c r="L55" s="32">
        <f t="shared" ca="1" si="4"/>
        <v>2</v>
      </c>
      <c r="N55" s="20">
        <f t="shared" ca="1" si="5"/>
        <v>0</v>
      </c>
    </row>
    <row r="56" spans="2:14">
      <c r="B56" s="32"/>
      <c r="C56" s="32"/>
      <c r="J56" s="350">
        <v>37</v>
      </c>
      <c r="K56" s="350">
        <f t="shared" ca="1" si="3"/>
        <v>11</v>
      </c>
      <c r="L56" s="32">
        <f t="shared" ca="1" si="4"/>
        <v>2</v>
      </c>
      <c r="N56" s="20">
        <f t="shared" ca="1" si="5"/>
        <v>0</v>
      </c>
    </row>
    <row r="57" spans="2:14">
      <c r="B57" s="32"/>
      <c r="C57" s="32"/>
      <c r="J57" s="350">
        <v>38</v>
      </c>
      <c r="K57" s="350">
        <f t="shared" ca="1" si="3"/>
        <v>12</v>
      </c>
      <c r="L57" s="32">
        <f t="shared" ca="1" si="4"/>
        <v>2</v>
      </c>
      <c r="N57" s="20">
        <f t="shared" ca="1" si="5"/>
        <v>0</v>
      </c>
    </row>
    <row r="58" spans="2:14">
      <c r="B58" s="32"/>
      <c r="C58" s="32"/>
      <c r="J58" s="350">
        <v>39</v>
      </c>
      <c r="K58" s="350">
        <f t="shared" ca="1" si="3"/>
        <v>13</v>
      </c>
      <c r="L58" s="32">
        <f t="shared" ca="1" si="4"/>
        <v>2</v>
      </c>
      <c r="N58" s="20">
        <f t="shared" ca="1" si="5"/>
        <v>0</v>
      </c>
    </row>
    <row r="59" spans="2:14">
      <c r="B59" s="32"/>
      <c r="C59" s="32"/>
      <c r="J59" s="350">
        <v>40</v>
      </c>
      <c r="K59" s="350">
        <f t="shared" ca="1" si="3"/>
        <v>14</v>
      </c>
      <c r="L59" s="32">
        <f t="shared" ca="1" si="4"/>
        <v>2</v>
      </c>
      <c r="N59" s="20">
        <f t="shared" ca="1" si="5"/>
        <v>0</v>
      </c>
    </row>
    <row r="60" spans="2:14">
      <c r="B60" s="32"/>
      <c r="C60" s="32"/>
      <c r="J60" s="350">
        <v>41</v>
      </c>
      <c r="K60" s="350">
        <f t="shared" ca="1" si="3"/>
        <v>15</v>
      </c>
      <c r="L60" s="32">
        <f t="shared" ca="1" si="4"/>
        <v>2</v>
      </c>
      <c r="N60" s="20">
        <f t="shared" ca="1" si="5"/>
        <v>0</v>
      </c>
    </row>
    <row r="61" spans="2:14">
      <c r="B61" s="32"/>
      <c r="C61" s="32"/>
      <c r="J61" s="350">
        <v>42</v>
      </c>
      <c r="K61" s="350">
        <f t="shared" ca="1" si="3"/>
        <v>16</v>
      </c>
      <c r="L61" s="32">
        <f t="shared" ca="1" si="4"/>
        <v>2</v>
      </c>
      <c r="N61" s="20">
        <f t="shared" ca="1" si="5"/>
        <v>0</v>
      </c>
    </row>
    <row r="62" spans="2:14">
      <c r="B62" s="32"/>
      <c r="C62" s="32"/>
      <c r="J62" s="350">
        <v>43</v>
      </c>
      <c r="K62" s="350">
        <f t="shared" ca="1" si="3"/>
        <v>17</v>
      </c>
      <c r="L62" s="32">
        <f t="shared" ca="1" si="4"/>
        <v>2</v>
      </c>
      <c r="N62" s="20">
        <f t="shared" ca="1" si="5"/>
        <v>0</v>
      </c>
    </row>
    <row r="63" spans="2:14">
      <c r="B63" s="32"/>
      <c r="C63" s="32"/>
      <c r="J63" s="350">
        <v>44</v>
      </c>
      <c r="K63" s="350">
        <f t="shared" ca="1" si="3"/>
        <v>18</v>
      </c>
      <c r="L63" s="32">
        <f t="shared" ca="1" si="4"/>
        <v>2</v>
      </c>
      <c r="N63" s="20">
        <f t="shared" ca="1" si="5"/>
        <v>0</v>
      </c>
    </row>
    <row r="64" spans="2:14">
      <c r="B64" s="32"/>
      <c r="C64" s="32"/>
      <c r="J64" s="350">
        <v>45</v>
      </c>
      <c r="K64" s="350">
        <f t="shared" ca="1" si="3"/>
        <v>19</v>
      </c>
      <c r="L64" s="32">
        <f t="shared" ca="1" si="4"/>
        <v>2</v>
      </c>
      <c r="N64" s="20">
        <f t="shared" ca="1" si="5"/>
        <v>0</v>
      </c>
    </row>
    <row r="65" spans="2:14">
      <c r="B65" s="32"/>
      <c r="C65" s="32"/>
      <c r="J65" s="350">
        <v>46</v>
      </c>
      <c r="K65" s="350">
        <f t="shared" ca="1" si="3"/>
        <v>20</v>
      </c>
      <c r="L65" s="32">
        <f t="shared" ca="1" si="4"/>
        <v>2</v>
      </c>
      <c r="N65" s="20">
        <f t="shared" ca="1" si="5"/>
        <v>0</v>
      </c>
    </row>
    <row r="66" spans="2:14">
      <c r="B66" s="32"/>
      <c r="C66" s="32"/>
      <c r="J66" s="350">
        <v>47</v>
      </c>
      <c r="K66" s="350">
        <f t="shared" ca="1" si="3"/>
        <v>21</v>
      </c>
      <c r="L66" s="32">
        <f t="shared" ca="1" si="4"/>
        <v>2</v>
      </c>
      <c r="N66" s="20">
        <f t="shared" ca="1" si="5"/>
        <v>0</v>
      </c>
    </row>
    <row r="67" spans="2:14">
      <c r="B67" s="32"/>
      <c r="C67" s="32"/>
      <c r="J67" s="350">
        <v>48</v>
      </c>
      <c r="K67" s="350">
        <f t="shared" ca="1" si="3"/>
        <v>22</v>
      </c>
      <c r="L67" s="32">
        <f t="shared" ca="1" si="4"/>
        <v>2</v>
      </c>
      <c r="N67" s="20">
        <f t="shared" ca="1" si="5"/>
        <v>0</v>
      </c>
    </row>
    <row r="68" spans="2:14">
      <c r="B68" s="32"/>
      <c r="C68" s="32"/>
      <c r="J68" s="350">
        <v>49</v>
      </c>
      <c r="K68" s="350">
        <f t="shared" ca="1" si="3"/>
        <v>23</v>
      </c>
      <c r="L68" s="32">
        <f t="shared" ca="1" si="4"/>
        <v>2</v>
      </c>
      <c r="N68" s="20">
        <f t="shared" ca="1" si="5"/>
        <v>0</v>
      </c>
    </row>
    <row r="69" spans="2:14">
      <c r="B69" s="32"/>
      <c r="C69" s="32"/>
      <c r="J69" s="350">
        <v>50</v>
      </c>
      <c r="K69" s="350">
        <f t="shared" ca="1" si="3"/>
        <v>24</v>
      </c>
      <c r="L69" s="32">
        <f t="shared" ca="1" si="4"/>
        <v>2</v>
      </c>
      <c r="N69" s="20">
        <f t="shared" ca="1" si="5"/>
        <v>0</v>
      </c>
    </row>
    <row r="70" spans="2:14">
      <c r="B70" s="32"/>
      <c r="C70" s="32"/>
      <c r="J70" s="350">
        <v>51</v>
      </c>
      <c r="K70" s="350">
        <f t="shared" ca="1" si="3"/>
        <v>25</v>
      </c>
      <c r="L70" s="32">
        <f t="shared" ca="1" si="4"/>
        <v>2</v>
      </c>
      <c r="N70" s="20">
        <f t="shared" ca="1" si="5"/>
        <v>0</v>
      </c>
    </row>
    <row r="71" spans="2:14">
      <c r="B71" s="32"/>
      <c r="C71" s="32"/>
      <c r="J71" s="350">
        <v>52</v>
      </c>
      <c r="K71" s="350">
        <f t="shared" ca="1" si="3"/>
        <v>26</v>
      </c>
      <c r="L71" s="32">
        <f t="shared" ca="1" si="4"/>
        <v>2</v>
      </c>
      <c r="N71" s="20">
        <f t="shared" ca="1" si="5"/>
        <v>0</v>
      </c>
    </row>
    <row r="72" spans="2:14">
      <c r="B72" s="32"/>
      <c r="C72" s="32"/>
      <c r="J72" s="350">
        <v>53</v>
      </c>
      <c r="K72" s="350">
        <f t="shared" ca="1" si="3"/>
        <v>1</v>
      </c>
      <c r="L72" s="32">
        <f t="shared" ca="1" si="4"/>
        <v>3</v>
      </c>
      <c r="N72" s="20">
        <f t="shared" ca="1" si="5"/>
        <v>0</v>
      </c>
    </row>
    <row r="73" spans="2:14">
      <c r="B73" s="32"/>
      <c r="C73" s="32"/>
      <c r="J73" s="350">
        <v>54</v>
      </c>
      <c r="K73" s="350">
        <f t="shared" ca="1" si="3"/>
        <v>2</v>
      </c>
      <c r="L73" s="32">
        <f t="shared" ca="1" si="4"/>
        <v>3</v>
      </c>
      <c r="N73" s="20">
        <f t="shared" ca="1" si="5"/>
        <v>0</v>
      </c>
    </row>
    <row r="74" spans="2:14">
      <c r="B74" s="32"/>
      <c r="C74" s="32"/>
      <c r="J74" s="350">
        <v>55</v>
      </c>
      <c r="K74" s="350">
        <f t="shared" ca="1" si="3"/>
        <v>3</v>
      </c>
      <c r="L74" s="32">
        <f t="shared" ca="1" si="4"/>
        <v>3</v>
      </c>
      <c r="N74" s="20">
        <f t="shared" ca="1" si="5"/>
        <v>0</v>
      </c>
    </row>
    <row r="75" spans="2:14">
      <c r="B75" s="32"/>
      <c r="C75" s="32"/>
      <c r="J75" s="350">
        <v>56</v>
      </c>
      <c r="K75" s="350">
        <f t="shared" ca="1" si="3"/>
        <v>4</v>
      </c>
      <c r="L75" s="32">
        <f t="shared" ca="1" si="4"/>
        <v>3</v>
      </c>
      <c r="N75" s="20">
        <f t="shared" ca="1" si="5"/>
        <v>0</v>
      </c>
    </row>
    <row r="76" spans="2:14">
      <c r="B76" s="32"/>
      <c r="C76" s="32"/>
      <c r="J76" s="350">
        <v>57</v>
      </c>
      <c r="K76" s="350">
        <f t="shared" ca="1" si="3"/>
        <v>5</v>
      </c>
      <c r="L76" s="32">
        <f t="shared" ca="1" si="4"/>
        <v>3</v>
      </c>
      <c r="N76" s="20">
        <f t="shared" ca="1" si="5"/>
        <v>0</v>
      </c>
    </row>
    <row r="77" spans="2:14">
      <c r="B77" s="32"/>
      <c r="C77" s="32"/>
      <c r="J77" s="350">
        <v>58</v>
      </c>
      <c r="K77" s="350">
        <f t="shared" ca="1" si="3"/>
        <v>6</v>
      </c>
      <c r="L77" s="32">
        <f t="shared" ca="1" si="4"/>
        <v>3</v>
      </c>
      <c r="N77" s="20">
        <f t="shared" ca="1" si="5"/>
        <v>0</v>
      </c>
    </row>
    <row r="78" spans="2:14">
      <c r="B78" s="32"/>
      <c r="C78" s="32"/>
      <c r="J78" s="350">
        <v>59</v>
      </c>
      <c r="K78" s="350">
        <f t="shared" ca="1" si="3"/>
        <v>7</v>
      </c>
      <c r="L78" s="32">
        <f t="shared" ca="1" si="4"/>
        <v>3</v>
      </c>
      <c r="N78" s="20">
        <f t="shared" ca="1" si="5"/>
        <v>0</v>
      </c>
    </row>
    <row r="79" spans="2:14">
      <c r="B79" s="32"/>
      <c r="C79" s="32"/>
      <c r="J79" s="350">
        <v>60</v>
      </c>
      <c r="K79" s="350">
        <f t="shared" ca="1" si="3"/>
        <v>8</v>
      </c>
      <c r="L79" s="32">
        <f t="shared" ca="1" si="4"/>
        <v>3</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10509</v>
      </c>
      <c r="AY3" s="574" t="s">
        <v>4316</v>
      </c>
    </row>
    <row r="4" spans="1:52">
      <c r="A4" t="s">
        <v>555</v>
      </c>
      <c r="B4" s="407" t="s">
        <v>2529</v>
      </c>
      <c r="C4" s="404"/>
      <c r="D4" t="s">
        <v>555</v>
      </c>
      <c r="E4" s="132" t="s">
        <v>116</v>
      </c>
      <c r="F4" s="132"/>
      <c r="G4" s="132"/>
      <c r="H4" s="132"/>
      <c r="J4" s="132" t="s">
        <v>1757</v>
      </c>
      <c r="K4" s="132"/>
      <c r="L4" s="132"/>
      <c r="M4" s="132"/>
      <c r="N4" s="132"/>
      <c r="P4" s="407" t="s">
        <v>3281</v>
      </c>
      <c r="Q4" s="407"/>
      <c r="R4" s="420" t="s">
        <v>3308</v>
      </c>
      <c r="S4" s="420" t="s">
        <v>3309</v>
      </c>
      <c r="T4" s="132"/>
    </row>
    <row r="5" spans="1:52">
      <c r="P5" s="421" t="s">
        <v>1643</v>
      </c>
      <c r="Q5" s="424">
        <v>1</v>
      </c>
      <c r="R5" s="573" t="s">
        <v>10497</v>
      </c>
      <c r="S5" s="573" t="s">
        <v>10503</v>
      </c>
      <c r="AY5" s="573" t="s">
        <v>4315</v>
      </c>
      <c r="AZ5" s="573" t="s">
        <v>4319</v>
      </c>
    </row>
    <row r="6" spans="1:52">
      <c r="B6" s="402" t="s">
        <v>10582</v>
      </c>
      <c r="C6" s="405"/>
      <c r="G6" s="966" t="s">
        <v>2515</v>
      </c>
      <c r="H6" s="966"/>
      <c r="P6" s="421" t="s">
        <v>3282</v>
      </c>
      <c r="Q6" s="424">
        <v>2</v>
      </c>
      <c r="R6" s="573" t="s">
        <v>10498</v>
      </c>
      <c r="S6" s="573" t="s">
        <v>10504</v>
      </c>
      <c r="AY6" s="573" t="s">
        <v>4317</v>
      </c>
      <c r="AZ6" s="573" t="s">
        <v>4320</v>
      </c>
    </row>
    <row r="7" spans="1:52">
      <c r="B7" t="s">
        <v>2523</v>
      </c>
      <c r="C7" s="115">
        <f ca="1">MontoFinanciarAuto</f>
        <v>135000</v>
      </c>
      <c r="G7" s="393" t="s">
        <v>2516</v>
      </c>
      <c r="H7" s="137">
        <v>1</v>
      </c>
      <c r="P7" s="421" t="s">
        <v>1645</v>
      </c>
      <c r="Q7" s="424">
        <v>3</v>
      </c>
      <c r="R7" s="573" t="s">
        <v>10499</v>
      </c>
      <c r="S7" s="573" t="s">
        <v>10505</v>
      </c>
      <c r="AY7" s="573" t="s">
        <v>4318</v>
      </c>
      <c r="AZ7" s="573" t="s">
        <v>4321</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10588</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1.1416170257311125E-2</v>
      </c>
      <c r="R10" s="558" t="s">
        <v>4276</v>
      </c>
    </row>
    <row r="11" spans="1:52">
      <c r="B11" s="401" t="s">
        <v>2527</v>
      </c>
      <c r="C11" s="406">
        <f ca="1">SUM(C7:C10)</f>
        <v>135000</v>
      </c>
      <c r="M11" s="2" t="s">
        <v>1737</v>
      </c>
      <c r="N11" s="408">
        <f ca="1" xml:space="preserve"> IntEfectivoPropia( TIR.Flujos*PeriodosPorAño, PeriodosPorAño )</f>
        <v>0.3433129799625172</v>
      </c>
    </row>
    <row r="12" spans="1:52" ht="15" customHeight="1">
      <c r="N12" s="340"/>
      <c r="R12" s="401" t="s">
        <v>4349</v>
      </c>
      <c r="S12" s="401" t="s">
        <v>4350</v>
      </c>
    </row>
    <row r="13" spans="1:52">
      <c r="B13" s="402" t="s">
        <v>10581</v>
      </c>
      <c r="C13" s="405"/>
      <c r="R13" s="569" t="s">
        <v>4348</v>
      </c>
      <c r="S13" s="569" t="s">
        <v>4348</v>
      </c>
    </row>
    <row r="14" spans="1:52">
      <c r="B14" t="s">
        <v>110</v>
      </c>
      <c r="C14" s="115">
        <f ca="1">Total.Egresos.CAT * CapturaPorcentajeComisionApertura</f>
        <v>3375</v>
      </c>
      <c r="R14" s="573" t="s">
        <v>10497</v>
      </c>
      <c r="S14" s="573" t="s">
        <v>10503</v>
      </c>
    </row>
    <row r="15" spans="1:52" ht="15" customHeight="1">
      <c r="B15" t="s">
        <v>2525</v>
      </c>
      <c r="C15" s="115">
        <f ca="1">PrimaVida</f>
        <v>1002.0500000000001</v>
      </c>
      <c r="E15" s="304" t="s">
        <v>113</v>
      </c>
      <c r="F15" s="304" t="s">
        <v>114</v>
      </c>
      <c r="G15" s="304" t="s">
        <v>115</v>
      </c>
      <c r="H15" s="304" t="s">
        <v>2519</v>
      </c>
      <c r="M15" s="967" t="s">
        <v>2530</v>
      </c>
      <c r="N15" s="967"/>
      <c r="R15" s="573" t="s">
        <v>10498</v>
      </c>
      <c r="S15" s="573" t="s">
        <v>10504</v>
      </c>
    </row>
    <row r="16" spans="1:52">
      <c r="B16" s="701" t="s">
        <v>10588</v>
      </c>
      <c r="C16" s="115">
        <f ca="1">PrimaDaños</f>
        <v>8378.6073511100003</v>
      </c>
      <c r="R16" s="573" t="s">
        <v>10499</v>
      </c>
      <c r="S16" s="573" t="s">
        <v>10505</v>
      </c>
    </row>
    <row r="17" spans="2:19">
      <c r="E17" s="31" t="s">
        <v>108</v>
      </c>
      <c r="F17" s="397" t="s">
        <v>2520</v>
      </c>
      <c r="G17" s="398" t="s">
        <v>2520</v>
      </c>
      <c r="H17" s="398" t="s">
        <v>2514</v>
      </c>
      <c r="I17" t="s">
        <v>555</v>
      </c>
      <c r="J17" s="2" t="s">
        <v>1740</v>
      </c>
      <c r="K17" s="2" t="s">
        <v>1739</v>
      </c>
      <c r="L17" t="s">
        <v>555</v>
      </c>
      <c r="M17" s="126" t="s">
        <v>1738</v>
      </c>
      <c r="N17" s="134">
        <f ca="1">SUM(M19:M79)</f>
        <v>-5.1409188017714769E-10</v>
      </c>
    </row>
    <row r="18" spans="2:19" ht="15" customHeight="1">
      <c r="B18" s="401" t="s">
        <v>2528</v>
      </c>
      <c r="C18" s="406">
        <f ca="1">SUM(C14:C17)</f>
        <v>12755.65735111</v>
      </c>
      <c r="E18" s="303"/>
      <c r="F18" s="399" t="s">
        <v>2521</v>
      </c>
      <c r="G18" s="399" t="s">
        <v>2522</v>
      </c>
      <c r="H18" s="399" t="s">
        <v>2522</v>
      </c>
      <c r="R18" s="653" t="s">
        <v>4351</v>
      </c>
      <c r="S18" s="569" t="s">
        <v>4351</v>
      </c>
    </row>
    <row r="19" spans="2:19">
      <c r="J19" s="131">
        <v>0</v>
      </c>
      <c r="K19" s="123">
        <f ca="1">Total.Flujo.Cero.CAT</f>
        <v>-122244.34264889</v>
      </c>
      <c r="L19" s="123"/>
      <c r="M19" s="123">
        <f ca="1">+_Flujos.CAT/(1+CAT)^(_Num.Flujo/PeriodosPorAño)</f>
        <v>-122244.34264889</v>
      </c>
      <c r="R19" s="573" t="s">
        <v>10512</v>
      </c>
      <c r="S19" s="573" t="s">
        <v>10515</v>
      </c>
    </row>
    <row r="20" spans="2:19">
      <c r="B20" s="402" t="s">
        <v>2526</v>
      </c>
      <c r="C20" s="405">
        <f ca="1">Total.Ingresos.CAT - Total.Egresos.CAT</f>
        <v>-122244.34264889</v>
      </c>
      <c r="E20" s="130">
        <f ca="1">T_SoloAuto!_Pago_CAT</f>
        <v>2923.5077476010351</v>
      </c>
      <c r="F20" s="130">
        <f ca="1">T_VidaMulti!_Pago_CAT</f>
        <v>0</v>
      </c>
      <c r="G20" s="130">
        <f ca="1">T_VidaAnual!_Pago_CAT</f>
        <v>0</v>
      </c>
      <c r="H20" s="130">
        <f ca="1">T_RenovVidaAnual!_Saldo_Renov_Anual * FactorRenovacionAnual</f>
        <v>0</v>
      </c>
      <c r="J20" s="131">
        <v>1</v>
      </c>
      <c r="K20" s="124">
        <f ca="1">SUM(_Componentes_CAT _Actual)</f>
        <v>2923.5077476010351</v>
      </c>
      <c r="L20" s="123"/>
      <c r="M20" s="123">
        <f t="shared" ref="M20:M50" ca="1" si="0">+_Flujos.CAT/(1+CAT)^(_Num.Flujo/PeriodosPorAño)</f>
        <v>2890.5092024159298</v>
      </c>
      <c r="R20" s="573" t="s">
        <v>10513</v>
      </c>
      <c r="S20" s="573" t="s">
        <v>10516</v>
      </c>
    </row>
    <row r="21" spans="2:19">
      <c r="E21" s="130">
        <f ca="1">T_SoloAuto!_Pago_CAT</f>
        <v>2924.859994765091</v>
      </c>
      <c r="F21" s="130">
        <f ca="1">T_VidaMulti!_Pago_CAT</f>
        <v>0</v>
      </c>
      <c r="G21" s="130">
        <f ca="1">T_VidaAnual!_Pago_CAT</f>
        <v>0</v>
      </c>
      <c r="H21" s="130">
        <f ca="1">T_RenovVidaAnual!_Saldo_Renov_Anual * FactorRenovacionAnual</f>
        <v>0</v>
      </c>
      <c r="J21" s="131">
        <v>2</v>
      </c>
      <c r="K21" s="124">
        <f ca="1">SUM(_Componentes_CAT _Actual)</f>
        <v>2924.859994765091</v>
      </c>
      <c r="L21" s="123"/>
      <c r="M21" s="123">
        <f t="shared" ca="1" si="0"/>
        <v>2859.2050150909968</v>
      </c>
      <c r="R21" s="573" t="s">
        <v>10514</v>
      </c>
      <c r="S21" s="573" t="s">
        <v>10517</v>
      </c>
    </row>
    <row r="22" spans="2:19">
      <c r="E22" s="130">
        <f ca="1">T_SoloAuto!_Pago_CAT</f>
        <v>2926.2198397552124</v>
      </c>
      <c r="F22" s="130">
        <f ca="1">T_VidaMulti!_Pago_CAT</f>
        <v>0</v>
      </c>
      <c r="G22" s="130">
        <f ca="1">T_VidaAnual!_Pago_CAT</f>
        <v>0</v>
      </c>
      <c r="H22" s="130">
        <f ca="1">T_RenovVidaAnual!_Saldo_Renov_Anual * FactorRenovacionAnual</f>
        <v>0</v>
      </c>
      <c r="J22" s="131">
        <v>3</v>
      </c>
      <c r="K22" s="124">
        <f ca="1">SUM(_Componentes_CAT _Actual)</f>
        <v>2926.2198397552124</v>
      </c>
      <c r="L22" s="123"/>
      <c r="M22" s="123">
        <f t="shared" ca="1" si="0"/>
        <v>2828.2465907302085</v>
      </c>
    </row>
    <row r="23" spans="2:19">
      <c r="E23" s="130">
        <f ca="1">T_SoloAuto!_Pago_CAT</f>
        <v>2927.5873252610518</v>
      </c>
      <c r="F23" s="130">
        <f ca="1">T_VidaMulti!_Pago_CAT</f>
        <v>0</v>
      </c>
      <c r="G23" s="130">
        <f ca="1">T_VidaAnual!_Pago_CAT</f>
        <v>0</v>
      </c>
      <c r="H23" s="130">
        <f ca="1">T_RenovVidaAnual!_Saldo_Renov_Anual * FactorRenovacionAnual</f>
        <v>0</v>
      </c>
      <c r="J23" s="131">
        <v>4</v>
      </c>
      <c r="K23" s="124">
        <f ca="1">SUM(_Componentes_CAT _Actual)</f>
        <v>2927.5873252610518</v>
      </c>
      <c r="L23" s="123"/>
      <c r="M23" s="123">
        <f t="shared" ca="1" si="0"/>
        <v>2797.6300700318543</v>
      </c>
      <c r="R23" s="569" t="s">
        <v>4352</v>
      </c>
      <c r="S23" s="569" t="s">
        <v>4352</v>
      </c>
    </row>
    <row r="24" spans="2:19">
      <c r="E24" s="130">
        <f ca="1">T_SoloAuto!_Pago_CAT</f>
        <v>2928.96249421212</v>
      </c>
      <c r="F24" s="130">
        <f ca="1">T_VidaMulti!_Pago_CAT</f>
        <v>0</v>
      </c>
      <c r="G24" s="130">
        <f ca="1">T_VidaAnual!_Pago_CAT</f>
        <v>0</v>
      </c>
      <c r="H24" s="130">
        <f ca="1">T_RenovVidaAnual!_Saldo_Renov_Anual * FactorRenovacionAnual</f>
        <v>0</v>
      </c>
      <c r="J24" s="131">
        <v>5</v>
      </c>
      <c r="K24" s="124">
        <f ca="1">SUM(_Componentes_CAT _Actual)</f>
        <v>2928.96249421212</v>
      </c>
      <c r="L24" s="123"/>
      <c r="M24" s="123">
        <f t="shared" ca="1" si="0"/>
        <v>2767.3516370064062</v>
      </c>
      <c r="R24" s="573" t="s">
        <v>10500</v>
      </c>
      <c r="S24" s="573" t="s">
        <v>10506</v>
      </c>
    </row>
    <row r="25" spans="2:19">
      <c r="E25" s="130">
        <f ca="1">T_SoloAuto!_Pago_CAT</f>
        <v>2930.3453897791351</v>
      </c>
      <c r="F25" s="130">
        <f ca="1">T_VidaMulti!_Pago_CAT</f>
        <v>0</v>
      </c>
      <c r="G25" s="130">
        <f ca="1">T_VidaAnual!_Pago_CAT</f>
        <v>0</v>
      </c>
      <c r="H25" s="130">
        <f ca="1">T_RenovVidaAnual!_Saldo_Renov_Anual * FactorRenovacionAnual</f>
        <v>0</v>
      </c>
      <c r="J25" s="131">
        <v>6</v>
      </c>
      <c r="K25" s="124">
        <f ca="1">SUM(_Componentes_CAT _Actual)</f>
        <v>2930.3453897791351</v>
      </c>
      <c r="L25" s="123"/>
      <c r="M25" s="123">
        <f t="shared" ca="1" si="0"/>
        <v>2737.4075184890698</v>
      </c>
      <c r="R25" s="573" t="s">
        <v>10501</v>
      </c>
      <c r="S25" s="573" t="s">
        <v>10507</v>
      </c>
    </row>
    <row r="26" spans="2:19">
      <c r="E26" s="130">
        <f ca="1">T_SoloAuto!_Pago_CAT</f>
        <v>2931.7360553753751</v>
      </c>
      <c r="F26" s="130">
        <f ca="1">T_VidaMulti!_Pago_CAT</f>
        <v>0</v>
      </c>
      <c r="G26" s="130">
        <f ca="1">T_VidaAnual!_Pago_CAT</f>
        <v>0</v>
      </c>
      <c r="H26" s="130">
        <f ca="1">T_RenovVidaAnual!_Saldo_Renov_Anual * FactorRenovacionAnual</f>
        <v>0</v>
      </c>
      <c r="J26" s="131">
        <v>7</v>
      </c>
      <c r="K26" s="124">
        <f ca="1">SUM(_Componentes_CAT _Actual)</f>
        <v>2931.7360553753751</v>
      </c>
      <c r="L26" s="123"/>
      <c r="M26" s="123">
        <f t="shared" ca="1" si="0"/>
        <v>2707.7939836578248</v>
      </c>
      <c r="R26" s="573" t="s">
        <v>10502</v>
      </c>
      <c r="S26" s="573" t="s">
        <v>10508</v>
      </c>
    </row>
    <row r="27" spans="2:19">
      <c r="E27" s="130">
        <f ca="1">T_SoloAuto!_Pago_CAT</f>
        <v>2933.1345346580461</v>
      </c>
      <c r="F27" s="130">
        <f ca="1">T_VidaMulti!_Pago_CAT</f>
        <v>0</v>
      </c>
      <c r="G27" s="130">
        <f ca="1">T_VidaAnual!_Pago_CAT</f>
        <v>0</v>
      </c>
      <c r="H27" s="130">
        <f ca="1">T_RenovVidaAnual!_Saldo_Renov_Anual * FactorRenovacionAnual</f>
        <v>0</v>
      </c>
      <c r="J27" s="131">
        <v>8</v>
      </c>
      <c r="K27" s="124">
        <f ca="1">SUM(_Componentes_CAT _Actual)</f>
        <v>2933.1345346580461</v>
      </c>
      <c r="L27" s="123"/>
      <c r="M27" s="123">
        <f t="shared" ca="1" si="0"/>
        <v>2678.5073435569029</v>
      </c>
    </row>
    <row r="28" spans="2:19">
      <c r="E28" s="130">
        <f ca="1">T_SoloAuto!_Pago_CAT</f>
        <v>2934.5408715296458</v>
      </c>
      <c r="F28" s="130">
        <f ca="1">T_VidaMulti!_Pago_CAT</f>
        <v>0</v>
      </c>
      <c r="G28" s="130">
        <f ca="1">T_VidaAnual!_Pago_CAT</f>
        <v>0</v>
      </c>
      <c r="H28" s="130">
        <f ca="1">T_RenovVidaAnual!_Saldo_Renov_Anual * FactorRenovacionAnual</f>
        <v>0</v>
      </c>
      <c r="J28" s="131">
        <v>9</v>
      </c>
      <c r="K28" s="124">
        <f ca="1">SUM(_Componentes_CAT _Actual)</f>
        <v>2934.5408715296458</v>
      </c>
      <c r="L28" s="123"/>
      <c r="M28" s="123">
        <f t="shared" ca="1" si="0"/>
        <v>2649.5439506256298</v>
      </c>
      <c r="R28" s="573"/>
      <c r="S28" s="573"/>
    </row>
    <row r="29" spans="2:19">
      <c r="E29" s="130">
        <f ca="1">T_SoloAuto!_Pago_CAT</f>
        <v>2935.955110139349</v>
      </c>
      <c r="F29" s="130">
        <f ca="1">T_VidaMulti!_Pago_CAT</f>
        <v>0</v>
      </c>
      <c r="G29" s="130">
        <f ca="1">T_VidaAnual!_Pago_CAT</f>
        <v>0</v>
      </c>
      <c r="H29" s="130">
        <f ca="1">T_RenovVidaAnual!_Saldo_Renov_Anual * FactorRenovacionAnual</f>
        <v>0</v>
      </c>
      <c r="J29" s="131">
        <v>10</v>
      </c>
      <c r="K29" s="124">
        <f ca="1">SUM(_Componentes_CAT _Actual)</f>
        <v>2935.955110139349</v>
      </c>
      <c r="L29" s="123"/>
      <c r="M29" s="123">
        <f t="shared" ca="1" si="0"/>
        <v>2620.9001982325831</v>
      </c>
      <c r="R29" s="573"/>
      <c r="S29" s="573"/>
    </row>
    <row r="30" spans="2:19">
      <c r="E30" s="130">
        <f ca="1">T_SoloAuto!_Pago_CAT</f>
        <v>2937.3772948843866</v>
      </c>
      <c r="F30" s="130">
        <f ca="1">T_VidaMulti!_Pago_CAT</f>
        <v>0</v>
      </c>
      <c r="G30" s="130">
        <f ca="1">T_VidaAnual!_Pago_CAT</f>
        <v>0</v>
      </c>
      <c r="H30" s="130">
        <f ca="1">T_RenovVidaAnual!_Saldo_Renov_Anual * FactorRenovacionAnual</f>
        <v>0</v>
      </c>
      <c r="J30" s="131">
        <v>11</v>
      </c>
      <c r="K30" s="124">
        <f ca="1">SUM(_Componentes_CAT _Actual)</f>
        <v>2937.3772948843866</v>
      </c>
      <c r="L30" s="123"/>
      <c r="M30" s="123">
        <f t="shared" ca="1" si="0"/>
        <v>2592.5725202149947</v>
      </c>
      <c r="R30" s="573"/>
      <c r="S30" s="573"/>
    </row>
    <row r="31" spans="2:19">
      <c r="E31" s="130">
        <f ca="1">T_SoloAuto!_Pago_CAT</f>
        <v>2938.8074704114447</v>
      </c>
      <c r="F31" s="130">
        <f ca="1">T_VidaMulti!_Pago_CAT</f>
        <v>0</v>
      </c>
      <c r="G31" s="130">
        <f ca="1">T_VidaAnual!_Pago_CAT</f>
        <v>0</v>
      </c>
      <c r="H31" s="130">
        <f ca="1">T_RenovVidaAnual!_Saldo_Renov_Anual * FactorRenovacionAnual</f>
        <v>0</v>
      </c>
      <c r="J31" s="131">
        <v>12</v>
      </c>
      <c r="K31" s="124">
        <f ca="1">SUM(_Componentes_CAT _Actual)</f>
        <v>2938.8074704114447</v>
      </c>
      <c r="L31" s="123"/>
      <c r="M31" s="123">
        <f t="shared" ca="1" si="0"/>
        <v>2564.5573904233497</v>
      </c>
    </row>
    <row r="32" spans="2:19">
      <c r="E32" s="130">
        <f ca="1">T_SoloAuto!_Pago_CAT</f>
        <v>2940.2456816180652</v>
      </c>
      <c r="F32" s="130">
        <f ca="1">T_VidaMulti!_Pago_CAT</f>
        <v>0</v>
      </c>
      <c r="G32" s="130">
        <f ca="1">T_VidaAnual!_Pago_CAT</f>
        <v>0</v>
      </c>
      <c r="H32" s="130">
        <f ca="1">T_RenovVidaAnual!_Saldo_Renov_Anual * FactorRenovacionAnual</f>
        <v>0</v>
      </c>
      <c r="J32" s="131">
        <v>13</v>
      </c>
      <c r="K32" s="124">
        <f ca="1">SUM(_Componentes_CAT _Actual)</f>
        <v>2940.2456816180652</v>
      </c>
      <c r="L32" s="123"/>
      <c r="M32" s="123">
        <f t="shared" ca="1" si="0"/>
        <v>2536.8513222711163</v>
      </c>
    </row>
    <row r="33" spans="5:13">
      <c r="E33" s="130">
        <f ca="1">T_SoloAuto!_Pago_CAT</f>
        <v>2941.6919736540513</v>
      </c>
      <c r="F33" s="130">
        <f ca="1">T_VidaMulti!_Pago_CAT</f>
        <v>0</v>
      </c>
      <c r="G33" s="130">
        <f ca="1">T_VidaAnual!_Pago_CAT</f>
        <v>0</v>
      </c>
      <c r="H33" s="130">
        <f ca="1">T_RenovVidaAnual!_Saldo_Renov_Anual * FactorRenovacionAnual</f>
        <v>0</v>
      </c>
      <c r="J33" s="131">
        <v>14</v>
      </c>
      <c r="K33" s="124">
        <f ca="1">SUM(_Componentes_CAT _Actual)</f>
        <v>2941.6919736540513</v>
      </c>
      <c r="L33" s="123"/>
      <c r="M33" s="123">
        <f t="shared" ca="1" si="0"/>
        <v>2509.4508682895425</v>
      </c>
    </row>
    <row r="34" spans="5:13">
      <c r="E34" s="130">
        <f ca="1">T_SoloAuto!_Pago_CAT</f>
        <v>2943.1463919228904</v>
      </c>
      <c r="F34" s="130">
        <f ca="1">T_VidaMulti!_Pago_CAT</f>
        <v>0</v>
      </c>
      <c r="G34" s="130">
        <f ca="1">T_VidaAnual!_Pago_CAT</f>
        <v>0</v>
      </c>
      <c r="H34" s="130">
        <f ca="1">T_RenovVidaAnual!_Saldo_Renov_Anual * FactorRenovacionAnual</f>
        <v>0</v>
      </c>
      <c r="J34" s="131">
        <v>15</v>
      </c>
      <c r="K34" s="124">
        <f ca="1">SUM(_Componentes_CAT _Actual)</f>
        <v>2943.1463919228904</v>
      </c>
      <c r="L34" s="123"/>
      <c r="M34" s="123">
        <f t="shared" ca="1" si="0"/>
        <v>2482.3526196874845</v>
      </c>
    </row>
    <row r="35" spans="5:13">
      <c r="E35" s="130">
        <f ca="1">T_SoloAuto!_Pago_CAT</f>
        <v>2944.6089820831758</v>
      </c>
      <c r="F35" s="130">
        <f ca="1">T_VidaMulti!_Pago_CAT</f>
        <v>0</v>
      </c>
      <c r="G35" s="130">
        <f ca="1">T_VidaAnual!_Pago_CAT</f>
        <v>0</v>
      </c>
      <c r="H35" s="130">
        <f ca="1">T_RenovVidaAnual!_Saldo_Renov_Anual * FactorRenovacionAnual</f>
        <v>0</v>
      </c>
      <c r="J35" s="131">
        <v>16</v>
      </c>
      <c r="K35" s="124">
        <f ca="1">SUM(_Componentes_CAT _Actual)</f>
        <v>2944.6089820831758</v>
      </c>
      <c r="L35" s="123"/>
      <c r="M35" s="123">
        <f t="shared" ca="1" si="0"/>
        <v>2455.5532059161819</v>
      </c>
    </row>
    <row r="36" spans="5:13">
      <c r="E36" s="130">
        <f ca="1">T_SoloAuto!_Pago_CAT</f>
        <v>2946.079790050042</v>
      </c>
      <c r="F36" s="130">
        <f ca="1">T_VidaMulti!_Pago_CAT</f>
        <v>0</v>
      </c>
      <c r="G36" s="130">
        <f ca="1">T_VidaAnual!_Pago_CAT</f>
        <v>0</v>
      </c>
      <c r="H36" s="130">
        <f ca="1">T_RenovVidaAnual!_Saldo_Renov_Anual * FactorRenovacionAnual</f>
        <v>0</v>
      </c>
      <c r="J36" s="131">
        <v>17</v>
      </c>
      <c r="K36" s="124">
        <f ca="1">SUM(_Componentes_CAT _Actual)</f>
        <v>2946.079790050042</v>
      </c>
      <c r="L36" s="123"/>
      <c r="M36" s="123">
        <f t="shared" ca="1" si="0"/>
        <v>2429.0492942389487</v>
      </c>
    </row>
    <row r="37" spans="5:13">
      <c r="E37" s="130">
        <f ca="1">T_SoloAuto!_Pago_CAT</f>
        <v>2947.5588619966047</v>
      </c>
      <c r="F37" s="130">
        <f ca="1">T_VidaMulti!_Pago_CAT</f>
        <v>0</v>
      </c>
      <c r="G37" s="130">
        <f ca="1">T_VidaAnual!_Pago_CAT</f>
        <v>0</v>
      </c>
      <c r="H37" s="130">
        <f ca="1">T_RenovVidaAnual!_Saldo_Renov_Anual * FactorRenovacionAnual</f>
        <v>0</v>
      </c>
      <c r="J37" s="131">
        <v>18</v>
      </c>
      <c r="K37" s="124">
        <f ca="1">SUM(_Componentes_CAT _Actual)</f>
        <v>2947.5588619966047</v>
      </c>
      <c r="L37" s="123"/>
      <c r="M37" s="123">
        <f t="shared" ca="1" si="0"/>
        <v>2402.8375893057037</v>
      </c>
    </row>
    <row r="38" spans="5:13">
      <c r="E38" s="130">
        <f ca="1">T_SoloAuto!_Pago_CAT</f>
        <v>2949.0462443554106</v>
      </c>
      <c r="F38" s="130">
        <f ca="1">T_VidaMulti!_Pago_CAT</f>
        <v>0</v>
      </c>
      <c r="G38" s="130">
        <f ca="1">T_VidaAnual!_Pago_CAT</f>
        <v>0</v>
      </c>
      <c r="H38" s="130">
        <f ca="1">T_RenovVidaAnual!_Saldo_Renov_Anual * FactorRenovacionAnual</f>
        <v>0</v>
      </c>
      <c r="J38" s="131">
        <v>19</v>
      </c>
      <c r="K38" s="124">
        <f ca="1">SUM(_Componentes_CAT _Actual)</f>
        <v>2949.0462443554106</v>
      </c>
      <c r="L38" s="123"/>
      <c r="M38" s="123">
        <f t="shared" ca="1" si="0"/>
        <v>2376.9148327323023</v>
      </c>
    </row>
    <row r="39" spans="5:13">
      <c r="E39" s="130">
        <f ca="1">T_SoloAuto!_Pago_CAT</f>
        <v>2950.5419838198973</v>
      </c>
      <c r="F39" s="130">
        <f ca="1">T_VidaMulti!_Pago_CAT</f>
        <v>0</v>
      </c>
      <c r="G39" s="130">
        <f ca="1">T_VidaAnual!_Pago_CAT</f>
        <v>0</v>
      </c>
      <c r="H39" s="130">
        <f ca="1">T_RenovVidaAnual!_Saldo_Renov_Anual * FactorRenovacionAnual</f>
        <v>0</v>
      </c>
      <c r="J39" s="131">
        <v>20</v>
      </c>
      <c r="K39" s="124">
        <f ca="1">SUM(_Componentes_CAT _Actual)</f>
        <v>2950.5419838198973</v>
      </c>
      <c r="L39" s="123"/>
      <c r="M39" s="123">
        <f t="shared" ca="1" si="0"/>
        <v>2351.2778026846095</v>
      </c>
    </row>
    <row r="40" spans="5:13">
      <c r="E40" s="130">
        <f ca="1">T_SoloAuto!_Pago_CAT</f>
        <v>2952.046127345855</v>
      </c>
      <c r="F40" s="130">
        <f ca="1">T_VidaMulti!_Pago_CAT</f>
        <v>0</v>
      </c>
      <c r="G40" s="130">
        <f ca="1">T_VidaAnual!_Pago_CAT</f>
        <v>0</v>
      </c>
      <c r="H40" s="130">
        <f ca="1">T_RenovVidaAnual!_Saldo_Renov_Anual * FactorRenovacionAnual</f>
        <v>0</v>
      </c>
      <c r="J40" s="131">
        <v>21</v>
      </c>
      <c r="K40" s="124">
        <f ca="1">SUM(_Componentes_CAT _Actual)</f>
        <v>2952.046127345855</v>
      </c>
      <c r="L40" s="123"/>
      <c r="M40" s="123">
        <f t="shared" ca="1" si="0"/>
        <v>2325.9233134672531</v>
      </c>
    </row>
    <row r="41" spans="5:13">
      <c r="E41" s="130">
        <f ca="1">T_SoloAuto!_Pago_CAT</f>
        <v>2953.558722152904</v>
      </c>
      <c r="F41" s="130">
        <f ca="1">T_VidaMulti!_Pago_CAT</f>
        <v>0</v>
      </c>
      <c r="G41" s="130">
        <f ca="1">T_VidaAnual!_Pago_CAT</f>
        <v>0</v>
      </c>
      <c r="H41" s="130">
        <f ca="1">T_RenovVidaAnual!_Saldo_Renov_Anual * FactorRenovacionAnual</f>
        <v>0</v>
      </c>
      <c r="J41" s="131">
        <v>22</v>
      </c>
      <c r="K41" s="124">
        <f ca="1">SUM(_Componentes_CAT _Actual)</f>
        <v>2953.558722152904</v>
      </c>
      <c r="L41" s="123"/>
      <c r="M41" s="123">
        <f t="shared" ca="1" si="0"/>
        <v>2300.848215117021</v>
      </c>
    </row>
    <row r="42" spans="5:13">
      <c r="E42" s="130">
        <f ca="1">T_SoloAuto!_Pago_CAT</f>
        <v>2955.0798157259746</v>
      </c>
      <c r="F42" s="130">
        <f ca="1">T_VidaMulti!_Pago_CAT</f>
        <v>0</v>
      </c>
      <c r="G42" s="130">
        <f ca="1">T_VidaAnual!_Pago_CAT</f>
        <v>0</v>
      </c>
      <c r="H42" s="130">
        <f ca="1">T_RenovVidaAnual!_Saldo_Renov_Anual * FactorRenovacionAnual</f>
        <v>0</v>
      </c>
      <c r="J42" s="131">
        <v>23</v>
      </c>
      <c r="K42" s="124">
        <f ca="1">SUM(_Componentes_CAT _Actual)</f>
        <v>2955.0798157259746</v>
      </c>
      <c r="L42" s="123"/>
      <c r="M42" s="123">
        <f t="shared" ca="1" si="0"/>
        <v>2276.0493930008292</v>
      </c>
    </row>
    <row r="43" spans="5:13">
      <c r="E43" s="130">
        <f ca="1">T_SoloAuto!_Pago_CAT</f>
        <v>2956.609455816802</v>
      </c>
      <c r="F43" s="130">
        <f ca="1">T_VidaMulti!_Pago_CAT</f>
        <v>0</v>
      </c>
      <c r="G43" s="130">
        <f ca="1">T_VidaAnual!_Pago_CAT</f>
        <v>0</v>
      </c>
      <c r="H43" s="130">
        <f ca="1">T_RenovVidaAnual!_Saldo_Renov_Anual * FactorRenovacionAnual</f>
        <v>0</v>
      </c>
      <c r="J43" s="131">
        <v>24</v>
      </c>
      <c r="K43" s="124">
        <f ca="1">SUM(_Componentes_CAT _Actual)</f>
        <v>2956.609455816802</v>
      </c>
      <c r="L43" s="123"/>
      <c r="M43" s="123">
        <f t="shared" ca="1" si="0"/>
        <v>2251.5237674182335</v>
      </c>
    </row>
    <row r="44" spans="5:13">
      <c r="E44" s="130">
        <f ca="1">T_SoloAuto!_Pago_CAT</f>
        <v>2958.1476904454194</v>
      </c>
      <c r="F44" s="130">
        <f ca="1">T_VidaMulti!_Pago_CAT</f>
        <v>0</v>
      </c>
      <c r="G44" s="130">
        <f ca="1">T_VidaAnual!_Pago_CAT</f>
        <v>0</v>
      </c>
      <c r="H44" s="130">
        <f ca="1">T_RenovVidaAnual!_Saldo_Renov_Anual * FactorRenovacionAnual</f>
        <v>0</v>
      </c>
      <c r="J44" s="131">
        <v>25</v>
      </c>
      <c r="K44" s="124">
        <f ca="1">SUM(_Componentes_CAT _Actual)</f>
        <v>2958.1476904454194</v>
      </c>
      <c r="L44" s="123"/>
      <c r="M44" s="123">
        <f t="shared" ca="1" si="0"/>
        <v>2227.2682932084081</v>
      </c>
    </row>
    <row r="45" spans="5:13">
      <c r="E45" s="130">
        <f ca="1">T_SoloAuto!_Pago_CAT</f>
        <v>2959.6945679016703</v>
      </c>
      <c r="F45" s="130">
        <f ca="1">T_VidaMulti!_Pago_CAT</f>
        <v>0</v>
      </c>
      <c r="G45" s="130">
        <f ca="1">T_VidaAnual!_Pago_CAT</f>
        <v>0</v>
      </c>
      <c r="H45" s="130">
        <f ca="1">T_RenovVidaAnual!_Saldo_Renov_Anual * FactorRenovacionAnual</f>
        <v>0</v>
      </c>
      <c r="J45" s="131">
        <v>26</v>
      </c>
      <c r="K45" s="124">
        <f ca="1">SUM(_Componentes_CAT _Actual)</f>
        <v>2959.6945679016703</v>
      </c>
      <c r="L45" s="123"/>
      <c r="M45" s="123">
        <f t="shared" ca="1" si="0"/>
        <v>2203.2799593615596</v>
      </c>
    </row>
    <row r="46" spans="5:13">
      <c r="E46" s="130">
        <f ca="1">T_SoloAuto!_Pago_CAT</f>
        <v>2961.2501367467221</v>
      </c>
      <c r="F46" s="130">
        <f ca="1">T_VidaMulti!_Pago_CAT</f>
        <v>0</v>
      </c>
      <c r="G46" s="130">
        <f ca="1">T_VidaAnual!_Pago_CAT</f>
        <v>0</v>
      </c>
      <c r="H46" s="130">
        <f ca="1">T_RenovVidaAnual!_Saldo_Renov_Anual * FactorRenovacionAnual</f>
        <v>9167.2506673600001</v>
      </c>
      <c r="J46" s="131">
        <v>27</v>
      </c>
      <c r="K46" s="124">
        <f ca="1">SUM(_Componentes_CAT _Actual)</f>
        <v>12128.500804106723</v>
      </c>
      <c r="L46" s="123"/>
      <c r="M46" s="123">
        <f t="shared" ca="1" si="0"/>
        <v>8926.8865898958775</v>
      </c>
    </row>
    <row r="47" spans="5:13">
      <c r="E47" s="130">
        <f ca="1">T_SoloAuto!_Pago_CAT</f>
        <v>2962.8144458145912</v>
      </c>
      <c r="F47" s="130">
        <f ca="1">T_VidaMulti!_Pago_CAT</f>
        <v>0</v>
      </c>
      <c r="G47" s="130">
        <f ca="1">T_VidaAnual!_Pago_CAT</f>
        <v>0</v>
      </c>
      <c r="H47" s="130">
        <f ca="1">T_RenovVidaAnual!_Saldo_Renov_Anual * FactorRenovacionAnual</f>
        <v>0</v>
      </c>
      <c r="J47" s="131">
        <v>28</v>
      </c>
      <c r="K47" s="124">
        <f ca="1">SUM(_Componentes_CAT _Actual)</f>
        <v>2962.8144458145912</v>
      </c>
      <c r="L47" s="123"/>
      <c r="M47" s="123">
        <f t="shared" ca="1" si="0"/>
        <v>2156.0928371718601</v>
      </c>
    </row>
    <row r="48" spans="5:13">
      <c r="E48" s="130">
        <f ca="1">T_SoloAuto!_Pago_CAT</f>
        <v>2964.3875442136759</v>
      </c>
      <c r="F48" s="130">
        <f ca="1">T_VidaMulti!_Pago_CAT</f>
        <v>0</v>
      </c>
      <c r="G48" s="130">
        <f ca="1">T_VidaAnual!_Pago_CAT</f>
        <v>0</v>
      </c>
      <c r="H48" s="130">
        <f ca="1">T_RenovVidaAnual!_Saldo_Renov_Anual * FactorRenovacionAnual</f>
        <v>0</v>
      </c>
      <c r="J48" s="131">
        <v>29</v>
      </c>
      <c r="K48" s="124">
        <f ca="1">SUM(_Componentes_CAT _Actual)</f>
        <v>2964.3875442136759</v>
      </c>
      <c r="L48" s="123"/>
      <c r="M48" s="123">
        <f t="shared" ca="1" si="0"/>
        <v>2132.8881941283071</v>
      </c>
    </row>
    <row r="49" spans="5:13">
      <c r="E49" s="130">
        <f ca="1">T_SoloAuto!_Pago_CAT</f>
        <v>2965.9694813282995</v>
      </c>
      <c r="F49" s="130">
        <f ca="1">T_VidaMulti!_Pago_CAT</f>
        <v>0</v>
      </c>
      <c r="G49" s="130">
        <f ca="1">T_VidaAnual!_Pago_CAT</f>
        <v>0</v>
      </c>
      <c r="H49" s="130">
        <f ca="1">T_RenovVidaAnual!_Saldo_Renov_Anual * FactorRenovacionAnual</f>
        <v>0</v>
      </c>
      <c r="J49" s="131">
        <v>30</v>
      </c>
      <c r="K49" s="124">
        <f ca="1">SUM(_Componentes_CAT _Actual)</f>
        <v>2965.9694813282995</v>
      </c>
      <c r="L49" s="123"/>
      <c r="M49" s="123">
        <f t="shared" ca="1" si="0"/>
        <v>2109.93898129936</v>
      </c>
    </row>
    <row r="50" spans="5:13">
      <c r="E50" s="130">
        <f ca="1">T_SoloAuto!_Pago_CAT</f>
        <v>2967.5603068202577</v>
      </c>
      <c r="F50" s="130">
        <f ca="1">T_VidaMulti!_Pago_CAT</f>
        <v>0</v>
      </c>
      <c r="G50" s="130">
        <f ca="1">T_VidaAnual!_Pago_CAT</f>
        <v>0</v>
      </c>
      <c r="H50" s="130">
        <f ca="1">T_RenovVidaAnual!_Saldo_Renov_Anual * FactorRenovacionAnual</f>
        <v>0</v>
      </c>
      <c r="J50" s="131">
        <v>31</v>
      </c>
      <c r="K50" s="124">
        <f ca="1">SUM(_Componentes_CAT _Actual)</f>
        <v>2967.5603068202577</v>
      </c>
      <c r="L50" s="123"/>
      <c r="M50" s="123">
        <f t="shared" ca="1" si="0"/>
        <v>2087.2423527531205</v>
      </c>
    </row>
    <row r="51" spans="5:13">
      <c r="E51" s="130">
        <f ca="1">T_SoloAuto!_Pago_CAT</f>
        <v>2969.1600706303798</v>
      </c>
      <c r="F51" s="130">
        <f ca="1">T_VidaMulti!_Pago_CAT</f>
        <v>0</v>
      </c>
      <c r="G51" s="130">
        <f ca="1">T_VidaAnual!_Pago_CAT</f>
        <v>0</v>
      </c>
      <c r="H51" s="130">
        <f ca="1">T_RenovVidaAnual!_Saldo_Renov_Anual * FactorRenovacionAnual</f>
        <v>0</v>
      </c>
      <c r="J51" s="131">
        <v>32</v>
      </c>
      <c r="K51" s="124">
        <f ca="1">SUM(_Componentes_CAT _Actual)</f>
        <v>2969.1600706303798</v>
      </c>
      <c r="L51" s="123"/>
      <c r="M51" s="123">
        <f t="shared" ref="M51:M79" ca="1" si="1">+_Flujos.CAT/(1+CAT)^(_Num.Flujo/PeriodosPorAño)</f>
        <v>2064.7954944674416</v>
      </c>
    </row>
    <row r="52" spans="5:13">
      <c r="E52" s="130">
        <f ca="1">T_SoloAuto!_Pago_CAT</f>
        <v>2970.7688229800965</v>
      </c>
      <c r="F52" s="130">
        <f ca="1">T_VidaMulti!_Pago_CAT</f>
        <v>0</v>
      </c>
      <c r="G52" s="130">
        <f ca="1">T_VidaAnual!_Pago_CAT</f>
        <v>0</v>
      </c>
      <c r="H52" s="130">
        <f ca="1">T_RenovVidaAnual!_Saldo_Renov_Anual * FactorRenovacionAnual</f>
        <v>0</v>
      </c>
      <c r="J52" s="131">
        <v>33</v>
      </c>
      <c r="K52" s="124">
        <f ca="1">SUM(_Componentes_CAT _Actual)</f>
        <v>2970.7688229800965</v>
      </c>
      <c r="L52" s="123"/>
      <c r="M52" s="123">
        <f t="shared" ca="1" si="1"/>
        <v>2042.5956239709794</v>
      </c>
    </row>
    <row r="53" spans="5:13">
      <c r="E53" s="130">
        <f ca="1">T_SoloAuto!_Pago_CAT</f>
        <v>2972.3866143730156</v>
      </c>
      <c r="F53" s="130">
        <f ca="1">T_VidaMulti!_Pago_CAT</f>
        <v>0</v>
      </c>
      <c r="G53" s="130">
        <f ca="1">T_VidaAnual!_Pago_CAT</f>
        <v>0</v>
      </c>
      <c r="H53" s="130">
        <f ca="1">T_RenovVidaAnual!_Saldo_Renov_Anual * FactorRenovacionAnual</f>
        <v>0</v>
      </c>
      <c r="J53" s="131">
        <v>34</v>
      </c>
      <c r="K53" s="124">
        <f ca="1">SUM(_Componentes_CAT _Actual)</f>
        <v>2972.3866143730156</v>
      </c>
      <c r="L53" s="123"/>
      <c r="M53" s="123">
        <f t="shared" ca="1" si="1"/>
        <v>2020.6399899882801</v>
      </c>
    </row>
    <row r="54" spans="5:13">
      <c r="E54" s="130">
        <f ca="1">T_SoloAuto!_Pago_CAT</f>
        <v>2974.0134955965077</v>
      </c>
      <c r="F54" s="130">
        <f ca="1">T_VidaMulti!_Pago_CAT</f>
        <v>0</v>
      </c>
      <c r="G54" s="130">
        <f ca="1">T_VidaAnual!_Pago_CAT</f>
        <v>0</v>
      </c>
      <c r="H54" s="130">
        <f ca="1">T_RenovVidaAnual!_Saldo_Renov_Anual * FactorRenovacionAnual</f>
        <v>0</v>
      </c>
      <c r="J54" s="131">
        <v>35</v>
      </c>
      <c r="K54" s="124">
        <f ca="1">SUM(_Componentes_CAT _Actual)</f>
        <v>2974.0134955965077</v>
      </c>
      <c r="L54" s="123"/>
      <c r="M54" s="123">
        <f t="shared" ca="1" si="1"/>
        <v>1998.9258720888731</v>
      </c>
    </row>
    <row r="55" spans="5:13">
      <c r="E55" s="130">
        <f ca="1">T_SoloAuto!_Pago_CAT</f>
        <v>2975.6495177233005</v>
      </c>
      <c r="F55" s="130">
        <f ca="1">T_VidaMulti!_Pago_CAT</f>
        <v>0</v>
      </c>
      <c r="G55" s="130">
        <f ca="1">T_VidaAnual!_Pago_CAT</f>
        <v>0</v>
      </c>
      <c r="H55" s="130">
        <f ca="1">T_RenovVidaAnual!_Saldo_Renov_Anual * FactorRenovacionAnual</f>
        <v>0</v>
      </c>
      <c r="J55" s="131">
        <v>36</v>
      </c>
      <c r="K55" s="124">
        <f ca="1">SUM(_Componentes_CAT _Actual)</f>
        <v>2975.6495177233005</v>
      </c>
      <c r="L55" s="123"/>
      <c r="M55" s="123">
        <f t="shared" ca="1" si="1"/>
        <v>1977.4505803403129</v>
      </c>
    </row>
    <row r="56" spans="5:13">
      <c r="E56" s="130">
        <f ca="1">T_SoloAuto!_Pago_CAT</f>
        <v>2977.2947321130832</v>
      </c>
      <c r="F56" s="130">
        <f ca="1">T_VidaMulti!_Pago_CAT</f>
        <v>0</v>
      </c>
      <c r="G56" s="130">
        <f ca="1">T_VidaAnual!_Pago_CAT</f>
        <v>0</v>
      </c>
      <c r="H56" s="130">
        <f ca="1">T_RenovVidaAnual!_Saldo_Renov_Anual * FactorRenovacionAnual</f>
        <v>0</v>
      </c>
      <c r="J56" s="131">
        <v>37</v>
      </c>
      <c r="K56" s="124">
        <f ca="1">SUM(_Componentes_CAT _Actual)</f>
        <v>2977.2947321130832</v>
      </c>
      <c r="L56" s="123"/>
      <c r="M56" s="123">
        <f t="shared" ca="1" si="1"/>
        <v>1956.211454965134</v>
      </c>
    </row>
    <row r="57" spans="5:13">
      <c r="E57" s="130">
        <f ca="1">T_SoloAuto!_Pago_CAT</f>
        <v>2978.9491904141173</v>
      </c>
      <c r="F57" s="130">
        <f ca="1">T_VidaMulti!_Pago_CAT</f>
        <v>0</v>
      </c>
      <c r="G57" s="130">
        <f ca="1">T_VidaAnual!_Pago_CAT</f>
        <v>0</v>
      </c>
      <c r="H57" s="130">
        <f ca="1">T_RenovVidaAnual!_Saldo_Renov_Anual * FactorRenovacionAnual</f>
        <v>0</v>
      </c>
      <c r="J57" s="131">
        <v>38</v>
      </c>
      <c r="K57" s="124">
        <f ca="1">SUM(_Componentes_CAT _Actual)</f>
        <v>2978.9491904141173</v>
      </c>
      <c r="L57" s="123"/>
      <c r="M57" s="123">
        <f t="shared" ca="1" si="1"/>
        <v>1935.2058660016689</v>
      </c>
    </row>
    <row r="58" spans="5:13">
      <c r="E58" s="130">
        <f ca="1">T_SoloAuto!_Pago_CAT</f>
        <v>2980.6129445648589</v>
      </c>
      <c r="F58" s="130">
        <f ca="1">T_VidaMulti!_Pago_CAT</f>
        <v>0</v>
      </c>
      <c r="G58" s="130">
        <f ca="1">T_VidaAnual!_Pago_CAT</f>
        <v>0</v>
      </c>
      <c r="H58" s="130">
        <f ca="1">T_RenovVidaAnual!_Saldo_Renov_Anual * FactorRenovacionAnual</f>
        <v>0</v>
      </c>
      <c r="J58" s="131">
        <v>39</v>
      </c>
      <c r="K58" s="124">
        <f ca="1">SUM(_Componentes_CAT _Actual)</f>
        <v>2980.6129445648589</v>
      </c>
      <c r="L58" s="123"/>
      <c r="M58" s="123">
        <f t="shared" ca="1" si="1"/>
        <v>1914.431212968688</v>
      </c>
    </row>
    <row r="59" spans="5:13">
      <c r="E59" s="130">
        <f ca="1">T_SoloAuto!_Pago_CAT</f>
        <v>2982.2860467955893</v>
      </c>
      <c r="F59" s="130">
        <f ca="1">T_VidaMulti!_Pago_CAT</f>
        <v>0</v>
      </c>
      <c r="G59" s="130">
        <f ca="1">T_VidaAnual!_Pago_CAT</f>
        <v>0</v>
      </c>
      <c r="H59" s="130">
        <f ca="1">T_RenovVidaAnual!_Saldo_Renov_Anual * FactorRenovacionAnual</f>
        <v>0</v>
      </c>
      <c r="J59" s="131">
        <v>40</v>
      </c>
      <c r="K59" s="124">
        <f ca="1">SUM(_Componentes_CAT _Actual)</f>
        <v>2982.2860467955893</v>
      </c>
      <c r="L59" s="123"/>
      <c r="M59" s="123">
        <f t="shared" ca="1" si="1"/>
        <v>1893.8849245338197</v>
      </c>
    </row>
    <row r="60" spans="5:13">
      <c r="E60" s="130">
        <f ca="1">T_SoloAuto!_Pago_CAT</f>
        <v>2983.9685496300526</v>
      </c>
      <c r="F60" s="130">
        <f ca="1">T_VidaMulti!_Pago_CAT</f>
        <v>0</v>
      </c>
      <c r="G60" s="130">
        <f ca="1">T_VidaAnual!_Pago_CAT</f>
        <v>0</v>
      </c>
      <c r="H60" s="130">
        <f ca="1">T_RenovVidaAnual!_Saldo_Renov_Anual * FactorRenovacionAnual</f>
        <v>0</v>
      </c>
      <c r="J60" s="131">
        <v>41</v>
      </c>
      <c r="K60" s="124">
        <f ca="1">SUM(_Componentes_CAT _Actual)</f>
        <v>2983.9685496300526</v>
      </c>
      <c r="L60" s="123"/>
      <c r="M60" s="123">
        <f t="shared" ca="1" si="1"/>
        <v>1873.5644581857023</v>
      </c>
    </row>
    <row r="61" spans="5:13">
      <c r="E61" s="130">
        <f ca="1">T_SoloAuto!_Pago_CAT</f>
        <v>2985.6605058871087</v>
      </c>
      <c r="F61" s="130">
        <f ca="1">T_VidaMulti!_Pago_CAT</f>
        <v>0</v>
      </c>
      <c r="G61" s="130">
        <f ca="1">T_VidaAnual!_Pago_CAT</f>
        <v>0</v>
      </c>
      <c r="H61" s="130">
        <f ca="1">T_RenovVidaAnual!_Saldo_Renov_Anual * FactorRenovacionAnual</f>
        <v>0</v>
      </c>
      <c r="J61" s="131">
        <v>42</v>
      </c>
      <c r="K61" s="124">
        <f ca="1">SUM(_Componentes_CAT _Actual)</f>
        <v>2985.6605058871087</v>
      </c>
      <c r="L61" s="123"/>
      <c r="M61" s="123">
        <f t="shared" ca="1" si="1"/>
        <v>1853.4672999098364</v>
      </c>
    </row>
    <row r="62" spans="5:13">
      <c r="E62" s="130">
        <f ca="1">T_SoloAuto!_Pago_CAT</f>
        <v>2987.3619686823881</v>
      </c>
      <c r="F62" s="130">
        <f ca="1">T_VidaMulti!_Pago_CAT</f>
        <v>0</v>
      </c>
      <c r="G62" s="130">
        <f ca="1">T_VidaAnual!_Pago_CAT</f>
        <v>0</v>
      </c>
      <c r="H62" s="130">
        <f ca="1">T_RenovVidaAnual!_Saldo_Renov_Anual * FactorRenovacionAnual</f>
        <v>0</v>
      </c>
      <c r="J62" s="131">
        <v>43</v>
      </c>
      <c r="K62" s="124">
        <f ca="1">SUM(_Componentes_CAT _Actual)</f>
        <v>2987.3619686823881</v>
      </c>
      <c r="L62" s="123"/>
      <c r="M62" s="123">
        <f t="shared" ca="1" si="1"/>
        <v>1833.5909638680826</v>
      </c>
    </row>
    <row r="63" spans="5:13">
      <c r="E63" s="130">
        <f ca="1">T_SoloAuto!_Pago_CAT</f>
        <v>2989.0729914299595</v>
      </c>
      <c r="F63" s="130">
        <f ca="1">T_VidaMulti!_Pago_CAT</f>
        <v>0</v>
      </c>
      <c r="G63" s="130">
        <f ca="1">T_VidaAnual!_Pago_CAT</f>
        <v>0</v>
      </c>
      <c r="H63" s="130">
        <f ca="1">T_RenovVidaAnual!_Saldo_Renov_Anual * FactorRenovacionAnual</f>
        <v>0</v>
      </c>
      <c r="J63" s="131">
        <v>44</v>
      </c>
      <c r="K63" s="124">
        <f ca="1">SUM(_Componentes_CAT _Actual)</f>
        <v>2989.0729914299595</v>
      </c>
      <c r="L63" s="123"/>
      <c r="M63" s="123">
        <f t="shared" ca="1" si="1"/>
        <v>1813.9329920817738</v>
      </c>
    </row>
    <row r="64" spans="5:13">
      <c r="E64" s="130">
        <f ca="1">T_SoloAuto!_Pago_CAT</f>
        <v>2990.7936278440088</v>
      </c>
      <c r="F64" s="130">
        <f ca="1">T_VidaMulti!_Pago_CAT</f>
        <v>0</v>
      </c>
      <c r="G64" s="130">
        <f ca="1">T_VidaAnual!_Pago_CAT</f>
        <v>0</v>
      </c>
      <c r="H64" s="130">
        <f ca="1">T_RenovVidaAnual!_Saldo_Renov_Anual * FactorRenovacionAnual</f>
        <v>0</v>
      </c>
      <c r="J64" s="131">
        <v>45</v>
      </c>
      <c r="K64" s="124">
        <f ca="1">SUM(_Componentes_CAT _Actual)</f>
        <v>2990.7936278440088</v>
      </c>
      <c r="L64" s="123"/>
      <c r="M64" s="123">
        <f t="shared" ca="1" si="1"/>
        <v>1794.4909541183981</v>
      </c>
    </row>
    <row r="65" spans="5:13">
      <c r="E65" s="130">
        <f ca="1">T_SoloAuto!_Pago_CAT</f>
        <v>2992.5239319405232</v>
      </c>
      <c r="F65" s="130">
        <f ca="1">T_VidaMulti!_Pago_CAT</f>
        <v>0</v>
      </c>
      <c r="G65" s="130">
        <f ca="1">T_VidaAnual!_Pago_CAT</f>
        <v>0</v>
      </c>
      <c r="H65" s="130">
        <f ca="1">T_RenovVidaAnual!_Saldo_Renov_Anual * FactorRenovacionAnual</f>
        <v>0</v>
      </c>
      <c r="J65" s="131">
        <v>46</v>
      </c>
      <c r="K65" s="124">
        <f ca="1">SUM(_Componentes_CAT _Actual)</f>
        <v>2992.5239319405232</v>
      </c>
      <c r="L65" s="123"/>
      <c r="M65" s="123">
        <f t="shared" ca="1" si="1"/>
        <v>1775.26244678181</v>
      </c>
    </row>
    <row r="66" spans="5:13">
      <c r="E66" s="130">
        <f ca="1">T_SoloAuto!_Pago_CAT</f>
        <v>2994.2639580389878</v>
      </c>
      <c r="F66" s="130">
        <f ca="1">T_VidaMulti!_Pago_CAT</f>
        <v>0</v>
      </c>
      <c r="G66" s="130">
        <f ca="1">T_VidaAnual!_Pago_CAT</f>
        <v>0</v>
      </c>
      <c r="H66" s="130">
        <f ca="1">T_RenovVidaAnual!_Saldo_Renov_Anual * FactorRenovacionAnual</f>
        <v>0</v>
      </c>
      <c r="J66" s="131">
        <v>47</v>
      </c>
      <c r="K66" s="124">
        <f ca="1">SUM(_Componentes_CAT _Actual)</f>
        <v>2994.2639580389878</v>
      </c>
      <c r="L66" s="123"/>
      <c r="M66" s="123">
        <f t="shared" ca="1" si="1"/>
        <v>1756.2450938059312</v>
      </c>
    </row>
    <row r="67" spans="5:13">
      <c r="E67" s="130">
        <f ca="1">T_SoloAuto!_Pago_CAT</f>
        <v>2996.0137607640909</v>
      </c>
      <c r="F67" s="130">
        <f ca="1">T_VidaMulti!_Pago_CAT</f>
        <v>0</v>
      </c>
      <c r="G67" s="130">
        <f ca="1">T_VidaAnual!_Pago_CAT</f>
        <v>0</v>
      </c>
      <c r="H67" s="130">
        <f ca="1">T_RenovVidaAnual!_Saldo_Renov_Anual * FactorRenovacionAnual</f>
        <v>0</v>
      </c>
      <c r="J67" s="131">
        <v>48</v>
      </c>
      <c r="K67" s="124">
        <f ca="1">SUM(_Componentes_CAT _Actual)</f>
        <v>2996.0137607640909</v>
      </c>
      <c r="L67" s="123"/>
      <c r="M67" s="123">
        <f t="shared" ca="1" si="1"/>
        <v>1737.4365455519055</v>
      </c>
    </row>
    <row r="68" spans="5:13">
      <c r="E68" s="130">
        <f ca="1">T_SoloAuto!_Pago_CAT</f>
        <v>2997.773395047439</v>
      </c>
      <c r="F68" s="130">
        <f ca="1">T_VidaMulti!_Pago_CAT</f>
        <v>0</v>
      </c>
      <c r="G68" s="130">
        <f ca="1">T_VidaAnual!_Pago_CAT</f>
        <v>0</v>
      </c>
      <c r="H68" s="130">
        <f ca="1">T_RenovVidaAnual!_Saldo_Renov_Anual * FactorRenovacionAnual</f>
        <v>0</v>
      </c>
      <c r="J68" s="131">
        <v>49</v>
      </c>
      <c r="K68" s="124">
        <f ca="1">SUM(_Componentes_CAT _Actual)</f>
        <v>2997.773395047439</v>
      </c>
      <c r="L68" s="123"/>
      <c r="M68" s="123">
        <f t="shared" ca="1" si="1"/>
        <v>1718.8344787086633</v>
      </c>
    </row>
    <row r="69" spans="5:13">
      <c r="E69" s="130">
        <f ca="1">T_SoloAuto!_Pago_CAT</f>
        <v>2999.54291612928</v>
      </c>
      <c r="F69" s="130">
        <f ca="1">T_VidaMulti!_Pago_CAT</f>
        <v>0</v>
      </c>
      <c r="G69" s="130">
        <f ca="1">T_VidaAnual!_Pago_CAT</f>
        <v>0</v>
      </c>
      <c r="H69" s="130">
        <f ca="1">T_RenovVidaAnual!_Saldo_Renov_Anual * FactorRenovacionAnual</f>
        <v>0</v>
      </c>
      <c r="J69" s="131">
        <v>50</v>
      </c>
      <c r="K69" s="124">
        <f ca="1">SUM(_Componentes_CAT _Actual)</f>
        <v>2999.54291612928</v>
      </c>
      <c r="L69" s="123"/>
      <c r="M69" s="123">
        <f t="shared" ca="1" si="1"/>
        <v>1700.4365959968575</v>
      </c>
    </row>
    <row r="70" spans="5:13">
      <c r="E70" s="130">
        <f ca="1">T_SoloAuto!_Pago_CAT</f>
        <v>3001.3223795602398</v>
      </c>
      <c r="F70" s="130">
        <f ca="1">T_VidaMulti!_Pago_CAT</f>
        <v>0</v>
      </c>
      <c r="G70" s="130">
        <f ca="1">T_VidaAnual!_Pago_CAT</f>
        <v>0</v>
      </c>
      <c r="H70" s="130">
        <f ca="1">T_RenovVidaAnual!_Saldo_Renov_Anual * FactorRenovacionAnual</f>
        <v>0</v>
      </c>
      <c r="J70" s="131">
        <v>51</v>
      </c>
      <c r="K70" s="124">
        <f ca="1">SUM(_Componentes_CAT _Actual)</f>
        <v>3001.3223795602398</v>
      </c>
      <c r="L70" s="123"/>
      <c r="M70" s="123">
        <f t="shared" ca="1" si="1"/>
        <v>1682.2406258761398</v>
      </c>
    </row>
    <row r="71" spans="5:13">
      <c r="E71" s="130">
        <f ca="1">T_SoloAuto!_Pago_CAT</f>
        <v>3003.1118412030642</v>
      </c>
      <c r="F71" s="130">
        <f ca="1">T_VidaMulti!_Pago_CAT</f>
        <v>0</v>
      </c>
      <c r="G71" s="130">
        <f ca="1">T_VidaAnual!_Pago_CAT</f>
        <v>0</v>
      </c>
      <c r="H71" s="130">
        <f ca="1">T_RenovVidaAnual!_Saldo_Renov_Anual * FactorRenovacionAnual</f>
        <v>0</v>
      </c>
      <c r="J71" s="131">
        <v>52</v>
      </c>
      <c r="K71" s="124">
        <f ca="1">SUM(_Componentes_CAT _Actual)</f>
        <v>3003.1118412030642</v>
      </c>
      <c r="L71" s="123"/>
      <c r="M71" s="123">
        <f t="shared" ca="1" si="1"/>
        <v>1664.2443222557315</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70" t="s">
        <v>3483</v>
      </c>
      <c r="F23" s="970"/>
      <c r="G23" s="970"/>
    </row>
    <row r="24" spans="1:7">
      <c r="B24" s="13" t="s">
        <v>492</v>
      </c>
      <c r="E24" s="968" t="s">
        <v>3271</v>
      </c>
      <c r="F24" s="969"/>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5083</v>
      </c>
    </row>
    <row r="30" spans="1:7">
      <c r="A30" s="2" t="s">
        <v>493</v>
      </c>
      <c r="B30" s="2" t="s">
        <v>494</v>
      </c>
      <c r="C30" s="3" t="s">
        <v>495</v>
      </c>
      <c r="D30" s="2" t="s">
        <v>1638</v>
      </c>
    </row>
    <row r="31" spans="1:7">
      <c r="A31" s="669">
        <v>1</v>
      </c>
      <c r="B31" s="669" t="s">
        <v>5084</v>
      </c>
      <c r="C31" s="6">
        <f>A31</f>
        <v>1</v>
      </c>
      <c r="D31" t="b">
        <v>1</v>
      </c>
    </row>
    <row r="32" spans="1:7">
      <c r="A32" s="669">
        <v>2</v>
      </c>
      <c r="B32" s="669" t="s">
        <v>5085</v>
      </c>
      <c r="C32" s="10">
        <f>A32</f>
        <v>2</v>
      </c>
      <c r="D32" t="b">
        <v>0</v>
      </c>
    </row>
    <row r="35" spans="1:5">
      <c r="B35" s="13" t="s">
        <v>1637</v>
      </c>
    </row>
    <row r="36" spans="1:5">
      <c r="A36" s="2" t="s">
        <v>493</v>
      </c>
      <c r="B36" s="2" t="s">
        <v>494</v>
      </c>
      <c r="C36" s="3" t="s">
        <v>495</v>
      </c>
      <c r="D36" s="2" t="s">
        <v>1638</v>
      </c>
      <c r="E36" s="2" t="s">
        <v>3292</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71" t="s">
        <v>484</v>
      </c>
      <c r="E54" s="972"/>
      <c r="F54" s="972"/>
      <c r="G54" s="972"/>
      <c r="H54" s="972"/>
    </row>
    <row r="55" spans="2:9">
      <c r="D55" s="13" t="s">
        <v>481</v>
      </c>
      <c r="E55" s="344" t="s">
        <v>2454</v>
      </c>
      <c r="F55" s="13" t="s">
        <v>467</v>
      </c>
      <c r="G55" s="13" t="s">
        <v>468</v>
      </c>
      <c r="H55" s="344" t="s">
        <v>5111</v>
      </c>
      <c r="I55" s="344" t="s">
        <v>5114</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3790</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3787</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4541</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73" t="s">
        <v>1</v>
      </c>
      <c r="Q3" s="973"/>
      <c r="R3" s="973"/>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3789</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4494</v>
      </c>
      <c r="C20" s="585">
        <v>6</v>
      </c>
      <c r="D20" s="629" t="s">
        <v>2283</v>
      </c>
      <c r="E20" s="586" t="s">
        <v>4499</v>
      </c>
      <c r="F20" s="675">
        <v>4.1790500000000001E-2</v>
      </c>
      <c r="G20" s="676">
        <v>2538.48</v>
      </c>
      <c r="H20" s="588">
        <v>487.2</v>
      </c>
      <c r="I20" s="587" t="s">
        <v>549</v>
      </c>
      <c r="J20" s="585">
        <v>1</v>
      </c>
      <c r="K20" s="585" t="s">
        <v>4504</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3345</v>
      </c>
      <c r="C47" s="585">
        <v>33</v>
      </c>
      <c r="D47" s="629" t="s">
        <v>2286</v>
      </c>
      <c r="E47" s="586" t="s">
        <v>3356</v>
      </c>
      <c r="F47" s="675">
        <v>3.7251199999999998E-2</v>
      </c>
      <c r="G47" s="676">
        <v>2538.48</v>
      </c>
      <c r="H47" s="588">
        <v>487.2</v>
      </c>
      <c r="I47" s="587" t="s">
        <v>549</v>
      </c>
      <c r="J47" s="585">
        <v>1</v>
      </c>
      <c r="K47" s="585" t="s">
        <v>3367</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5127</v>
      </c>
      <c r="C48" s="585">
        <v>34</v>
      </c>
      <c r="D48" s="629" t="s">
        <v>2286</v>
      </c>
      <c r="E48" s="586" t="s">
        <v>5139</v>
      </c>
      <c r="F48" s="675">
        <v>5.1809500000000001E-2</v>
      </c>
      <c r="G48" s="676">
        <v>2538.48</v>
      </c>
      <c r="H48" s="588">
        <v>487.2</v>
      </c>
      <c r="I48" s="587" t="s">
        <v>549</v>
      </c>
      <c r="J48" s="585">
        <v>1</v>
      </c>
      <c r="K48" s="585" t="s">
        <v>5151</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5128</v>
      </c>
      <c r="C53" s="585">
        <v>39</v>
      </c>
      <c r="D53" s="629" t="s">
        <v>2286</v>
      </c>
      <c r="E53" s="586" t="s">
        <v>5140</v>
      </c>
      <c r="F53" s="675">
        <v>5.1809500000000001E-2</v>
      </c>
      <c r="G53" s="676">
        <v>2538.48</v>
      </c>
      <c r="H53" s="588">
        <v>487.2</v>
      </c>
      <c r="I53" s="587" t="s">
        <v>549</v>
      </c>
      <c r="J53" s="585">
        <v>1</v>
      </c>
      <c r="K53" s="585" t="s">
        <v>5152</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4462</v>
      </c>
      <c r="C55" s="585">
        <v>41</v>
      </c>
      <c r="D55" s="629" t="s">
        <v>2286</v>
      </c>
      <c r="E55" s="586" t="s">
        <v>4466</v>
      </c>
      <c r="F55" s="675">
        <v>4.7502099999999998E-2</v>
      </c>
      <c r="G55" s="676">
        <v>2538.48</v>
      </c>
      <c r="H55" s="588">
        <v>487.2</v>
      </c>
      <c r="I55" s="587" t="s">
        <v>549</v>
      </c>
      <c r="J55" s="585">
        <v>1</v>
      </c>
      <c r="K55" s="585" t="s">
        <v>4470</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3470</v>
      </c>
      <c r="C57" s="585">
        <v>43</v>
      </c>
      <c r="D57" s="629" t="s">
        <v>2219</v>
      </c>
      <c r="E57" s="586" t="s">
        <v>4424</v>
      </c>
      <c r="F57" s="675">
        <v>4.2571999999999999E-2</v>
      </c>
      <c r="G57" s="676">
        <v>2538.48</v>
      </c>
      <c r="H57" s="588">
        <v>487.2</v>
      </c>
      <c r="I57" s="587" t="s">
        <v>549</v>
      </c>
      <c r="J57" s="585">
        <v>1</v>
      </c>
      <c r="K57" s="585" t="s">
        <v>3473</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3494</v>
      </c>
      <c r="C58" s="585">
        <v>44</v>
      </c>
      <c r="D58" s="629" t="s">
        <v>2219</v>
      </c>
      <c r="E58" s="586" t="s">
        <v>4425</v>
      </c>
      <c r="F58" s="675">
        <v>4.2571999999999999E-2</v>
      </c>
      <c r="G58" s="676">
        <v>2538.48</v>
      </c>
      <c r="H58" s="588">
        <v>487.2</v>
      </c>
      <c r="I58" s="587" t="s">
        <v>549</v>
      </c>
      <c r="J58" s="585">
        <v>1</v>
      </c>
      <c r="K58" s="585" t="s">
        <v>3495</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3378</v>
      </c>
      <c r="C59" s="585">
        <v>45</v>
      </c>
      <c r="D59" s="629" t="s">
        <v>2219</v>
      </c>
      <c r="E59" s="586" t="s">
        <v>4426</v>
      </c>
      <c r="F59" s="675">
        <v>4.2571999999999999E-2</v>
      </c>
      <c r="G59" s="676">
        <v>2538.48</v>
      </c>
      <c r="H59" s="588">
        <v>487.2</v>
      </c>
      <c r="I59" s="587" t="s">
        <v>549</v>
      </c>
      <c r="J59" s="585">
        <v>1</v>
      </c>
      <c r="K59" s="585" t="s">
        <v>3432</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3379</v>
      </c>
      <c r="C60" s="585">
        <v>46</v>
      </c>
      <c r="D60" s="629" t="s">
        <v>2219</v>
      </c>
      <c r="E60" s="586" t="s">
        <v>4427</v>
      </c>
      <c r="F60" s="675">
        <v>4.2571999999999999E-2</v>
      </c>
      <c r="G60" s="676">
        <v>2538.48</v>
      </c>
      <c r="H60" s="588">
        <v>487.2</v>
      </c>
      <c r="I60" s="587" t="s">
        <v>549</v>
      </c>
      <c r="J60" s="585">
        <v>1</v>
      </c>
      <c r="K60" s="585" t="s">
        <v>3433</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10397</v>
      </c>
      <c r="C61" s="585">
        <v>47</v>
      </c>
      <c r="D61" s="629" t="s">
        <v>2219</v>
      </c>
      <c r="E61" s="586" t="s">
        <v>10431</v>
      </c>
      <c r="F61" s="675">
        <v>4.1958000000000002E-2</v>
      </c>
      <c r="G61" s="676">
        <v>2538.48</v>
      </c>
      <c r="H61" s="588">
        <v>487.2</v>
      </c>
      <c r="I61" s="587" t="s">
        <v>549</v>
      </c>
      <c r="J61" s="585">
        <v>1</v>
      </c>
      <c r="K61" s="585" t="s">
        <v>10464</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3453</v>
      </c>
      <c r="C62" s="585">
        <v>48</v>
      </c>
      <c r="D62" s="629" t="s">
        <v>2219</v>
      </c>
      <c r="E62" s="586" t="s">
        <v>4428</v>
      </c>
      <c r="F62" s="675">
        <v>4.2571999999999999E-2</v>
      </c>
      <c r="G62" s="676">
        <v>2538.48</v>
      </c>
      <c r="H62" s="588">
        <v>487.2</v>
      </c>
      <c r="I62" s="587" t="s">
        <v>549</v>
      </c>
      <c r="J62" s="585">
        <v>1</v>
      </c>
      <c r="K62" s="585" t="s">
        <v>3454</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4452</v>
      </c>
      <c r="C63" s="585">
        <v>49</v>
      </c>
      <c r="D63" s="629" t="s">
        <v>2219</v>
      </c>
      <c r="E63" s="586" t="s">
        <v>4456</v>
      </c>
      <c r="F63" s="675">
        <v>4.2571999999999999E-2</v>
      </c>
      <c r="G63" s="676">
        <v>2538.48</v>
      </c>
      <c r="H63" s="588">
        <v>487.2</v>
      </c>
      <c r="I63" s="587" t="s">
        <v>549</v>
      </c>
      <c r="J63" s="585">
        <v>1</v>
      </c>
      <c r="K63" s="585" t="s">
        <v>4458</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4286</v>
      </c>
      <c r="C64" s="585">
        <v>50</v>
      </c>
      <c r="D64" s="629" t="s">
        <v>2219</v>
      </c>
      <c r="E64" s="586" t="s">
        <v>4429</v>
      </c>
      <c r="F64" s="675">
        <v>4.2571999999999999E-2</v>
      </c>
      <c r="G64" s="676">
        <v>2538.48</v>
      </c>
      <c r="H64" s="588">
        <v>487.2</v>
      </c>
      <c r="I64" s="587" t="s">
        <v>549</v>
      </c>
      <c r="J64" s="585">
        <v>1</v>
      </c>
      <c r="K64" s="585" t="s">
        <v>4287</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10398</v>
      </c>
      <c r="C65" s="585">
        <v>51</v>
      </c>
      <c r="D65" s="629" t="s">
        <v>2219</v>
      </c>
      <c r="E65" s="586" t="s">
        <v>10432</v>
      </c>
      <c r="F65" s="675">
        <v>4.2571999999999999E-2</v>
      </c>
      <c r="G65" s="676">
        <v>2538.48</v>
      </c>
      <c r="H65" s="588">
        <v>487.2</v>
      </c>
      <c r="I65" s="587" t="s">
        <v>549</v>
      </c>
      <c r="J65" s="585">
        <v>1</v>
      </c>
      <c r="K65" s="585" t="s">
        <v>10465</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10399</v>
      </c>
      <c r="C66" s="585">
        <v>52</v>
      </c>
      <c r="D66" s="629" t="s">
        <v>2219</v>
      </c>
      <c r="E66" s="586" t="s">
        <v>10433</v>
      </c>
      <c r="F66" s="675">
        <v>3.6269999999999997E-2</v>
      </c>
      <c r="G66" s="676">
        <v>2538.48</v>
      </c>
      <c r="H66" s="588">
        <v>487.2</v>
      </c>
      <c r="I66" s="587" t="s">
        <v>549</v>
      </c>
      <c r="J66" s="585">
        <v>1</v>
      </c>
      <c r="K66" s="585" t="s">
        <v>10466</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10400</v>
      </c>
      <c r="C67" s="585">
        <v>53</v>
      </c>
      <c r="D67" s="629" t="s">
        <v>2219</v>
      </c>
      <c r="E67" s="586" t="s">
        <v>10434</v>
      </c>
      <c r="F67" s="675">
        <v>4.2571999999999999E-2</v>
      </c>
      <c r="G67" s="676">
        <v>2538.48</v>
      </c>
      <c r="H67" s="588">
        <v>487.2</v>
      </c>
      <c r="I67" s="587" t="s">
        <v>549</v>
      </c>
      <c r="J67" s="585">
        <v>1</v>
      </c>
      <c r="K67" s="585" t="s">
        <v>10467</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4542</v>
      </c>
      <c r="C68" s="585">
        <v>54</v>
      </c>
      <c r="D68" s="629" t="s">
        <v>2219</v>
      </c>
      <c r="E68" s="586" t="s">
        <v>4553</v>
      </c>
      <c r="F68" s="675">
        <v>4.2571999999999999E-2</v>
      </c>
      <c r="G68" s="676">
        <v>2538.48</v>
      </c>
      <c r="H68" s="588">
        <v>487.2</v>
      </c>
      <c r="I68" s="587" t="s">
        <v>549</v>
      </c>
      <c r="J68" s="585">
        <v>1</v>
      </c>
      <c r="K68" s="585" t="s">
        <v>4564</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4353</v>
      </c>
      <c r="C69" s="585">
        <v>55</v>
      </c>
      <c r="D69" s="629" t="s">
        <v>2219</v>
      </c>
      <c r="E69" s="586" t="s">
        <v>4430</v>
      </c>
      <c r="F69" s="675">
        <v>4.2571999999999999E-2</v>
      </c>
      <c r="G69" s="676">
        <v>2538.48</v>
      </c>
      <c r="H69" s="588">
        <v>487.2</v>
      </c>
      <c r="I69" s="587" t="s">
        <v>549</v>
      </c>
      <c r="J69" s="585">
        <v>1</v>
      </c>
      <c r="K69" s="585" t="s">
        <v>4354</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10401</v>
      </c>
      <c r="C71" s="585">
        <v>57</v>
      </c>
      <c r="D71" s="629" t="s">
        <v>2219</v>
      </c>
      <c r="E71" s="586" t="s">
        <v>10435</v>
      </c>
      <c r="F71" s="675">
        <v>4.2298000000000002E-2</v>
      </c>
      <c r="G71" s="676">
        <v>2538.48</v>
      </c>
      <c r="H71" s="588">
        <v>487.2</v>
      </c>
      <c r="I71" s="587" t="s">
        <v>549</v>
      </c>
      <c r="J71" s="585">
        <v>1</v>
      </c>
      <c r="K71" s="585" t="s">
        <v>10468</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10402</v>
      </c>
      <c r="C72" s="585">
        <v>58</v>
      </c>
      <c r="D72" s="629" t="s">
        <v>2219</v>
      </c>
      <c r="E72" s="586" t="s">
        <v>10436</v>
      </c>
      <c r="F72" s="675">
        <v>4.2298000000000002E-2</v>
      </c>
      <c r="G72" s="676">
        <v>2538.48</v>
      </c>
      <c r="H72" s="588">
        <v>487.2</v>
      </c>
      <c r="I72" s="587" t="s">
        <v>549</v>
      </c>
      <c r="J72" s="585">
        <v>1</v>
      </c>
      <c r="K72" s="585" t="s">
        <v>10469</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3496</v>
      </c>
      <c r="C73" s="585">
        <v>59</v>
      </c>
      <c r="D73" s="629" t="s">
        <v>2219</v>
      </c>
      <c r="E73" s="586" t="s">
        <v>3498</v>
      </c>
      <c r="F73" s="675">
        <v>4.2571999999999999E-2</v>
      </c>
      <c r="G73" s="676">
        <v>2538.48</v>
      </c>
      <c r="H73" s="588">
        <v>487.2</v>
      </c>
      <c r="I73" s="587" t="s">
        <v>549</v>
      </c>
      <c r="J73" s="585">
        <v>1</v>
      </c>
      <c r="K73" s="585" t="s">
        <v>3500</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5129</v>
      </c>
      <c r="C74" s="585">
        <v>60</v>
      </c>
      <c r="D74" s="629" t="s">
        <v>2219</v>
      </c>
      <c r="E74" s="586" t="s">
        <v>5141</v>
      </c>
      <c r="F74" s="675">
        <v>4.2571999999999999E-2</v>
      </c>
      <c r="G74" s="676">
        <v>2538.48</v>
      </c>
      <c r="H74" s="588">
        <v>487.2</v>
      </c>
      <c r="I74" s="587" t="s">
        <v>549</v>
      </c>
      <c r="J74" s="585">
        <v>1</v>
      </c>
      <c r="K74" s="585" t="s">
        <v>5153</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10403</v>
      </c>
      <c r="C75" s="585">
        <v>61</v>
      </c>
      <c r="D75" s="629" t="s">
        <v>2219</v>
      </c>
      <c r="E75" s="586" t="s">
        <v>10437</v>
      </c>
      <c r="F75" s="675">
        <v>4.1354000000000002E-2</v>
      </c>
      <c r="G75" s="676">
        <v>2538.48</v>
      </c>
      <c r="H75" s="588">
        <v>487.2</v>
      </c>
      <c r="I75" s="587" t="s">
        <v>549</v>
      </c>
      <c r="J75" s="585">
        <v>1</v>
      </c>
      <c r="K75" s="585" t="s">
        <v>10470</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3497</v>
      </c>
      <c r="C76" s="585">
        <v>62</v>
      </c>
      <c r="D76" s="629" t="s">
        <v>2219</v>
      </c>
      <c r="E76" s="586" t="s">
        <v>3499</v>
      </c>
      <c r="F76" s="675">
        <v>4.2571999999999999E-2</v>
      </c>
      <c r="G76" s="676">
        <v>2538.48</v>
      </c>
      <c r="H76" s="588">
        <v>487.2</v>
      </c>
      <c r="I76" s="587" t="s">
        <v>549</v>
      </c>
      <c r="J76" s="585">
        <v>1</v>
      </c>
      <c r="K76" s="585" t="s">
        <v>3501</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10404</v>
      </c>
      <c r="C77" s="585">
        <v>63</v>
      </c>
      <c r="D77" s="629" t="s">
        <v>2219</v>
      </c>
      <c r="E77" s="586" t="s">
        <v>10438</v>
      </c>
      <c r="F77" s="675">
        <v>3.6269999999999997E-2</v>
      </c>
      <c r="G77" s="676">
        <v>2538.48</v>
      </c>
      <c r="H77" s="588">
        <v>487.2</v>
      </c>
      <c r="I77" s="587" t="s">
        <v>549</v>
      </c>
      <c r="J77" s="585">
        <v>1</v>
      </c>
      <c r="K77" s="585" t="s">
        <v>10471</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3452</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4405</v>
      </c>
      <c r="C81" s="585">
        <v>67</v>
      </c>
      <c r="D81" s="629" t="s">
        <v>2219</v>
      </c>
      <c r="E81" s="586" t="s">
        <v>4411</v>
      </c>
      <c r="F81" s="675">
        <v>4.2571999999999999E-2</v>
      </c>
      <c r="G81" s="676">
        <v>2538.48</v>
      </c>
      <c r="H81" s="588">
        <v>487.2</v>
      </c>
      <c r="I81" s="587" t="s">
        <v>549</v>
      </c>
      <c r="J81" s="585">
        <v>1</v>
      </c>
      <c r="K81" s="585" t="s">
        <v>4415</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3380</v>
      </c>
      <c r="C84" s="585">
        <v>70</v>
      </c>
      <c r="D84" s="629" t="s">
        <v>2219</v>
      </c>
      <c r="E84" s="586" t="s">
        <v>3408</v>
      </c>
      <c r="F84" s="675">
        <v>4.2571999999999999E-2</v>
      </c>
      <c r="G84" s="676">
        <v>2538.48</v>
      </c>
      <c r="H84" s="588">
        <v>487.2</v>
      </c>
      <c r="I84" s="587" t="s">
        <v>549</v>
      </c>
      <c r="J84" s="585">
        <v>1</v>
      </c>
      <c r="K84" s="585" t="s">
        <v>3434</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4437</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4436</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4435</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4434</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4433</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4432</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10405</v>
      </c>
      <c r="C91" s="585">
        <v>77</v>
      </c>
      <c r="D91" s="629" t="s">
        <v>2220</v>
      </c>
      <c r="E91" s="586" t="s">
        <v>10439</v>
      </c>
      <c r="F91" s="675">
        <v>4.8640000000000003E-2</v>
      </c>
      <c r="G91" s="676">
        <v>3463</v>
      </c>
      <c r="H91" s="588">
        <v>487.2</v>
      </c>
      <c r="I91" s="587" t="s">
        <v>601</v>
      </c>
      <c r="J91" s="585">
        <v>2</v>
      </c>
      <c r="K91" s="585" t="s">
        <v>10472</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4355</v>
      </c>
      <c r="C92" s="585">
        <v>78</v>
      </c>
      <c r="D92" s="629" t="s">
        <v>2220</v>
      </c>
      <c r="E92" s="586" t="s">
        <v>4431</v>
      </c>
      <c r="F92" s="675">
        <v>3.1363000000000002E-2</v>
      </c>
      <c r="G92" s="676">
        <v>7453.37</v>
      </c>
      <c r="H92" s="588">
        <v>487.2</v>
      </c>
      <c r="I92" s="587" t="s">
        <v>3791</v>
      </c>
      <c r="J92" s="585">
        <v>3</v>
      </c>
      <c r="K92" s="585" t="s">
        <v>4356</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5130</v>
      </c>
      <c r="C93" s="585">
        <v>79</v>
      </c>
      <c r="D93" s="629" t="s">
        <v>2220</v>
      </c>
      <c r="E93" s="586" t="s">
        <v>5142</v>
      </c>
      <c r="F93" s="675">
        <v>2.8934000000000001E-2</v>
      </c>
      <c r="G93" s="676">
        <v>8154.31</v>
      </c>
      <c r="H93" s="588">
        <v>487.2</v>
      </c>
      <c r="I93" s="587" t="s">
        <v>3791</v>
      </c>
      <c r="J93" s="585">
        <v>3</v>
      </c>
      <c r="K93" s="585" t="s">
        <v>5154</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10406</v>
      </c>
      <c r="C95" s="585">
        <v>81</v>
      </c>
      <c r="D95" s="629" t="s">
        <v>10429</v>
      </c>
      <c r="E95" s="586" t="s">
        <v>10440</v>
      </c>
      <c r="F95" s="675">
        <v>6.2548000000000006E-2</v>
      </c>
      <c r="G95" s="676">
        <v>3463</v>
      </c>
      <c r="H95" s="588">
        <v>487.2</v>
      </c>
      <c r="I95" s="587" t="s">
        <v>601</v>
      </c>
      <c r="J95" s="585">
        <v>2</v>
      </c>
      <c r="K95" s="585" t="s">
        <v>5157</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4438</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3502</v>
      </c>
      <c r="C99" s="585">
        <v>85</v>
      </c>
      <c r="D99" s="629" t="s">
        <v>2287</v>
      </c>
      <c r="E99" s="586" t="s">
        <v>3503</v>
      </c>
      <c r="F99" s="675">
        <v>4.3338299999999996E-2</v>
      </c>
      <c r="G99" s="676">
        <v>2538.48</v>
      </c>
      <c r="H99" s="588">
        <v>487.2</v>
      </c>
      <c r="I99" s="587" t="s">
        <v>549</v>
      </c>
      <c r="J99" s="585">
        <v>1</v>
      </c>
      <c r="K99" s="585" t="s">
        <v>3504</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4543</v>
      </c>
      <c r="C116" s="585">
        <v>102</v>
      </c>
      <c r="D116" s="629" t="s">
        <v>2287</v>
      </c>
      <c r="E116" s="586" t="s">
        <v>4554</v>
      </c>
      <c r="F116" s="675">
        <v>4.1989699999999998E-2</v>
      </c>
      <c r="G116" s="676">
        <v>2538.48</v>
      </c>
      <c r="H116" s="588">
        <v>487.2</v>
      </c>
      <c r="I116" s="587" t="s">
        <v>549</v>
      </c>
      <c r="J116" s="585">
        <v>1</v>
      </c>
      <c r="K116" s="585" t="s">
        <v>4565</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3505</v>
      </c>
      <c r="C120" s="585">
        <v>106</v>
      </c>
      <c r="D120" s="629" t="s">
        <v>2287</v>
      </c>
      <c r="E120" s="586" t="s">
        <v>3512</v>
      </c>
      <c r="F120" s="675">
        <v>2.8934000000000001E-2</v>
      </c>
      <c r="G120" s="676">
        <v>8154.31</v>
      </c>
      <c r="H120" s="588">
        <v>487.2</v>
      </c>
      <c r="I120" s="587" t="s">
        <v>3791</v>
      </c>
      <c r="J120" s="585">
        <v>3</v>
      </c>
      <c r="K120" s="585" t="s">
        <v>3519</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3506</v>
      </c>
      <c r="C121" s="585">
        <v>107</v>
      </c>
      <c r="D121" s="629" t="s">
        <v>2287</v>
      </c>
      <c r="E121" s="586" t="s">
        <v>3513</v>
      </c>
      <c r="F121" s="675">
        <v>4.0833300000000003E-2</v>
      </c>
      <c r="G121" s="676">
        <v>3463.0023344000001</v>
      </c>
      <c r="H121" s="588">
        <v>487.2</v>
      </c>
      <c r="I121" s="587" t="s">
        <v>601</v>
      </c>
      <c r="J121" s="585">
        <v>2</v>
      </c>
      <c r="K121" s="585" t="s">
        <v>3520</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3507</v>
      </c>
      <c r="C122" s="585">
        <v>108</v>
      </c>
      <c r="D122" s="629" t="s">
        <v>2287</v>
      </c>
      <c r="E122" s="586" t="s">
        <v>3514</v>
      </c>
      <c r="F122" s="675">
        <v>4.1638000000000001E-2</v>
      </c>
      <c r="G122" s="676">
        <v>3463.0023344000001</v>
      </c>
      <c r="H122" s="588">
        <v>487.2</v>
      </c>
      <c r="I122" s="587" t="s">
        <v>601</v>
      </c>
      <c r="J122" s="585">
        <v>2</v>
      </c>
      <c r="K122" s="585" t="s">
        <v>3521</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3508</v>
      </c>
      <c r="C123" s="585">
        <v>109</v>
      </c>
      <c r="D123" s="629" t="s">
        <v>2287</v>
      </c>
      <c r="E123" s="586" t="s">
        <v>3515</v>
      </c>
      <c r="F123" s="675">
        <v>3.1363000000000002E-2</v>
      </c>
      <c r="G123" s="676">
        <v>7453.37</v>
      </c>
      <c r="H123" s="588">
        <v>487.2</v>
      </c>
      <c r="I123" s="587" t="s">
        <v>3791</v>
      </c>
      <c r="J123" s="585">
        <v>3</v>
      </c>
      <c r="K123" s="585" t="s">
        <v>3522</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3509</v>
      </c>
      <c r="C124" s="585">
        <v>110</v>
      </c>
      <c r="D124" s="629" t="s">
        <v>2287</v>
      </c>
      <c r="E124" s="586" t="s">
        <v>3516</v>
      </c>
      <c r="F124" s="675">
        <v>5.4815199999999994E-2</v>
      </c>
      <c r="G124" s="676">
        <v>2538.48</v>
      </c>
      <c r="H124" s="588">
        <v>487.2</v>
      </c>
      <c r="I124" s="587" t="s">
        <v>549</v>
      </c>
      <c r="J124" s="585">
        <v>1</v>
      </c>
      <c r="K124" s="585" t="s">
        <v>3523</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4288</v>
      </c>
      <c r="C125" s="585">
        <v>111</v>
      </c>
      <c r="D125" s="629" t="s">
        <v>2287</v>
      </c>
      <c r="E125" s="586" t="s">
        <v>4289</v>
      </c>
      <c r="F125" s="675">
        <v>5.4815199999999994E-2</v>
      </c>
      <c r="G125" s="676">
        <v>2538.48</v>
      </c>
      <c r="H125" s="588">
        <v>487.2</v>
      </c>
      <c r="I125" s="587" t="s">
        <v>549</v>
      </c>
      <c r="J125" s="585">
        <v>1</v>
      </c>
      <c r="K125" s="585" t="s">
        <v>4290</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4291</v>
      </c>
      <c r="C126" s="585">
        <v>112</v>
      </c>
      <c r="D126" s="629" t="s">
        <v>2287</v>
      </c>
      <c r="E126" s="586" t="s">
        <v>4292</v>
      </c>
      <c r="F126" s="675">
        <v>5.4815199999999994E-2</v>
      </c>
      <c r="G126" s="676">
        <v>2538.48</v>
      </c>
      <c r="H126" s="588">
        <v>487.2</v>
      </c>
      <c r="I126" s="587" t="s">
        <v>549</v>
      </c>
      <c r="J126" s="585">
        <v>1</v>
      </c>
      <c r="K126" s="585" t="s">
        <v>4293</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3510</v>
      </c>
      <c r="C127" s="585">
        <v>113</v>
      </c>
      <c r="D127" s="629" t="s">
        <v>2287</v>
      </c>
      <c r="E127" s="586" t="s">
        <v>3517</v>
      </c>
      <c r="F127" s="675">
        <v>5.4815199999999994E-2</v>
      </c>
      <c r="G127" s="676">
        <v>2538.48</v>
      </c>
      <c r="H127" s="588">
        <v>487.2</v>
      </c>
      <c r="I127" s="587" t="s">
        <v>549</v>
      </c>
      <c r="J127" s="585">
        <v>1</v>
      </c>
      <c r="K127" s="585" t="s">
        <v>3524</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3511</v>
      </c>
      <c r="C128" s="585">
        <v>114</v>
      </c>
      <c r="D128" s="629" t="s">
        <v>2287</v>
      </c>
      <c r="E128" s="586" t="s">
        <v>3518</v>
      </c>
      <c r="F128" s="675">
        <v>5.4815199999999994E-2</v>
      </c>
      <c r="G128" s="676">
        <v>2538.48</v>
      </c>
      <c r="H128" s="588">
        <v>487.2</v>
      </c>
      <c r="I128" s="587" t="s">
        <v>549</v>
      </c>
      <c r="J128" s="585">
        <v>1</v>
      </c>
      <c r="K128" s="585" t="s">
        <v>3525</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4294</v>
      </c>
      <c r="C129" s="585">
        <v>115</v>
      </c>
      <c r="D129" s="629" t="s">
        <v>2287</v>
      </c>
      <c r="E129" s="586" t="s">
        <v>4295</v>
      </c>
      <c r="F129" s="675">
        <v>5.4815199999999994E-2</v>
      </c>
      <c r="G129" s="676">
        <v>2538.48</v>
      </c>
      <c r="H129" s="588">
        <v>487.2</v>
      </c>
      <c r="I129" s="587" t="s">
        <v>549</v>
      </c>
      <c r="J129" s="585">
        <v>1</v>
      </c>
      <c r="K129" s="585" t="s">
        <v>4296</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3381</v>
      </c>
      <c r="C148" s="585">
        <v>134</v>
      </c>
      <c r="D148" s="629" t="s">
        <v>2287</v>
      </c>
      <c r="E148" s="586" t="s">
        <v>3409</v>
      </c>
      <c r="F148" s="675">
        <v>4.2173499999999996E-2</v>
      </c>
      <c r="G148" s="676">
        <v>3463.0023344000001</v>
      </c>
      <c r="H148" s="588">
        <v>487.2</v>
      </c>
      <c r="I148" s="587" t="s">
        <v>601</v>
      </c>
      <c r="J148" s="585">
        <v>2</v>
      </c>
      <c r="K148" s="585" t="s">
        <v>3435</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3382</v>
      </c>
      <c r="C149" s="585">
        <v>135</v>
      </c>
      <c r="D149" s="629" t="s">
        <v>2287</v>
      </c>
      <c r="E149" s="586" t="s">
        <v>3410</v>
      </c>
      <c r="F149" s="675">
        <v>4.1797399999999998E-2</v>
      </c>
      <c r="G149" s="676">
        <v>3463.0023344000001</v>
      </c>
      <c r="H149" s="588">
        <v>487.2</v>
      </c>
      <c r="I149" s="587" t="s">
        <v>601</v>
      </c>
      <c r="J149" s="585">
        <v>2</v>
      </c>
      <c r="K149" s="585" t="s">
        <v>3436</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3383</v>
      </c>
      <c r="C150" s="585">
        <v>136</v>
      </c>
      <c r="D150" s="629" t="s">
        <v>2287</v>
      </c>
      <c r="E150" s="586" t="s">
        <v>3411</v>
      </c>
      <c r="F150" s="675">
        <v>4.1797399999999998E-2</v>
      </c>
      <c r="G150" s="676">
        <v>3463.0023344000001</v>
      </c>
      <c r="H150" s="588">
        <v>487.2</v>
      </c>
      <c r="I150" s="587" t="s">
        <v>601</v>
      </c>
      <c r="J150" s="585">
        <v>2</v>
      </c>
      <c r="K150" s="585" t="s">
        <v>3437</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4544</v>
      </c>
      <c r="C151" s="585">
        <v>137</v>
      </c>
      <c r="D151" s="629" t="s">
        <v>2287</v>
      </c>
      <c r="E151" s="586" t="s">
        <v>4555</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3526</v>
      </c>
      <c r="C152" s="585">
        <v>138</v>
      </c>
      <c r="D152" s="629" t="s">
        <v>2287</v>
      </c>
      <c r="E152" s="586" t="s">
        <v>3700</v>
      </c>
      <c r="F152" s="675">
        <v>3.1363000000000002E-2</v>
      </c>
      <c r="G152" s="676">
        <v>7453.37</v>
      </c>
      <c r="H152" s="588">
        <v>487.2</v>
      </c>
      <c r="I152" s="587" t="s">
        <v>3791</v>
      </c>
      <c r="J152" s="585">
        <v>3</v>
      </c>
      <c r="K152" s="585" t="s">
        <v>3612</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4520</v>
      </c>
      <c r="C153" s="585">
        <v>139</v>
      </c>
      <c r="D153" s="629" t="s">
        <v>2287</v>
      </c>
      <c r="E153" s="586" t="s">
        <v>4526</v>
      </c>
      <c r="F153" s="675">
        <v>6.2130299999999999E-2</v>
      </c>
      <c r="G153" s="676">
        <v>3463.0023344000001</v>
      </c>
      <c r="H153" s="588">
        <v>487.2</v>
      </c>
      <c r="I153" s="587" t="s">
        <v>601</v>
      </c>
      <c r="J153" s="585">
        <v>2</v>
      </c>
      <c r="K153" s="585" t="s">
        <v>4532</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4521</v>
      </c>
      <c r="C154" s="585">
        <v>140</v>
      </c>
      <c r="D154" s="629" t="s">
        <v>2287</v>
      </c>
      <c r="E154" s="586" t="s">
        <v>4527</v>
      </c>
      <c r="F154" s="675">
        <v>6.2130299999999999E-2</v>
      </c>
      <c r="G154" s="676">
        <v>3463.0023344000001</v>
      </c>
      <c r="H154" s="588">
        <v>487.2</v>
      </c>
      <c r="I154" s="587" t="s">
        <v>601</v>
      </c>
      <c r="J154" s="585">
        <v>2</v>
      </c>
      <c r="K154" s="585" t="s">
        <v>4533</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4463</v>
      </c>
      <c r="C155" s="585">
        <v>141</v>
      </c>
      <c r="D155" s="629" t="s">
        <v>2287</v>
      </c>
      <c r="E155" s="586" t="s">
        <v>4467</v>
      </c>
      <c r="F155" s="675">
        <v>6.2130299999999999E-2</v>
      </c>
      <c r="G155" s="676">
        <v>3463.0023344000001</v>
      </c>
      <c r="H155" s="588">
        <v>487.2</v>
      </c>
      <c r="I155" s="587" t="s">
        <v>601</v>
      </c>
      <c r="J155" s="585">
        <v>2</v>
      </c>
      <c r="K155" s="585" t="s">
        <v>4471</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4464</v>
      </c>
      <c r="C156" s="585">
        <v>142</v>
      </c>
      <c r="D156" s="629" t="s">
        <v>2287</v>
      </c>
      <c r="E156" s="586" t="s">
        <v>4468</v>
      </c>
      <c r="F156" s="675">
        <v>6.2130299999999999E-2</v>
      </c>
      <c r="G156" s="676">
        <v>3463.0023344000001</v>
      </c>
      <c r="H156" s="588">
        <v>487.2</v>
      </c>
      <c r="I156" s="587" t="s">
        <v>601</v>
      </c>
      <c r="J156" s="585">
        <v>2</v>
      </c>
      <c r="K156" s="585" t="s">
        <v>4472</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3527</v>
      </c>
      <c r="C157" s="585">
        <v>143</v>
      </c>
      <c r="D157" s="629" t="s">
        <v>2287</v>
      </c>
      <c r="E157" s="586" t="s">
        <v>3701</v>
      </c>
      <c r="F157" s="675">
        <v>4.2173499999999996E-2</v>
      </c>
      <c r="G157" s="676">
        <v>3463.0023344000001</v>
      </c>
      <c r="H157" s="588">
        <v>487.2</v>
      </c>
      <c r="I157" s="587" t="s">
        <v>601</v>
      </c>
      <c r="J157" s="585">
        <v>2</v>
      </c>
      <c r="K157" s="585" t="s">
        <v>3613</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3528</v>
      </c>
      <c r="C158" s="585">
        <v>144</v>
      </c>
      <c r="D158" s="629" t="s">
        <v>2287</v>
      </c>
      <c r="E158" s="586" t="s">
        <v>3702</v>
      </c>
      <c r="F158" s="675">
        <v>4.1797399999999998E-2</v>
      </c>
      <c r="G158" s="676">
        <v>3463.0023344000001</v>
      </c>
      <c r="H158" s="588">
        <v>487.2</v>
      </c>
      <c r="I158" s="587" t="s">
        <v>601</v>
      </c>
      <c r="J158" s="585">
        <v>2</v>
      </c>
      <c r="K158" s="585" t="s">
        <v>3614</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4453</v>
      </c>
      <c r="C161" s="585">
        <v>147</v>
      </c>
      <c r="D161" s="629" t="s">
        <v>4455</v>
      </c>
      <c r="E161" s="586" t="s">
        <v>2449</v>
      </c>
      <c r="F161" s="675">
        <v>5.1864600000000004E-2</v>
      </c>
      <c r="G161" s="676">
        <v>3463.0023344000001</v>
      </c>
      <c r="H161" s="588">
        <v>487.2</v>
      </c>
      <c r="I161" s="587" t="s">
        <v>601</v>
      </c>
      <c r="J161" s="585">
        <v>2</v>
      </c>
      <c r="K161" s="585" t="s">
        <v>4459</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3529</v>
      </c>
      <c r="C163" s="585">
        <v>149</v>
      </c>
      <c r="D163" s="629" t="s">
        <v>2288</v>
      </c>
      <c r="E163" s="586" t="s">
        <v>3703</v>
      </c>
      <c r="F163" s="675">
        <v>4.1875999999999997E-2</v>
      </c>
      <c r="G163" s="676">
        <v>2538.48</v>
      </c>
      <c r="H163" s="588">
        <v>487.2</v>
      </c>
      <c r="I163" s="587" t="s">
        <v>549</v>
      </c>
      <c r="J163" s="585">
        <v>1</v>
      </c>
      <c r="K163" s="585" t="s">
        <v>3615</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3530</v>
      </c>
      <c r="C164" s="585">
        <v>150</v>
      </c>
      <c r="D164" s="629" t="s">
        <v>2288</v>
      </c>
      <c r="E164" s="586" t="s">
        <v>3704</v>
      </c>
      <c r="F164" s="675">
        <v>4.1875999999999997E-2</v>
      </c>
      <c r="G164" s="676">
        <v>2538.48</v>
      </c>
      <c r="H164" s="588">
        <v>487.2</v>
      </c>
      <c r="I164" s="587" t="s">
        <v>549</v>
      </c>
      <c r="J164" s="585">
        <v>1</v>
      </c>
      <c r="K164" s="585" t="s">
        <v>3616</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3531</v>
      </c>
      <c r="C165" s="585">
        <v>151</v>
      </c>
      <c r="D165" s="629" t="s">
        <v>2288</v>
      </c>
      <c r="E165" s="586" t="s">
        <v>3705</v>
      </c>
      <c r="F165" s="675">
        <v>4.1875999999999997E-2</v>
      </c>
      <c r="G165" s="676">
        <v>2538.48</v>
      </c>
      <c r="H165" s="588">
        <v>487.2</v>
      </c>
      <c r="I165" s="587" t="s">
        <v>549</v>
      </c>
      <c r="J165" s="585">
        <v>1</v>
      </c>
      <c r="K165" s="585" t="s">
        <v>3617</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3532</v>
      </c>
      <c r="C166" s="585">
        <v>152</v>
      </c>
      <c r="D166" s="629" t="s">
        <v>2288</v>
      </c>
      <c r="E166" s="586" t="s">
        <v>3706</v>
      </c>
      <c r="F166" s="675">
        <v>4.1875999999999997E-2</v>
      </c>
      <c r="G166" s="676">
        <v>2538.48</v>
      </c>
      <c r="H166" s="588">
        <v>487.2</v>
      </c>
      <c r="I166" s="587" t="s">
        <v>549</v>
      </c>
      <c r="J166" s="585">
        <v>1</v>
      </c>
      <c r="K166" s="585" t="s">
        <v>3618</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3533</v>
      </c>
      <c r="C167" s="585">
        <v>153</v>
      </c>
      <c r="D167" s="629" t="s">
        <v>2288</v>
      </c>
      <c r="E167" s="586" t="s">
        <v>3707</v>
      </c>
      <c r="F167" s="675">
        <v>4.1875999999999997E-2</v>
      </c>
      <c r="G167" s="676">
        <v>2538.48</v>
      </c>
      <c r="H167" s="588">
        <v>487.2</v>
      </c>
      <c r="I167" s="587" t="s">
        <v>549</v>
      </c>
      <c r="J167" s="585">
        <v>1</v>
      </c>
      <c r="K167" s="585" t="s">
        <v>3619</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3534</v>
      </c>
      <c r="C170" s="585">
        <v>156</v>
      </c>
      <c r="D170" s="629" t="s">
        <v>2288</v>
      </c>
      <c r="E170" s="586" t="s">
        <v>3708</v>
      </c>
      <c r="F170" s="675">
        <v>3.1363000000000002E-2</v>
      </c>
      <c r="G170" s="676">
        <v>7453.37</v>
      </c>
      <c r="H170" s="588">
        <v>487.2</v>
      </c>
      <c r="I170" s="587" t="s">
        <v>3791</v>
      </c>
      <c r="J170" s="585">
        <v>3</v>
      </c>
      <c r="K170" s="585" t="s">
        <v>3620</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3535</v>
      </c>
      <c r="C171" s="585">
        <v>157</v>
      </c>
      <c r="D171" s="629" t="s">
        <v>2288</v>
      </c>
      <c r="E171" s="586" t="s">
        <v>3709</v>
      </c>
      <c r="F171" s="675">
        <v>4.5495799999999996E-2</v>
      </c>
      <c r="G171" s="676">
        <v>2538.48</v>
      </c>
      <c r="H171" s="588">
        <v>487.2</v>
      </c>
      <c r="I171" s="587" t="s">
        <v>549</v>
      </c>
      <c r="J171" s="585">
        <v>1</v>
      </c>
      <c r="K171" s="585" t="s">
        <v>3621</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3536</v>
      </c>
      <c r="C172" s="585">
        <v>158</v>
      </c>
      <c r="D172" s="629" t="s">
        <v>2288</v>
      </c>
      <c r="E172" s="586" t="s">
        <v>3710</v>
      </c>
      <c r="F172" s="675">
        <v>5.4547999999999999E-2</v>
      </c>
      <c r="G172" s="676">
        <v>3463.0023344000001</v>
      </c>
      <c r="H172" s="588">
        <v>487.2</v>
      </c>
      <c r="I172" s="587" t="s">
        <v>601</v>
      </c>
      <c r="J172" s="585">
        <v>2</v>
      </c>
      <c r="K172" s="585" t="s">
        <v>3622</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3537</v>
      </c>
      <c r="C173" s="585">
        <v>159</v>
      </c>
      <c r="D173" s="629" t="s">
        <v>2288</v>
      </c>
      <c r="E173" s="586" t="s">
        <v>3711</v>
      </c>
      <c r="F173" s="675">
        <v>3.1363000000000002E-2</v>
      </c>
      <c r="G173" s="676">
        <v>7453.37</v>
      </c>
      <c r="H173" s="588">
        <v>487.2</v>
      </c>
      <c r="I173" s="587" t="s">
        <v>3791</v>
      </c>
      <c r="J173" s="585">
        <v>3</v>
      </c>
      <c r="K173" s="585" t="s">
        <v>3623</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4439</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3312</v>
      </c>
      <c r="C197" s="585">
        <v>183</v>
      </c>
      <c r="D197" s="629" t="s">
        <v>2290</v>
      </c>
      <c r="E197" s="586" t="s">
        <v>3331</v>
      </c>
      <c r="F197" s="675">
        <v>3.4903099999999999E-2</v>
      </c>
      <c r="G197" s="676">
        <v>2538.48</v>
      </c>
      <c r="H197" s="588">
        <v>487.2</v>
      </c>
      <c r="I197" s="587" t="s">
        <v>549</v>
      </c>
      <c r="J197" s="585">
        <v>1</v>
      </c>
      <c r="K197" s="585" t="s">
        <v>3319</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3538</v>
      </c>
      <c r="C198" s="585">
        <v>184</v>
      </c>
      <c r="D198" s="629" t="s">
        <v>3712</v>
      </c>
      <c r="E198" s="586" t="s">
        <v>3713</v>
      </c>
      <c r="F198" s="675">
        <v>3.4204199999999997E-2</v>
      </c>
      <c r="G198" s="676">
        <v>2538.48</v>
      </c>
      <c r="H198" s="588">
        <v>487.2</v>
      </c>
      <c r="I198" s="587" t="s">
        <v>549</v>
      </c>
      <c r="J198" s="585">
        <v>1</v>
      </c>
      <c r="K198" s="585" t="s">
        <v>3624</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3539</v>
      </c>
      <c r="C199" s="585">
        <v>185</v>
      </c>
      <c r="D199" s="629" t="s">
        <v>3712</v>
      </c>
      <c r="E199" s="586" t="s">
        <v>3714</v>
      </c>
      <c r="F199" s="675">
        <v>3.4204199999999997E-2</v>
      </c>
      <c r="G199" s="676">
        <v>2538.48</v>
      </c>
      <c r="H199" s="588">
        <v>487.2</v>
      </c>
      <c r="I199" s="587" t="s">
        <v>549</v>
      </c>
      <c r="J199" s="585">
        <v>1</v>
      </c>
      <c r="K199" s="585" t="s">
        <v>3625</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3540</v>
      </c>
      <c r="C200" s="585">
        <v>186</v>
      </c>
      <c r="D200" s="629" t="s">
        <v>3712</v>
      </c>
      <c r="E200" s="586" t="s">
        <v>3715</v>
      </c>
      <c r="F200" s="675">
        <v>4.98392E-2</v>
      </c>
      <c r="G200" s="676">
        <v>3463.0023344000001</v>
      </c>
      <c r="H200" s="588">
        <v>487.2</v>
      </c>
      <c r="I200" s="587" t="s">
        <v>601</v>
      </c>
      <c r="J200" s="585">
        <v>2</v>
      </c>
      <c r="K200" s="585" t="s">
        <v>3626</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3541</v>
      </c>
      <c r="C201" s="585">
        <v>187</v>
      </c>
      <c r="D201" s="629" t="s">
        <v>3712</v>
      </c>
      <c r="E201" s="586" t="s">
        <v>3716</v>
      </c>
      <c r="F201" s="675">
        <v>4.5890199999999999E-2</v>
      </c>
      <c r="G201" s="676">
        <v>2538.48</v>
      </c>
      <c r="H201" s="588">
        <v>487.2</v>
      </c>
      <c r="I201" s="587" t="s">
        <v>549</v>
      </c>
      <c r="J201" s="585">
        <v>1</v>
      </c>
      <c r="K201" s="585" t="s">
        <v>3627</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3542</v>
      </c>
      <c r="C202" s="585">
        <v>188</v>
      </c>
      <c r="D202" s="629" t="s">
        <v>3712</v>
      </c>
      <c r="E202" s="586" t="s">
        <v>3717</v>
      </c>
      <c r="F202" s="675">
        <v>5.0835400000000003E-2</v>
      </c>
      <c r="G202" s="676">
        <v>2538.48</v>
      </c>
      <c r="H202" s="588">
        <v>487.2</v>
      </c>
      <c r="I202" s="587" t="s">
        <v>549</v>
      </c>
      <c r="J202" s="585">
        <v>1</v>
      </c>
      <c r="K202" s="585" t="s">
        <v>3628</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3543</v>
      </c>
      <c r="C203" s="585">
        <v>189</v>
      </c>
      <c r="D203" s="629" t="s">
        <v>3712</v>
      </c>
      <c r="E203" s="586" t="s">
        <v>3718</v>
      </c>
      <c r="F203" s="675">
        <v>5.3913900000000001E-2</v>
      </c>
      <c r="G203" s="676">
        <v>2538.48</v>
      </c>
      <c r="H203" s="588">
        <v>487.2</v>
      </c>
      <c r="I203" s="587" t="s">
        <v>549</v>
      </c>
      <c r="J203" s="585">
        <v>1</v>
      </c>
      <c r="K203" s="585" t="s">
        <v>3629</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3544</v>
      </c>
      <c r="C204" s="585">
        <v>190</v>
      </c>
      <c r="D204" s="629" t="s">
        <v>3712</v>
      </c>
      <c r="E204" s="586" t="s">
        <v>3719</v>
      </c>
      <c r="F204" s="675">
        <v>5.4598800000000003E-2</v>
      </c>
      <c r="G204" s="676">
        <v>2538.48</v>
      </c>
      <c r="H204" s="588">
        <v>487.2</v>
      </c>
      <c r="I204" s="587" t="s">
        <v>549</v>
      </c>
      <c r="J204" s="585">
        <v>1</v>
      </c>
      <c r="K204" s="585" t="s">
        <v>3630</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3545</v>
      </c>
      <c r="C205" s="585">
        <v>191</v>
      </c>
      <c r="D205" s="629" t="s">
        <v>3712</v>
      </c>
      <c r="E205" s="586" t="s">
        <v>3720</v>
      </c>
      <c r="F205" s="675">
        <v>4.4738499999999994E-2</v>
      </c>
      <c r="G205" s="676">
        <v>2538.48</v>
      </c>
      <c r="H205" s="588">
        <v>487.2</v>
      </c>
      <c r="I205" s="587" t="s">
        <v>549</v>
      </c>
      <c r="J205" s="585">
        <v>1</v>
      </c>
      <c r="K205" s="585" t="s">
        <v>3631</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3546</v>
      </c>
      <c r="C206" s="585">
        <v>192</v>
      </c>
      <c r="D206" s="629" t="s">
        <v>3712</v>
      </c>
      <c r="E206" s="586" t="s">
        <v>3721</v>
      </c>
      <c r="F206" s="675">
        <v>4.7998700000000005E-2</v>
      </c>
      <c r="G206" s="676">
        <v>3463.0023344000001</v>
      </c>
      <c r="H206" s="588">
        <v>487.2</v>
      </c>
      <c r="I206" s="587" t="s">
        <v>601</v>
      </c>
      <c r="J206" s="585">
        <v>2</v>
      </c>
      <c r="K206" s="585" t="s">
        <v>3632</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5131</v>
      </c>
      <c r="C207" s="585">
        <v>193</v>
      </c>
      <c r="D207" s="629" t="s">
        <v>3712</v>
      </c>
      <c r="E207" s="586" t="s">
        <v>5143</v>
      </c>
      <c r="F207" s="675">
        <v>4.73815E-2</v>
      </c>
      <c r="G207" s="676">
        <v>3463.0023344000001</v>
      </c>
      <c r="H207" s="588">
        <v>487.2</v>
      </c>
      <c r="I207" s="587" t="s">
        <v>601</v>
      </c>
      <c r="J207" s="585">
        <v>2</v>
      </c>
      <c r="K207" s="585" t="s">
        <v>5155</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3547</v>
      </c>
      <c r="C208" s="585">
        <v>194</v>
      </c>
      <c r="D208" s="629" t="s">
        <v>3712</v>
      </c>
      <c r="E208" s="586" t="s">
        <v>3722</v>
      </c>
      <c r="F208" s="675">
        <v>4.3541200000000002E-2</v>
      </c>
      <c r="G208" s="676">
        <v>2538.48</v>
      </c>
      <c r="H208" s="588">
        <v>487.2</v>
      </c>
      <c r="I208" s="587" t="s">
        <v>549</v>
      </c>
      <c r="J208" s="585">
        <v>1</v>
      </c>
      <c r="K208" s="585" t="s">
        <v>3633</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3548</v>
      </c>
      <c r="C209" s="585">
        <v>195</v>
      </c>
      <c r="D209" s="629" t="s">
        <v>3712</v>
      </c>
      <c r="E209" s="586" t="s">
        <v>3723</v>
      </c>
      <c r="F209" s="675">
        <v>4.2483599999999996E-2</v>
      </c>
      <c r="G209" s="676">
        <v>2538.48</v>
      </c>
      <c r="H209" s="588">
        <v>487.2</v>
      </c>
      <c r="I209" s="587" t="s">
        <v>549</v>
      </c>
      <c r="J209" s="585">
        <v>1</v>
      </c>
      <c r="K209" s="585" t="s">
        <v>3634</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3549</v>
      </c>
      <c r="C210" s="585">
        <v>196</v>
      </c>
      <c r="D210" s="629" t="s">
        <v>3712</v>
      </c>
      <c r="E210" s="586" t="s">
        <v>3724</v>
      </c>
      <c r="F210" s="675">
        <v>4.761E-2</v>
      </c>
      <c r="G210" s="676">
        <v>2538.48</v>
      </c>
      <c r="H210" s="588">
        <v>487.2</v>
      </c>
      <c r="I210" s="587" t="s">
        <v>549</v>
      </c>
      <c r="J210" s="585">
        <v>1</v>
      </c>
      <c r="K210" s="585" t="s">
        <v>3635</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3550</v>
      </c>
      <c r="C211" s="585">
        <v>197</v>
      </c>
      <c r="D211" s="629" t="s">
        <v>3712</v>
      </c>
      <c r="E211" s="586" t="s">
        <v>3725</v>
      </c>
      <c r="F211" s="675">
        <v>4.22072E-2</v>
      </c>
      <c r="G211" s="676">
        <v>2538.48</v>
      </c>
      <c r="H211" s="588">
        <v>487.2</v>
      </c>
      <c r="I211" s="587" t="s">
        <v>549</v>
      </c>
      <c r="J211" s="585">
        <v>1</v>
      </c>
      <c r="K211" s="585" t="s">
        <v>3636</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3551</v>
      </c>
      <c r="C212" s="585">
        <v>198</v>
      </c>
      <c r="D212" s="629" t="s">
        <v>3712</v>
      </c>
      <c r="E212" s="586" t="s">
        <v>3726</v>
      </c>
      <c r="F212" s="675">
        <v>5.13751E-2</v>
      </c>
      <c r="G212" s="676">
        <v>2538.48</v>
      </c>
      <c r="H212" s="588">
        <v>487.2</v>
      </c>
      <c r="I212" s="587" t="s">
        <v>549</v>
      </c>
      <c r="J212" s="585">
        <v>1</v>
      </c>
      <c r="K212" s="585" t="s">
        <v>3637</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4545</v>
      </c>
      <c r="C213" s="585">
        <v>199</v>
      </c>
      <c r="D213" s="629" t="s">
        <v>3712</v>
      </c>
      <c r="E213" s="586" t="s">
        <v>4556</v>
      </c>
      <c r="F213" s="675">
        <v>4.4601699999999994E-2</v>
      </c>
      <c r="G213" s="676">
        <v>2538.48</v>
      </c>
      <c r="H213" s="588">
        <v>487.2</v>
      </c>
      <c r="I213" s="587" t="s">
        <v>549</v>
      </c>
      <c r="J213" s="585">
        <v>1</v>
      </c>
      <c r="K213" s="585" t="s">
        <v>4327</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4546</v>
      </c>
      <c r="C214" s="585">
        <v>200</v>
      </c>
      <c r="D214" s="629" t="s">
        <v>3712</v>
      </c>
      <c r="E214" s="586" t="s">
        <v>4557</v>
      </c>
      <c r="F214" s="675">
        <v>4.7998700000000005E-2</v>
      </c>
      <c r="G214" s="676">
        <v>3463.0023344000001</v>
      </c>
      <c r="H214" s="588">
        <v>487.2</v>
      </c>
      <c r="I214" s="587" t="s">
        <v>601</v>
      </c>
      <c r="J214" s="585">
        <v>2</v>
      </c>
      <c r="K214" s="585" t="s">
        <v>4566</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3552</v>
      </c>
      <c r="C215" s="585">
        <v>201</v>
      </c>
      <c r="D215" s="629" t="s">
        <v>3712</v>
      </c>
      <c r="E215" s="586" t="s">
        <v>3727</v>
      </c>
      <c r="F215" s="675">
        <v>5.6226599999999995E-2</v>
      </c>
      <c r="G215" s="676">
        <v>2538.48</v>
      </c>
      <c r="H215" s="588">
        <v>487.2</v>
      </c>
      <c r="I215" s="587" t="s">
        <v>549</v>
      </c>
      <c r="J215" s="585">
        <v>1</v>
      </c>
      <c r="K215" s="585" t="s">
        <v>3638</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3553</v>
      </c>
      <c r="C216" s="585">
        <v>202</v>
      </c>
      <c r="D216" s="629" t="s">
        <v>3712</v>
      </c>
      <c r="E216" s="586" t="s">
        <v>3728</v>
      </c>
      <c r="F216" s="675">
        <v>4.7143199999999996E-2</v>
      </c>
      <c r="G216" s="676">
        <v>2538.48</v>
      </c>
      <c r="H216" s="588">
        <v>487.2</v>
      </c>
      <c r="I216" s="587" t="s">
        <v>549</v>
      </c>
      <c r="J216" s="585">
        <v>1</v>
      </c>
      <c r="K216" s="585" t="s">
        <v>3639</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3554</v>
      </c>
      <c r="C217" s="585">
        <v>203</v>
      </c>
      <c r="D217" s="629" t="s">
        <v>3712</v>
      </c>
      <c r="E217" s="586" t="s">
        <v>3729</v>
      </c>
      <c r="F217" s="675">
        <v>6.99848E-2</v>
      </c>
      <c r="G217" s="676">
        <v>2538.48</v>
      </c>
      <c r="H217" s="588">
        <v>487.2</v>
      </c>
      <c r="I217" s="587" t="s">
        <v>549</v>
      </c>
      <c r="J217" s="585">
        <v>1</v>
      </c>
      <c r="K217" s="585" t="s">
        <v>3640</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3555</v>
      </c>
      <c r="C218" s="585">
        <v>204</v>
      </c>
      <c r="D218" s="629" t="s">
        <v>3712</v>
      </c>
      <c r="E218" s="586" t="s">
        <v>3730</v>
      </c>
      <c r="F218" s="675">
        <v>6.99848E-2</v>
      </c>
      <c r="G218" s="676">
        <v>2538.48</v>
      </c>
      <c r="H218" s="588">
        <v>487.2</v>
      </c>
      <c r="I218" s="587" t="s">
        <v>549</v>
      </c>
      <c r="J218" s="585">
        <v>1</v>
      </c>
      <c r="K218" s="585" t="s">
        <v>3641</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3556</v>
      </c>
      <c r="C219" s="585">
        <v>205</v>
      </c>
      <c r="D219" s="629" t="s">
        <v>3712</v>
      </c>
      <c r="E219" s="586" t="s">
        <v>3731</v>
      </c>
      <c r="F219" s="675">
        <v>4.73815E-2</v>
      </c>
      <c r="G219" s="676">
        <v>3463.0023344000001</v>
      </c>
      <c r="H219" s="588">
        <v>487.2</v>
      </c>
      <c r="I219" s="587" t="s">
        <v>601</v>
      </c>
      <c r="J219" s="585">
        <v>2</v>
      </c>
      <c r="K219" s="585" t="s">
        <v>3642</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3557</v>
      </c>
      <c r="C220" s="585">
        <v>206</v>
      </c>
      <c r="D220" s="629" t="s">
        <v>3712</v>
      </c>
      <c r="E220" s="586" t="s">
        <v>2444</v>
      </c>
      <c r="F220" s="675">
        <v>4.7998700000000005E-2</v>
      </c>
      <c r="G220" s="676">
        <v>3463.0023344000001</v>
      </c>
      <c r="H220" s="588">
        <v>487.2</v>
      </c>
      <c r="I220" s="587" t="s">
        <v>601</v>
      </c>
      <c r="J220" s="585">
        <v>2</v>
      </c>
      <c r="K220" s="585" t="s">
        <v>3643</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3558</v>
      </c>
      <c r="C221" s="585">
        <v>207</v>
      </c>
      <c r="D221" s="629" t="s">
        <v>3712</v>
      </c>
      <c r="E221" s="586" t="s">
        <v>3732</v>
      </c>
      <c r="F221" s="675">
        <v>4.73815E-2</v>
      </c>
      <c r="G221" s="676">
        <v>3463.0023344000001</v>
      </c>
      <c r="H221" s="588">
        <v>487.2</v>
      </c>
      <c r="I221" s="587" t="s">
        <v>601</v>
      </c>
      <c r="J221" s="585">
        <v>2</v>
      </c>
      <c r="K221" s="585" t="s">
        <v>3644</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3559</v>
      </c>
      <c r="C222" s="585">
        <v>208</v>
      </c>
      <c r="D222" s="629" t="s">
        <v>3712</v>
      </c>
      <c r="E222" s="586" t="s">
        <v>3733</v>
      </c>
      <c r="F222" s="675">
        <v>4.73815E-2</v>
      </c>
      <c r="G222" s="676">
        <v>3463.0023344000001</v>
      </c>
      <c r="H222" s="588">
        <v>487.2</v>
      </c>
      <c r="I222" s="587" t="s">
        <v>601</v>
      </c>
      <c r="J222" s="585">
        <v>2</v>
      </c>
      <c r="K222" s="585" t="s">
        <v>3645</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3560</v>
      </c>
      <c r="C223" s="585">
        <v>209</v>
      </c>
      <c r="D223" s="629" t="s">
        <v>3712</v>
      </c>
      <c r="E223" s="586" t="s">
        <v>3734</v>
      </c>
      <c r="F223" s="675">
        <v>4.73815E-2</v>
      </c>
      <c r="G223" s="676">
        <v>3463.0023344000001</v>
      </c>
      <c r="H223" s="588">
        <v>487.2</v>
      </c>
      <c r="I223" s="587" t="s">
        <v>601</v>
      </c>
      <c r="J223" s="585">
        <v>2</v>
      </c>
      <c r="K223" s="585" t="s">
        <v>3646</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3561</v>
      </c>
      <c r="C224" s="585">
        <v>210</v>
      </c>
      <c r="D224" s="629" t="s">
        <v>3712</v>
      </c>
      <c r="E224" s="586" t="s">
        <v>3735</v>
      </c>
      <c r="F224" s="675">
        <v>4.3264899999999995E-2</v>
      </c>
      <c r="G224" s="676">
        <v>3463.0023344000001</v>
      </c>
      <c r="H224" s="588">
        <v>487.2</v>
      </c>
      <c r="I224" s="587" t="s">
        <v>601</v>
      </c>
      <c r="J224" s="585">
        <v>2</v>
      </c>
      <c r="K224" s="585" t="s">
        <v>3647</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3562</v>
      </c>
      <c r="C225" s="585">
        <v>211</v>
      </c>
      <c r="D225" s="629" t="s">
        <v>3712</v>
      </c>
      <c r="E225" s="586" t="s">
        <v>3736</v>
      </c>
      <c r="F225" s="675">
        <v>4.73815E-2</v>
      </c>
      <c r="G225" s="676">
        <v>3463.0023344000001</v>
      </c>
      <c r="H225" s="588">
        <v>487.2</v>
      </c>
      <c r="I225" s="587" t="s">
        <v>601</v>
      </c>
      <c r="J225" s="585">
        <v>2</v>
      </c>
      <c r="K225" s="585" t="s">
        <v>3648</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3563</v>
      </c>
      <c r="C226" s="585">
        <v>212</v>
      </c>
      <c r="D226" s="629" t="s">
        <v>3712</v>
      </c>
      <c r="E226" s="586" t="s">
        <v>3737</v>
      </c>
      <c r="F226" s="675">
        <v>4.3264899999999995E-2</v>
      </c>
      <c r="G226" s="676">
        <v>3463.0023344000001</v>
      </c>
      <c r="H226" s="588">
        <v>487.2</v>
      </c>
      <c r="I226" s="587" t="s">
        <v>601</v>
      </c>
      <c r="J226" s="585">
        <v>2</v>
      </c>
      <c r="K226" s="585" t="s">
        <v>3649</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3564</v>
      </c>
      <c r="C227" s="585">
        <v>213</v>
      </c>
      <c r="D227" s="629" t="s">
        <v>3712</v>
      </c>
      <c r="E227" s="586" t="s">
        <v>3738</v>
      </c>
      <c r="F227" s="675">
        <v>4.3264899999999995E-2</v>
      </c>
      <c r="G227" s="676">
        <v>3463.0023344000001</v>
      </c>
      <c r="H227" s="588">
        <v>487.2</v>
      </c>
      <c r="I227" s="587" t="s">
        <v>601</v>
      </c>
      <c r="J227" s="585">
        <v>2</v>
      </c>
      <c r="K227" s="585" t="s">
        <v>3650</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3565</v>
      </c>
      <c r="C228" s="585">
        <v>214</v>
      </c>
      <c r="D228" s="629" t="s">
        <v>3712</v>
      </c>
      <c r="E228" s="586" t="s">
        <v>3739</v>
      </c>
      <c r="F228" s="675">
        <v>5.0015700000000003E-2</v>
      </c>
      <c r="G228" s="676">
        <v>3463.0023344000001</v>
      </c>
      <c r="H228" s="588">
        <v>487.2</v>
      </c>
      <c r="I228" s="587" t="s">
        <v>601</v>
      </c>
      <c r="J228" s="585">
        <v>2</v>
      </c>
      <c r="K228" s="585" t="s">
        <v>3651</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3566</v>
      </c>
      <c r="C229" s="585">
        <v>215</v>
      </c>
      <c r="D229" s="629" t="s">
        <v>3712</v>
      </c>
      <c r="E229" s="586" t="s">
        <v>3740</v>
      </c>
      <c r="F229" s="675">
        <v>5.0015700000000003E-2</v>
      </c>
      <c r="G229" s="676">
        <v>3463.0023344000001</v>
      </c>
      <c r="H229" s="588">
        <v>487.2</v>
      </c>
      <c r="I229" s="587" t="s">
        <v>601</v>
      </c>
      <c r="J229" s="585">
        <v>2</v>
      </c>
      <c r="K229" s="585" t="s">
        <v>3652</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3567</v>
      </c>
      <c r="C230" s="585">
        <v>216</v>
      </c>
      <c r="D230" s="629" t="s">
        <v>3712</v>
      </c>
      <c r="E230" s="586" t="s">
        <v>3741</v>
      </c>
      <c r="F230" s="675">
        <v>5.0015700000000003E-2</v>
      </c>
      <c r="G230" s="676">
        <v>3463.0023344000001</v>
      </c>
      <c r="H230" s="588">
        <v>487.2</v>
      </c>
      <c r="I230" s="587" t="s">
        <v>601</v>
      </c>
      <c r="J230" s="585">
        <v>2</v>
      </c>
      <c r="K230" s="585" t="s">
        <v>3653</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3568</v>
      </c>
      <c r="C231" s="585">
        <v>217</v>
      </c>
      <c r="D231" s="629" t="s">
        <v>3712</v>
      </c>
      <c r="E231" s="586" t="s">
        <v>3742</v>
      </c>
      <c r="F231" s="675">
        <v>4.7998700000000005E-2</v>
      </c>
      <c r="G231" s="676">
        <v>3463.0023344000001</v>
      </c>
      <c r="H231" s="588">
        <v>487.2</v>
      </c>
      <c r="I231" s="587" t="s">
        <v>601</v>
      </c>
      <c r="J231" s="585">
        <v>2</v>
      </c>
      <c r="K231" s="585" t="s">
        <v>3654</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3569</v>
      </c>
      <c r="C232" s="585">
        <v>218</v>
      </c>
      <c r="D232" s="629" t="s">
        <v>3712</v>
      </c>
      <c r="E232" s="586" t="s">
        <v>2445</v>
      </c>
      <c r="F232" s="675">
        <v>4.73815E-2</v>
      </c>
      <c r="G232" s="676">
        <v>3463.0023344000001</v>
      </c>
      <c r="H232" s="588">
        <v>487.2</v>
      </c>
      <c r="I232" s="587" t="s">
        <v>601</v>
      </c>
      <c r="J232" s="585">
        <v>2</v>
      </c>
      <c r="K232" s="585" t="s">
        <v>3655</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3570</v>
      </c>
      <c r="C233" s="585">
        <v>219</v>
      </c>
      <c r="D233" s="629" t="s">
        <v>3712</v>
      </c>
      <c r="E233" s="586" t="s">
        <v>3743</v>
      </c>
      <c r="F233" s="675">
        <v>4.7998700000000005E-2</v>
      </c>
      <c r="G233" s="676">
        <v>3463.0023344000001</v>
      </c>
      <c r="H233" s="588">
        <v>487.2</v>
      </c>
      <c r="I233" s="587" t="s">
        <v>601</v>
      </c>
      <c r="J233" s="585">
        <v>2</v>
      </c>
      <c r="K233" s="585" t="s">
        <v>3656</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3571</v>
      </c>
      <c r="C234" s="585">
        <v>220</v>
      </c>
      <c r="D234" s="629" t="s">
        <v>3712</v>
      </c>
      <c r="E234" s="586" t="s">
        <v>3744</v>
      </c>
      <c r="F234" s="675">
        <v>4.7998700000000005E-2</v>
      </c>
      <c r="G234" s="676">
        <v>3463.0023344000001</v>
      </c>
      <c r="H234" s="588">
        <v>487.2</v>
      </c>
      <c r="I234" s="587" t="s">
        <v>601</v>
      </c>
      <c r="J234" s="585">
        <v>2</v>
      </c>
      <c r="K234" s="585" t="s">
        <v>3657</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3572</v>
      </c>
      <c r="C235" s="585">
        <v>221</v>
      </c>
      <c r="D235" s="629" t="s">
        <v>3712</v>
      </c>
      <c r="E235" s="586" t="s">
        <v>3745</v>
      </c>
      <c r="F235" s="675">
        <v>4.7998700000000005E-2</v>
      </c>
      <c r="G235" s="676">
        <v>3463.0023344000001</v>
      </c>
      <c r="H235" s="588">
        <v>487.2</v>
      </c>
      <c r="I235" s="587" t="s">
        <v>601</v>
      </c>
      <c r="J235" s="585">
        <v>2</v>
      </c>
      <c r="K235" s="585" t="s">
        <v>3658</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3573</v>
      </c>
      <c r="C236" s="585">
        <v>222</v>
      </c>
      <c r="D236" s="629" t="s">
        <v>3712</v>
      </c>
      <c r="E236" s="586" t="s">
        <v>3746</v>
      </c>
      <c r="F236" s="675">
        <v>4.7998700000000005E-2</v>
      </c>
      <c r="G236" s="676">
        <v>3463.0023344000001</v>
      </c>
      <c r="H236" s="588">
        <v>487.2</v>
      </c>
      <c r="I236" s="587" t="s">
        <v>601</v>
      </c>
      <c r="J236" s="585">
        <v>2</v>
      </c>
      <c r="K236" s="585" t="s">
        <v>3659</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3574</v>
      </c>
      <c r="C237" s="585">
        <v>223</v>
      </c>
      <c r="D237" s="629" t="s">
        <v>3712</v>
      </c>
      <c r="E237" s="586" t="s">
        <v>3747</v>
      </c>
      <c r="F237" s="675">
        <v>4.7998700000000005E-2</v>
      </c>
      <c r="G237" s="676">
        <v>3463.0023344000001</v>
      </c>
      <c r="H237" s="588">
        <v>487.2</v>
      </c>
      <c r="I237" s="587" t="s">
        <v>601</v>
      </c>
      <c r="J237" s="585">
        <v>2</v>
      </c>
      <c r="K237" s="585" t="s">
        <v>3660</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3575</v>
      </c>
      <c r="C238" s="585">
        <v>224</v>
      </c>
      <c r="D238" s="629" t="s">
        <v>3712</v>
      </c>
      <c r="E238" s="586" t="s">
        <v>3748</v>
      </c>
      <c r="F238" s="675">
        <v>4.7998700000000005E-2</v>
      </c>
      <c r="G238" s="676">
        <v>3463.0023344000001</v>
      </c>
      <c r="H238" s="588">
        <v>487.2</v>
      </c>
      <c r="I238" s="587" t="s">
        <v>601</v>
      </c>
      <c r="J238" s="585">
        <v>2</v>
      </c>
      <c r="K238" s="585" t="s">
        <v>3661</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3576</v>
      </c>
      <c r="C239" s="585">
        <v>225</v>
      </c>
      <c r="D239" s="629" t="s">
        <v>3712</v>
      </c>
      <c r="E239" s="586" t="s">
        <v>3749</v>
      </c>
      <c r="F239" s="675">
        <v>4.7998700000000005E-2</v>
      </c>
      <c r="G239" s="676">
        <v>3463.0023344000001</v>
      </c>
      <c r="H239" s="588">
        <v>487.2</v>
      </c>
      <c r="I239" s="587" t="s">
        <v>601</v>
      </c>
      <c r="J239" s="585">
        <v>2</v>
      </c>
      <c r="K239" s="585" t="s">
        <v>3662</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4325</v>
      </c>
      <c r="C240" s="585">
        <v>226</v>
      </c>
      <c r="D240" s="629" t="s">
        <v>3712</v>
      </c>
      <c r="E240" s="586" t="s">
        <v>4326</v>
      </c>
      <c r="F240" s="675">
        <v>4.4601699999999994E-2</v>
      </c>
      <c r="G240" s="676">
        <v>2538.48</v>
      </c>
      <c r="H240" s="588">
        <v>487.2</v>
      </c>
      <c r="I240" s="587" t="s">
        <v>549</v>
      </c>
      <c r="J240" s="585">
        <v>1</v>
      </c>
      <c r="K240" s="585" t="s">
        <v>4327</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3577</v>
      </c>
      <c r="C241" s="585">
        <v>227</v>
      </c>
      <c r="D241" s="629" t="s">
        <v>3712</v>
      </c>
      <c r="E241" s="586" t="s">
        <v>3750</v>
      </c>
      <c r="F241" s="675">
        <v>4.73815E-2</v>
      </c>
      <c r="G241" s="676">
        <v>3463.0023344000001</v>
      </c>
      <c r="H241" s="588">
        <v>487.2</v>
      </c>
      <c r="I241" s="587" t="s">
        <v>601</v>
      </c>
      <c r="J241" s="585">
        <v>2</v>
      </c>
      <c r="K241" s="585" t="s">
        <v>3663</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3578</v>
      </c>
      <c r="C242" s="585">
        <v>228</v>
      </c>
      <c r="D242" s="629" t="s">
        <v>3712</v>
      </c>
      <c r="E242" s="586" t="s">
        <v>3751</v>
      </c>
      <c r="F242" s="675">
        <v>4.00282E-2</v>
      </c>
      <c r="G242" s="676">
        <v>3463.0023344000001</v>
      </c>
      <c r="H242" s="588">
        <v>487.2</v>
      </c>
      <c r="I242" s="587" t="s">
        <v>601</v>
      </c>
      <c r="J242" s="585">
        <v>2</v>
      </c>
      <c r="K242" s="585" t="s">
        <v>3664</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3579</v>
      </c>
      <c r="C243" s="585">
        <v>229</v>
      </c>
      <c r="D243" s="629" t="s">
        <v>3712</v>
      </c>
      <c r="E243" s="586" t="s">
        <v>3752</v>
      </c>
      <c r="F243" s="675">
        <v>4.00282E-2</v>
      </c>
      <c r="G243" s="676">
        <v>3463.0023344000001</v>
      </c>
      <c r="H243" s="588">
        <v>487.2</v>
      </c>
      <c r="I243" s="587" t="s">
        <v>601</v>
      </c>
      <c r="J243" s="585">
        <v>2</v>
      </c>
      <c r="K243" s="585" t="s">
        <v>3665</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3580</v>
      </c>
      <c r="C244" s="585">
        <v>230</v>
      </c>
      <c r="D244" s="629" t="s">
        <v>3712</v>
      </c>
      <c r="E244" s="586" t="s">
        <v>3753</v>
      </c>
      <c r="F244" s="675">
        <v>4.00282E-2</v>
      </c>
      <c r="G244" s="676">
        <v>3463.0023344000001</v>
      </c>
      <c r="H244" s="588">
        <v>487.2</v>
      </c>
      <c r="I244" s="587" t="s">
        <v>601</v>
      </c>
      <c r="J244" s="585">
        <v>2</v>
      </c>
      <c r="K244" s="585" t="s">
        <v>3666</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10407</v>
      </c>
      <c r="C245" s="585">
        <v>231</v>
      </c>
      <c r="D245" s="629" t="s">
        <v>3712</v>
      </c>
      <c r="E245" s="586" t="s">
        <v>10441</v>
      </c>
      <c r="F245" s="675">
        <v>4.0028000000000001E-2</v>
      </c>
      <c r="G245" s="676">
        <v>3463</v>
      </c>
      <c r="H245" s="588">
        <v>487.2</v>
      </c>
      <c r="I245" s="587" t="s">
        <v>601</v>
      </c>
      <c r="J245" s="585">
        <v>2</v>
      </c>
      <c r="K245" s="585" t="s">
        <v>10473</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4547</v>
      </c>
      <c r="C246" s="585">
        <v>232</v>
      </c>
      <c r="D246" s="629" t="s">
        <v>3712</v>
      </c>
      <c r="E246" s="586" t="s">
        <v>4558</v>
      </c>
      <c r="F246" s="675">
        <v>4.60186E-2</v>
      </c>
      <c r="G246" s="676">
        <v>2538.48</v>
      </c>
      <c r="H246" s="588">
        <v>487.2</v>
      </c>
      <c r="I246" s="587" t="s">
        <v>549</v>
      </c>
      <c r="J246" s="585">
        <v>1</v>
      </c>
      <c r="K246" s="585" t="s">
        <v>4567</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3581</v>
      </c>
      <c r="C247" s="585">
        <v>233</v>
      </c>
      <c r="D247" s="629" t="s">
        <v>3712</v>
      </c>
      <c r="E247" s="586" t="s">
        <v>3754</v>
      </c>
      <c r="F247" s="675">
        <v>5.0000499999999996E-2</v>
      </c>
      <c r="G247" s="676">
        <v>3463.0023344000001</v>
      </c>
      <c r="H247" s="588">
        <v>487.2</v>
      </c>
      <c r="I247" s="587" t="s">
        <v>601</v>
      </c>
      <c r="J247" s="585">
        <v>2</v>
      </c>
      <c r="K247" s="585" t="s">
        <v>3667</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3582</v>
      </c>
      <c r="C248" s="585">
        <v>234</v>
      </c>
      <c r="D248" s="629" t="s">
        <v>3712</v>
      </c>
      <c r="E248" s="586" t="s">
        <v>3755</v>
      </c>
      <c r="F248" s="675">
        <v>4.98392E-2</v>
      </c>
      <c r="G248" s="676">
        <v>3463.0023344000001</v>
      </c>
      <c r="H248" s="588">
        <v>487.2</v>
      </c>
      <c r="I248" s="587" t="s">
        <v>601</v>
      </c>
      <c r="J248" s="585">
        <v>2</v>
      </c>
      <c r="K248" s="585" t="s">
        <v>3668</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3583</v>
      </c>
      <c r="C249" s="585">
        <v>235</v>
      </c>
      <c r="D249" s="629" t="s">
        <v>3712</v>
      </c>
      <c r="E249" s="586" t="s">
        <v>3756</v>
      </c>
      <c r="F249" s="675">
        <v>4.6420199999999995E-2</v>
      </c>
      <c r="G249" s="676">
        <v>2538.48</v>
      </c>
      <c r="H249" s="588">
        <v>487.2</v>
      </c>
      <c r="I249" s="587" t="s">
        <v>549</v>
      </c>
      <c r="J249" s="585">
        <v>1</v>
      </c>
      <c r="K249" s="585" t="s">
        <v>3669</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3584</v>
      </c>
      <c r="C250" s="585">
        <v>236</v>
      </c>
      <c r="D250" s="629" t="s">
        <v>3712</v>
      </c>
      <c r="E250" s="586" t="s">
        <v>3757</v>
      </c>
      <c r="F250" s="675">
        <v>4.98392E-2</v>
      </c>
      <c r="G250" s="676">
        <v>3463.0023344000001</v>
      </c>
      <c r="H250" s="588">
        <v>487.2</v>
      </c>
      <c r="I250" s="587" t="s">
        <v>601</v>
      </c>
      <c r="J250" s="585">
        <v>2</v>
      </c>
      <c r="K250" s="585" t="s">
        <v>3670</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3585</v>
      </c>
      <c r="C251" s="585">
        <v>237</v>
      </c>
      <c r="D251" s="629" t="s">
        <v>3712</v>
      </c>
      <c r="E251" s="586" t="s">
        <v>3758</v>
      </c>
      <c r="F251" s="675">
        <v>4.6420199999999995E-2</v>
      </c>
      <c r="G251" s="676">
        <v>2538.48</v>
      </c>
      <c r="H251" s="588">
        <v>487.2</v>
      </c>
      <c r="I251" s="587" t="s">
        <v>549</v>
      </c>
      <c r="J251" s="585">
        <v>1</v>
      </c>
      <c r="K251" s="585" t="s">
        <v>3671</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10408</v>
      </c>
      <c r="C252" s="585">
        <v>238</v>
      </c>
      <c r="D252" s="629" t="s">
        <v>2291</v>
      </c>
      <c r="E252" s="586" t="s">
        <v>10442</v>
      </c>
      <c r="F252" s="675">
        <v>2.8934000000000001E-2</v>
      </c>
      <c r="G252" s="676">
        <v>8154.3127999999997</v>
      </c>
      <c r="H252" s="588">
        <v>487.2</v>
      </c>
      <c r="I252" s="587" t="s">
        <v>3791</v>
      </c>
      <c r="J252" s="585">
        <v>3</v>
      </c>
      <c r="K252" s="585" t="s">
        <v>10474</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10409</v>
      </c>
      <c r="C253" s="585">
        <v>239</v>
      </c>
      <c r="D253" s="629" t="s">
        <v>2291</v>
      </c>
      <c r="E253" s="586" t="s">
        <v>10443</v>
      </c>
      <c r="F253" s="675">
        <v>2.6136E-2</v>
      </c>
      <c r="G253" s="676">
        <v>8691.4159999999993</v>
      </c>
      <c r="H253" s="588">
        <v>487.2</v>
      </c>
      <c r="I253" s="587" t="s">
        <v>3791</v>
      </c>
      <c r="J253" s="585">
        <v>3</v>
      </c>
      <c r="K253" s="585" t="s">
        <v>10475</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3586</v>
      </c>
      <c r="C254" s="585">
        <v>240</v>
      </c>
      <c r="D254" s="629" t="s">
        <v>2291</v>
      </c>
      <c r="E254" s="586" t="s">
        <v>3759</v>
      </c>
      <c r="F254" s="675">
        <v>5.0578399999999996E-2</v>
      </c>
      <c r="G254" s="676">
        <v>3463.0023344000001</v>
      </c>
      <c r="H254" s="588">
        <v>487.2</v>
      </c>
      <c r="I254" s="587" t="s">
        <v>601</v>
      </c>
      <c r="J254" s="585">
        <v>2</v>
      </c>
      <c r="K254" s="585" t="s">
        <v>3672</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3587</v>
      </c>
      <c r="C255" s="585">
        <v>241</v>
      </c>
      <c r="D255" s="629" t="s">
        <v>2291</v>
      </c>
      <c r="E255" s="586" t="s">
        <v>3760</v>
      </c>
      <c r="F255" s="675">
        <v>5.0578399999999996E-2</v>
      </c>
      <c r="G255" s="676">
        <v>3463.0023344000001</v>
      </c>
      <c r="H255" s="588">
        <v>487.2</v>
      </c>
      <c r="I255" s="587" t="s">
        <v>601</v>
      </c>
      <c r="J255" s="585">
        <v>2</v>
      </c>
      <c r="K255" s="585" t="s">
        <v>3673</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3588</v>
      </c>
      <c r="C256" s="585">
        <v>242</v>
      </c>
      <c r="D256" s="629" t="s">
        <v>2291</v>
      </c>
      <c r="E256" s="586" t="s">
        <v>3761</v>
      </c>
      <c r="F256" s="675">
        <v>5.0578399999999996E-2</v>
      </c>
      <c r="G256" s="676">
        <v>3463.0023344000001</v>
      </c>
      <c r="H256" s="588">
        <v>487.2</v>
      </c>
      <c r="I256" s="587" t="s">
        <v>601</v>
      </c>
      <c r="J256" s="585">
        <v>2</v>
      </c>
      <c r="K256" s="585" t="s">
        <v>3674</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4328</v>
      </c>
      <c r="C258" s="585">
        <v>244</v>
      </c>
      <c r="D258" s="629" t="s">
        <v>2291</v>
      </c>
      <c r="E258" s="586" t="s">
        <v>4329</v>
      </c>
      <c r="F258" s="675">
        <v>4.8639700000000001E-2</v>
      </c>
      <c r="G258" s="676">
        <v>3463.0023344000001</v>
      </c>
      <c r="H258" s="588">
        <v>487.2</v>
      </c>
      <c r="I258" s="587" t="s">
        <v>601</v>
      </c>
      <c r="J258" s="585">
        <v>2</v>
      </c>
      <c r="K258" s="585" t="s">
        <v>4330</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3313</v>
      </c>
      <c r="C262" s="585">
        <v>248</v>
      </c>
      <c r="D262" s="629" t="s">
        <v>2291</v>
      </c>
      <c r="E262" s="586" t="s">
        <v>3330</v>
      </c>
      <c r="F262" s="675">
        <v>5.0578399999999996E-2</v>
      </c>
      <c r="G262" s="676">
        <v>3463.0023344000001</v>
      </c>
      <c r="H262" s="588">
        <v>487.2</v>
      </c>
      <c r="I262" s="587" t="s">
        <v>601</v>
      </c>
      <c r="J262" s="585">
        <v>2</v>
      </c>
      <c r="K262" s="585" t="s">
        <v>3320</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5132</v>
      </c>
      <c r="C266" s="585">
        <v>252</v>
      </c>
      <c r="D266" s="629" t="s">
        <v>3762</v>
      </c>
      <c r="E266" s="586" t="s">
        <v>5144</v>
      </c>
      <c r="F266" s="675">
        <v>4.7321000000000002E-2</v>
      </c>
      <c r="G266" s="676">
        <v>11870.23</v>
      </c>
      <c r="H266" s="588">
        <v>487.2</v>
      </c>
      <c r="I266" s="587" t="s">
        <v>3791</v>
      </c>
      <c r="J266" s="585">
        <v>3</v>
      </c>
      <c r="K266" s="585" t="s">
        <v>5156</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10410</v>
      </c>
      <c r="C267" s="585">
        <v>253</v>
      </c>
      <c r="D267" s="629" t="s">
        <v>3762</v>
      </c>
      <c r="E267" s="586" t="s">
        <v>10444</v>
      </c>
      <c r="F267" s="675">
        <v>3.1363000000000002E-2</v>
      </c>
      <c r="G267" s="676">
        <v>7453.37</v>
      </c>
      <c r="H267" s="588">
        <v>487.2</v>
      </c>
      <c r="I267" s="587" t="s">
        <v>3791</v>
      </c>
      <c r="J267" s="585">
        <v>3</v>
      </c>
      <c r="K267" s="585" t="s">
        <v>3675</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4495</v>
      </c>
      <c r="C268" s="585">
        <v>254</v>
      </c>
      <c r="D268" s="629" t="s">
        <v>3762</v>
      </c>
      <c r="E268" s="586" t="s">
        <v>4500</v>
      </c>
      <c r="F268" s="675">
        <v>2.8934000000000001E-2</v>
      </c>
      <c r="G268" s="676">
        <v>8154.31</v>
      </c>
      <c r="H268" s="588">
        <v>487.2</v>
      </c>
      <c r="I268" s="587" t="s">
        <v>3791</v>
      </c>
      <c r="J268" s="585">
        <v>3</v>
      </c>
      <c r="K268" s="585" t="s">
        <v>4505</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10411</v>
      </c>
      <c r="C269" s="585">
        <v>255</v>
      </c>
      <c r="D269" s="629" t="s">
        <v>3762</v>
      </c>
      <c r="E269" s="586" t="s">
        <v>10445</v>
      </c>
      <c r="F269" s="675">
        <v>2.6136E-2</v>
      </c>
      <c r="G269" s="676">
        <v>8691.42</v>
      </c>
      <c r="H269" s="588">
        <v>487.2</v>
      </c>
      <c r="I269" s="587" t="s">
        <v>3791</v>
      </c>
      <c r="J269" s="585">
        <v>3</v>
      </c>
      <c r="K269" s="585" t="s">
        <v>10476</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4331</v>
      </c>
      <c r="C270" s="585">
        <v>256</v>
      </c>
      <c r="D270" s="629" t="s">
        <v>3762</v>
      </c>
      <c r="E270" s="586" t="s">
        <v>4332</v>
      </c>
      <c r="F270" s="675">
        <v>2.8934000000000001E-2</v>
      </c>
      <c r="G270" s="676">
        <v>8154.31</v>
      </c>
      <c r="H270" s="588">
        <v>487.2</v>
      </c>
      <c r="I270" s="587" t="s">
        <v>3791</v>
      </c>
      <c r="J270" s="585">
        <v>3</v>
      </c>
      <c r="K270" s="585" t="s">
        <v>4333</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4522</v>
      </c>
      <c r="C271" s="585">
        <v>257</v>
      </c>
      <c r="D271" s="629" t="s">
        <v>3762</v>
      </c>
      <c r="E271" s="586" t="s">
        <v>4528</v>
      </c>
      <c r="F271" s="675">
        <v>2.8934000000000001E-2</v>
      </c>
      <c r="G271" s="676">
        <v>8154.31</v>
      </c>
      <c r="H271" s="588">
        <v>487.2</v>
      </c>
      <c r="I271" s="587" t="s">
        <v>3791</v>
      </c>
      <c r="J271" s="585">
        <v>3</v>
      </c>
      <c r="K271" s="585" t="s">
        <v>4534</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4384</v>
      </c>
      <c r="C272" s="585">
        <v>258</v>
      </c>
      <c r="D272" s="629" t="s">
        <v>3762</v>
      </c>
      <c r="E272" s="586" t="s">
        <v>4374</v>
      </c>
      <c r="F272" s="675">
        <v>2.8934000000000001E-2</v>
      </c>
      <c r="G272" s="676">
        <v>8154.31</v>
      </c>
      <c r="H272" s="588">
        <v>487.2</v>
      </c>
      <c r="I272" s="587" t="s">
        <v>3791</v>
      </c>
      <c r="J272" s="585">
        <v>3</v>
      </c>
      <c r="K272" s="585" t="s">
        <v>4375</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4523</v>
      </c>
      <c r="C273" s="585">
        <v>259</v>
      </c>
      <c r="D273" s="629" t="s">
        <v>3762</v>
      </c>
      <c r="E273" s="586" t="s">
        <v>4529</v>
      </c>
      <c r="F273" s="675">
        <v>2.6136E-2</v>
      </c>
      <c r="G273" s="676">
        <v>8691.42</v>
      </c>
      <c r="H273" s="588">
        <v>487.2</v>
      </c>
      <c r="I273" s="587" t="s">
        <v>3791</v>
      </c>
      <c r="J273" s="585">
        <v>3</v>
      </c>
      <c r="K273" s="585" t="s">
        <v>4535</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3589</v>
      </c>
      <c r="C274" s="585">
        <v>260</v>
      </c>
      <c r="D274" s="629" t="s">
        <v>2292</v>
      </c>
      <c r="E274" s="586" t="s">
        <v>2465</v>
      </c>
      <c r="F274" s="675">
        <v>5.0458100000000006E-2</v>
      </c>
      <c r="G274" s="676">
        <v>3463.0023344000001</v>
      </c>
      <c r="H274" s="588">
        <v>487.2</v>
      </c>
      <c r="I274" s="587" t="s">
        <v>601</v>
      </c>
      <c r="J274" s="585">
        <v>2</v>
      </c>
      <c r="K274" s="585" t="s">
        <v>3676</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5133</v>
      </c>
      <c r="C280" s="585">
        <v>266</v>
      </c>
      <c r="D280" s="629" t="s">
        <v>2293</v>
      </c>
      <c r="E280" s="586" t="s">
        <v>5145</v>
      </c>
      <c r="F280" s="675">
        <v>6.2548500000000007E-2</v>
      </c>
      <c r="G280" s="676">
        <v>3463.0023344000001</v>
      </c>
      <c r="H280" s="588">
        <v>487.2</v>
      </c>
      <c r="I280" s="587" t="s">
        <v>601</v>
      </c>
      <c r="J280" s="585">
        <v>2</v>
      </c>
      <c r="K280" s="585" t="s">
        <v>5157</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3384</v>
      </c>
      <c r="C285" s="585">
        <v>271</v>
      </c>
      <c r="D285" s="629" t="s">
        <v>2293</v>
      </c>
      <c r="E285" s="586" t="s">
        <v>3412</v>
      </c>
      <c r="F285" s="675">
        <v>3.9244500000000002E-2</v>
      </c>
      <c r="G285" s="676">
        <v>2538.48</v>
      </c>
      <c r="H285" s="588">
        <v>487.2</v>
      </c>
      <c r="I285" s="587" t="s">
        <v>549</v>
      </c>
      <c r="J285" s="585">
        <v>1</v>
      </c>
      <c r="K285" s="585" t="s">
        <v>3438</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3314</v>
      </c>
      <c r="C288" s="585">
        <v>274</v>
      </c>
      <c r="D288" s="629" t="s">
        <v>2293</v>
      </c>
      <c r="E288" s="586" t="s">
        <v>3329</v>
      </c>
      <c r="F288" s="675">
        <v>3.2890500000000003E-2</v>
      </c>
      <c r="G288" s="676">
        <v>2538.48</v>
      </c>
      <c r="H288" s="588">
        <v>487.2</v>
      </c>
      <c r="I288" s="587" t="s">
        <v>549</v>
      </c>
      <c r="J288" s="585">
        <v>1</v>
      </c>
      <c r="K288" s="585" t="s">
        <v>3321</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3590</v>
      </c>
      <c r="C290" s="585">
        <v>276</v>
      </c>
      <c r="D290" s="629" t="s">
        <v>2293</v>
      </c>
      <c r="E290" s="586" t="s">
        <v>3763</v>
      </c>
      <c r="F290" s="675">
        <v>4.7789700000000004E-2</v>
      </c>
      <c r="G290" s="676">
        <v>2538.48</v>
      </c>
      <c r="H290" s="588">
        <v>487.2</v>
      </c>
      <c r="I290" s="587" t="s">
        <v>549</v>
      </c>
      <c r="J290" s="585">
        <v>1</v>
      </c>
      <c r="K290" s="585" t="s">
        <v>3677</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3591</v>
      </c>
      <c r="C330" s="585">
        <v>316</v>
      </c>
      <c r="D330" s="629" t="s">
        <v>2293</v>
      </c>
      <c r="E330" s="586" t="s">
        <v>3764</v>
      </c>
      <c r="F330" s="675">
        <v>3.1363000000000002E-2</v>
      </c>
      <c r="G330" s="676">
        <v>7453.37</v>
      </c>
      <c r="H330" s="588">
        <v>487.2</v>
      </c>
      <c r="I330" s="587" t="s">
        <v>3791</v>
      </c>
      <c r="J330" s="585">
        <v>3</v>
      </c>
      <c r="K330" s="585" t="s">
        <v>3678</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3592</v>
      </c>
      <c r="C331" s="585">
        <v>317</v>
      </c>
      <c r="D331" s="629" t="s">
        <v>2293</v>
      </c>
      <c r="E331" s="586" t="s">
        <v>3765</v>
      </c>
      <c r="F331" s="675">
        <v>3.1363000000000002E-2</v>
      </c>
      <c r="G331" s="676">
        <v>7453.37</v>
      </c>
      <c r="H331" s="588">
        <v>487.2</v>
      </c>
      <c r="I331" s="587" t="s">
        <v>3791</v>
      </c>
      <c r="J331" s="585">
        <v>3</v>
      </c>
      <c r="K331" s="585" t="s">
        <v>3679</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4357</v>
      </c>
      <c r="C340" s="585">
        <v>326</v>
      </c>
      <c r="D340" s="629" t="s">
        <v>2293</v>
      </c>
      <c r="E340" s="586" t="s">
        <v>4358</v>
      </c>
      <c r="F340" s="675">
        <v>6.3663200000000003E-2</v>
      </c>
      <c r="G340" s="676">
        <v>3463.0023344000001</v>
      </c>
      <c r="H340" s="588">
        <v>487.2</v>
      </c>
      <c r="I340" s="587" t="s">
        <v>601</v>
      </c>
      <c r="J340" s="585">
        <v>2</v>
      </c>
      <c r="K340" s="585" t="s">
        <v>4359</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4548</v>
      </c>
      <c r="C365" s="585">
        <v>351</v>
      </c>
      <c r="D365" s="629" t="s">
        <v>2294</v>
      </c>
      <c r="E365" s="586" t="s">
        <v>4559</v>
      </c>
      <c r="F365" s="675">
        <v>2.8934000000000001E-2</v>
      </c>
      <c r="G365" s="676">
        <v>8154.31</v>
      </c>
      <c r="H365" s="588">
        <v>487.2</v>
      </c>
      <c r="I365" s="587" t="s">
        <v>3791</v>
      </c>
      <c r="J365" s="585">
        <v>3</v>
      </c>
      <c r="K365" s="585" t="s">
        <v>4568</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5134</v>
      </c>
      <c r="C366" s="585">
        <v>352</v>
      </c>
      <c r="D366" s="629" t="s">
        <v>2294</v>
      </c>
      <c r="E366" s="586" t="s">
        <v>5146</v>
      </c>
      <c r="F366" s="675">
        <v>2.8934000000000001E-2</v>
      </c>
      <c r="G366" s="676">
        <v>8154.31</v>
      </c>
      <c r="H366" s="588">
        <v>487.2</v>
      </c>
      <c r="I366" s="587" t="s">
        <v>3791</v>
      </c>
      <c r="J366" s="585">
        <v>3</v>
      </c>
      <c r="K366" s="585" t="s">
        <v>5158</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10378</v>
      </c>
      <c r="C372" s="585">
        <v>358</v>
      </c>
      <c r="D372" s="629" t="s">
        <v>2294</v>
      </c>
      <c r="E372" s="586" t="s">
        <v>10379</v>
      </c>
      <c r="F372" s="675">
        <v>4.8639700000000001E-2</v>
      </c>
      <c r="G372" s="676">
        <v>3463.0023344000001</v>
      </c>
      <c r="H372" s="588">
        <v>487.2</v>
      </c>
      <c r="I372" s="587" t="s">
        <v>601</v>
      </c>
      <c r="J372" s="585">
        <v>2</v>
      </c>
      <c r="K372" s="585" t="s">
        <v>3680</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3593</v>
      </c>
      <c r="C373" s="585">
        <v>359</v>
      </c>
      <c r="D373" s="629" t="s">
        <v>2294</v>
      </c>
      <c r="E373" s="586" t="s">
        <v>3766</v>
      </c>
      <c r="F373" s="675">
        <v>3.1363000000000002E-2</v>
      </c>
      <c r="G373" s="676">
        <v>7453.37</v>
      </c>
      <c r="H373" s="588">
        <v>487.2</v>
      </c>
      <c r="I373" s="587" t="s">
        <v>3791</v>
      </c>
      <c r="J373" s="585">
        <v>3</v>
      </c>
      <c r="K373" s="585" t="s">
        <v>3681</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3594</v>
      </c>
      <c r="C374" s="585">
        <v>360</v>
      </c>
      <c r="D374" s="629" t="s">
        <v>2294</v>
      </c>
      <c r="E374" s="586" t="s">
        <v>3767</v>
      </c>
      <c r="F374" s="675">
        <v>2.8934000000000001E-2</v>
      </c>
      <c r="G374" s="676">
        <v>8154.31</v>
      </c>
      <c r="H374" s="588">
        <v>487.2</v>
      </c>
      <c r="I374" s="587" t="s">
        <v>3791</v>
      </c>
      <c r="J374" s="585">
        <v>3</v>
      </c>
      <c r="K374" s="585" t="s">
        <v>3682</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3315</v>
      </c>
      <c r="C380" s="585">
        <v>366</v>
      </c>
      <c r="D380" s="629" t="s">
        <v>2295</v>
      </c>
      <c r="E380" s="586" t="s">
        <v>3328</v>
      </c>
      <c r="F380" s="675">
        <v>3.9996999999999998E-2</v>
      </c>
      <c r="G380" s="676">
        <v>2538.48</v>
      </c>
      <c r="H380" s="588">
        <v>487.2</v>
      </c>
      <c r="I380" s="587" t="s">
        <v>549</v>
      </c>
      <c r="J380" s="585">
        <v>1</v>
      </c>
      <c r="K380" s="585" t="s">
        <v>3322</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10412</v>
      </c>
      <c r="C382" s="585">
        <v>368</v>
      </c>
      <c r="D382" s="629" t="s">
        <v>2295</v>
      </c>
      <c r="E382" s="586" t="s">
        <v>10446</v>
      </c>
      <c r="F382" s="675">
        <v>3.0901000000000001E-2</v>
      </c>
      <c r="G382" s="676">
        <v>2538.48</v>
      </c>
      <c r="H382" s="588">
        <v>487.2</v>
      </c>
      <c r="I382" s="587" t="s">
        <v>549</v>
      </c>
      <c r="J382" s="585">
        <v>1</v>
      </c>
      <c r="K382" s="585" t="s">
        <v>10477</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4297</v>
      </c>
      <c r="C386" s="585">
        <v>372</v>
      </c>
      <c r="D386" s="629" t="s">
        <v>4298</v>
      </c>
      <c r="E386" s="586" t="s">
        <v>4299</v>
      </c>
      <c r="F386" s="675">
        <v>4.0341300000000004E-2</v>
      </c>
      <c r="G386" s="676">
        <v>2538.48</v>
      </c>
      <c r="H386" s="588">
        <v>487.2</v>
      </c>
      <c r="I386" s="587" t="s">
        <v>549</v>
      </c>
      <c r="J386" s="585">
        <v>1</v>
      </c>
      <c r="K386" s="585" t="s">
        <v>4300</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4345</v>
      </c>
      <c r="C387" s="585">
        <v>373</v>
      </c>
      <c r="D387" s="629" t="s">
        <v>4298</v>
      </c>
      <c r="E387" s="586" t="s">
        <v>5074</v>
      </c>
      <c r="F387" s="675">
        <v>5.4875800000000002E-2</v>
      </c>
      <c r="G387" s="676">
        <v>2538.48</v>
      </c>
      <c r="H387" s="588">
        <v>487.2</v>
      </c>
      <c r="I387" s="587" t="s">
        <v>549</v>
      </c>
      <c r="J387" s="585">
        <v>1</v>
      </c>
      <c r="K387" s="585" t="s">
        <v>4301</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4302</v>
      </c>
      <c r="C388" s="585">
        <v>374</v>
      </c>
      <c r="D388" s="629" t="s">
        <v>4298</v>
      </c>
      <c r="E388" s="586" t="s">
        <v>4303</v>
      </c>
      <c r="F388" s="675">
        <v>3.9910000000000001E-2</v>
      </c>
      <c r="G388" s="676">
        <v>2538.48</v>
      </c>
      <c r="H388" s="588">
        <v>487.2</v>
      </c>
      <c r="I388" s="587" t="s">
        <v>549</v>
      </c>
      <c r="J388" s="585">
        <v>1</v>
      </c>
      <c r="K388" s="585" t="s">
        <v>4304</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4524</v>
      </c>
      <c r="C389" s="585">
        <v>375</v>
      </c>
      <c r="D389" s="629" t="s">
        <v>4298</v>
      </c>
      <c r="E389" s="586" t="s">
        <v>4530</v>
      </c>
      <c r="F389" s="675">
        <v>3.09754E-2</v>
      </c>
      <c r="G389" s="676">
        <v>2538.48</v>
      </c>
      <c r="H389" s="588">
        <v>487.2</v>
      </c>
      <c r="I389" s="587" t="s">
        <v>549</v>
      </c>
      <c r="J389" s="585">
        <v>1</v>
      </c>
      <c r="K389" s="585" t="s">
        <v>4536</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10413</v>
      </c>
      <c r="C390" s="585">
        <v>376</v>
      </c>
      <c r="D390" s="629" t="s">
        <v>4298</v>
      </c>
      <c r="E390" s="586" t="s">
        <v>10447</v>
      </c>
      <c r="F390" s="675">
        <v>3.4355999999999998E-2</v>
      </c>
      <c r="G390" s="676">
        <v>2538.48</v>
      </c>
      <c r="H390" s="588">
        <v>487.2</v>
      </c>
      <c r="I390" s="587" t="s">
        <v>549</v>
      </c>
      <c r="J390" s="585">
        <v>1</v>
      </c>
      <c r="K390" s="585" t="s">
        <v>10478</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3385</v>
      </c>
      <c r="C391" s="585">
        <v>377</v>
      </c>
      <c r="D391" s="629" t="s">
        <v>304</v>
      </c>
      <c r="E391" s="586" t="s">
        <v>3413</v>
      </c>
      <c r="F391" s="675">
        <v>4.1353899999999999E-2</v>
      </c>
      <c r="G391" s="676">
        <v>2538.48</v>
      </c>
      <c r="H391" s="588">
        <v>487.2</v>
      </c>
      <c r="I391" s="587" t="s">
        <v>549</v>
      </c>
      <c r="J391" s="585">
        <v>1</v>
      </c>
      <c r="K391" s="585" t="s">
        <v>3439</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3386</v>
      </c>
      <c r="C392" s="585">
        <v>378</v>
      </c>
      <c r="D392" s="629" t="s">
        <v>304</v>
      </c>
      <c r="E392" s="586" t="s">
        <v>3414</v>
      </c>
      <c r="F392" s="675">
        <v>4.1353899999999999E-2</v>
      </c>
      <c r="G392" s="676">
        <v>2538.48</v>
      </c>
      <c r="H392" s="588">
        <v>487.2</v>
      </c>
      <c r="I392" s="587" t="s">
        <v>549</v>
      </c>
      <c r="J392" s="585">
        <v>1</v>
      </c>
      <c r="K392" s="585" t="s">
        <v>3440</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3387</v>
      </c>
      <c r="C393" s="585">
        <v>379</v>
      </c>
      <c r="D393" s="629" t="s">
        <v>304</v>
      </c>
      <c r="E393" s="586" t="s">
        <v>3415</v>
      </c>
      <c r="F393" s="675">
        <v>4.1353899999999999E-2</v>
      </c>
      <c r="G393" s="676">
        <v>2538.48</v>
      </c>
      <c r="H393" s="588">
        <v>487.2</v>
      </c>
      <c r="I393" s="587" t="s">
        <v>549</v>
      </c>
      <c r="J393" s="585">
        <v>1</v>
      </c>
      <c r="K393" s="585" t="s">
        <v>3441</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3388</v>
      </c>
      <c r="C394" s="585">
        <v>380</v>
      </c>
      <c r="D394" s="629" t="s">
        <v>304</v>
      </c>
      <c r="E394" s="586" t="s">
        <v>3416</v>
      </c>
      <c r="F394" s="675">
        <v>4.1353899999999999E-2</v>
      </c>
      <c r="G394" s="676">
        <v>2538.48</v>
      </c>
      <c r="H394" s="588">
        <v>487.2</v>
      </c>
      <c r="I394" s="587" t="s">
        <v>549</v>
      </c>
      <c r="J394" s="585">
        <v>1</v>
      </c>
      <c r="K394" s="585" t="s">
        <v>3442</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3389</v>
      </c>
      <c r="C395" s="585">
        <v>381</v>
      </c>
      <c r="D395" s="629" t="s">
        <v>304</v>
      </c>
      <c r="E395" s="586" t="s">
        <v>3417</v>
      </c>
      <c r="F395" s="675">
        <v>4.1353899999999999E-2</v>
      </c>
      <c r="G395" s="676">
        <v>2538.48</v>
      </c>
      <c r="H395" s="588">
        <v>487.2</v>
      </c>
      <c r="I395" s="587" t="s">
        <v>549</v>
      </c>
      <c r="J395" s="585">
        <v>1</v>
      </c>
      <c r="K395" s="585" t="s">
        <v>3443</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3390</v>
      </c>
      <c r="C396" s="585">
        <v>382</v>
      </c>
      <c r="D396" s="629" t="s">
        <v>304</v>
      </c>
      <c r="E396" s="586" t="s">
        <v>3418</v>
      </c>
      <c r="F396" s="675">
        <v>4.1353899999999999E-2</v>
      </c>
      <c r="G396" s="676">
        <v>2538.48</v>
      </c>
      <c r="H396" s="588">
        <v>487.2</v>
      </c>
      <c r="I396" s="587" t="s">
        <v>549</v>
      </c>
      <c r="J396" s="585">
        <v>1</v>
      </c>
      <c r="K396" s="585" t="s">
        <v>3444</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3391</v>
      </c>
      <c r="C397" s="585">
        <v>383</v>
      </c>
      <c r="D397" s="629" t="s">
        <v>304</v>
      </c>
      <c r="E397" s="586" t="s">
        <v>3419</v>
      </c>
      <c r="F397" s="675">
        <v>4.1353899999999999E-2</v>
      </c>
      <c r="G397" s="676">
        <v>2538.48</v>
      </c>
      <c r="H397" s="588">
        <v>487.2</v>
      </c>
      <c r="I397" s="587" t="s">
        <v>549</v>
      </c>
      <c r="J397" s="585">
        <v>1</v>
      </c>
      <c r="K397" s="585" t="s">
        <v>3445</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4305</v>
      </c>
      <c r="C398" s="585">
        <v>384</v>
      </c>
      <c r="D398" s="629" t="s">
        <v>304</v>
      </c>
      <c r="E398" s="586" t="s">
        <v>4306</v>
      </c>
      <c r="F398" s="675">
        <v>4.1353899999999999E-2</v>
      </c>
      <c r="G398" s="676">
        <v>2538.48</v>
      </c>
      <c r="H398" s="588">
        <v>487.2</v>
      </c>
      <c r="I398" s="587" t="s">
        <v>549</v>
      </c>
      <c r="J398" s="585">
        <v>1</v>
      </c>
      <c r="K398" s="585" t="s">
        <v>4307</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3595</v>
      </c>
      <c r="C399" s="585">
        <v>385</v>
      </c>
      <c r="D399" s="629" t="s">
        <v>304</v>
      </c>
      <c r="E399" s="586" t="s">
        <v>3768</v>
      </c>
      <c r="F399" s="675">
        <v>4.1353899999999999E-2</v>
      </c>
      <c r="G399" s="676">
        <v>2538.48</v>
      </c>
      <c r="H399" s="588">
        <v>487.2</v>
      </c>
      <c r="I399" s="587" t="s">
        <v>549</v>
      </c>
      <c r="J399" s="585">
        <v>1</v>
      </c>
      <c r="K399" s="585" t="s">
        <v>3683</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3392</v>
      </c>
      <c r="C400" s="585">
        <v>386</v>
      </c>
      <c r="D400" s="629" t="s">
        <v>304</v>
      </c>
      <c r="E400" s="586" t="s">
        <v>3420</v>
      </c>
      <c r="F400" s="675">
        <v>4.1353899999999999E-2</v>
      </c>
      <c r="G400" s="676">
        <v>2538.48</v>
      </c>
      <c r="H400" s="588">
        <v>487.2</v>
      </c>
      <c r="I400" s="587" t="s">
        <v>549</v>
      </c>
      <c r="J400" s="585">
        <v>1</v>
      </c>
      <c r="K400" s="585" t="s">
        <v>3446</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3596</v>
      </c>
      <c r="C401" s="585">
        <v>387</v>
      </c>
      <c r="D401" s="629" t="s">
        <v>304</v>
      </c>
      <c r="E401" s="586" t="s">
        <v>3769</v>
      </c>
      <c r="F401" s="675">
        <v>4.1353899999999999E-2</v>
      </c>
      <c r="G401" s="676">
        <v>2538.48</v>
      </c>
      <c r="H401" s="588">
        <v>487.2</v>
      </c>
      <c r="I401" s="587" t="s">
        <v>549</v>
      </c>
      <c r="J401" s="585">
        <v>1</v>
      </c>
      <c r="K401" s="585" t="s">
        <v>3684</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3455</v>
      </c>
      <c r="C402" s="585">
        <v>388</v>
      </c>
      <c r="D402" s="629" t="s">
        <v>304</v>
      </c>
      <c r="E402" s="586" t="s">
        <v>3456</v>
      </c>
      <c r="F402" s="675">
        <v>4.1353899999999999E-2</v>
      </c>
      <c r="G402" s="676">
        <v>2538.48</v>
      </c>
      <c r="H402" s="588">
        <v>487.2</v>
      </c>
      <c r="I402" s="587" t="s">
        <v>549</v>
      </c>
      <c r="J402" s="585">
        <v>1</v>
      </c>
      <c r="K402" s="585" t="s">
        <v>3457</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10414</v>
      </c>
      <c r="C403" s="585">
        <v>389</v>
      </c>
      <c r="D403" s="629" t="s">
        <v>3770</v>
      </c>
      <c r="E403" s="586" t="s">
        <v>10448</v>
      </c>
      <c r="F403" s="675">
        <v>2.6136E-2</v>
      </c>
      <c r="G403" s="676">
        <v>8691.4159999999993</v>
      </c>
      <c r="H403" s="588">
        <v>487.2</v>
      </c>
      <c r="I403" s="587" t="s">
        <v>3791</v>
      </c>
      <c r="J403" s="585">
        <v>3</v>
      </c>
      <c r="K403" s="585" t="s">
        <v>10479</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5135</v>
      </c>
      <c r="C404" s="585">
        <v>390</v>
      </c>
      <c r="D404" s="629" t="s">
        <v>3770</v>
      </c>
      <c r="E404" s="586" t="s">
        <v>5147</v>
      </c>
      <c r="F404" s="675">
        <v>4.9057000000000003E-2</v>
      </c>
      <c r="G404" s="676">
        <v>11870.23</v>
      </c>
      <c r="H404" s="588">
        <v>487.2</v>
      </c>
      <c r="I404" s="587" t="s">
        <v>3791</v>
      </c>
      <c r="J404" s="585">
        <v>3</v>
      </c>
      <c r="K404" s="585" t="s">
        <v>5159</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10415</v>
      </c>
      <c r="C405" s="585">
        <v>391</v>
      </c>
      <c r="D405" s="629" t="s">
        <v>3770</v>
      </c>
      <c r="E405" s="586" t="s">
        <v>10449</v>
      </c>
      <c r="F405" s="675">
        <v>2.6136E-2</v>
      </c>
      <c r="G405" s="676">
        <v>8691.42</v>
      </c>
      <c r="H405" s="588">
        <v>487.2</v>
      </c>
      <c r="I405" s="587" t="s">
        <v>3791</v>
      </c>
      <c r="J405" s="585">
        <v>3</v>
      </c>
      <c r="K405" s="585" t="s">
        <v>10480</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3597</v>
      </c>
      <c r="C406" s="585">
        <v>392</v>
      </c>
      <c r="D406" s="629" t="s">
        <v>3770</v>
      </c>
      <c r="E406" s="586" t="s">
        <v>3771</v>
      </c>
      <c r="F406" s="675">
        <v>3.1363000000000002E-2</v>
      </c>
      <c r="G406" s="676">
        <v>7453.37</v>
      </c>
      <c r="H406" s="588">
        <v>487.2</v>
      </c>
      <c r="I406" s="587" t="s">
        <v>3791</v>
      </c>
      <c r="J406" s="585">
        <v>3</v>
      </c>
      <c r="K406" s="585" t="s">
        <v>3685</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10416</v>
      </c>
      <c r="C407" s="585">
        <v>393</v>
      </c>
      <c r="D407" s="629" t="s">
        <v>3770</v>
      </c>
      <c r="E407" s="586" t="s">
        <v>10450</v>
      </c>
      <c r="F407" s="675">
        <v>3.1363000000000002E-2</v>
      </c>
      <c r="G407" s="676">
        <v>7453.3711999999996</v>
      </c>
      <c r="H407" s="588">
        <v>487.2</v>
      </c>
      <c r="I407" s="587" t="s">
        <v>3791</v>
      </c>
      <c r="J407" s="585">
        <v>3</v>
      </c>
      <c r="K407" s="585" t="s">
        <v>10481</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5060</v>
      </c>
      <c r="C408" s="585">
        <v>394</v>
      </c>
      <c r="D408" s="629" t="s">
        <v>3770</v>
      </c>
      <c r="E408" s="586" t="s">
        <v>5065</v>
      </c>
      <c r="F408" s="675">
        <v>4.9057000000000003E-2</v>
      </c>
      <c r="G408" s="676">
        <v>11870.23</v>
      </c>
      <c r="H408" s="588">
        <v>487.2</v>
      </c>
      <c r="I408" s="587" t="s">
        <v>3791</v>
      </c>
      <c r="J408" s="585">
        <v>3</v>
      </c>
      <c r="K408" s="585" t="s">
        <v>4569</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5061</v>
      </c>
      <c r="C409" s="585">
        <v>395</v>
      </c>
      <c r="D409" s="629" t="s">
        <v>3770</v>
      </c>
      <c r="E409" s="586" t="s">
        <v>5066</v>
      </c>
      <c r="F409" s="675">
        <v>4.9057000000000003E-2</v>
      </c>
      <c r="G409" s="676">
        <v>11870.23</v>
      </c>
      <c r="H409" s="588">
        <v>487.2</v>
      </c>
      <c r="I409" s="587" t="s">
        <v>3791</v>
      </c>
      <c r="J409" s="585">
        <v>3</v>
      </c>
      <c r="K409" s="585" t="s">
        <v>4570</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10417</v>
      </c>
      <c r="C410" s="585">
        <v>396</v>
      </c>
      <c r="D410" s="629" t="s">
        <v>3770</v>
      </c>
      <c r="E410" s="586" t="s">
        <v>10451</v>
      </c>
      <c r="F410" s="675">
        <v>4.9057000000000003E-2</v>
      </c>
      <c r="G410" s="676">
        <v>11870.233599999998</v>
      </c>
      <c r="H410" s="588">
        <v>487.2</v>
      </c>
      <c r="I410" s="587" t="s">
        <v>3791</v>
      </c>
      <c r="J410" s="585">
        <v>3</v>
      </c>
      <c r="K410" s="585" t="s">
        <v>10482</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10418</v>
      </c>
      <c r="C411" s="585">
        <v>397</v>
      </c>
      <c r="D411" s="629" t="s">
        <v>3770</v>
      </c>
      <c r="E411" s="586" t="s">
        <v>10452</v>
      </c>
      <c r="F411" s="675">
        <v>4.9057000000000003E-2</v>
      </c>
      <c r="G411" s="676">
        <v>11870.233599999998</v>
      </c>
      <c r="H411" s="588">
        <v>487.2</v>
      </c>
      <c r="I411" s="587" t="s">
        <v>3791</v>
      </c>
      <c r="J411" s="585">
        <v>3</v>
      </c>
      <c r="K411" s="585" t="s">
        <v>10483</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5136</v>
      </c>
      <c r="C412" s="585">
        <v>398</v>
      </c>
      <c r="D412" s="629" t="s">
        <v>3770</v>
      </c>
      <c r="E412" s="586" t="s">
        <v>5148</v>
      </c>
      <c r="F412" s="675">
        <v>2.6136E-2</v>
      </c>
      <c r="G412" s="676">
        <v>8691.42</v>
      </c>
      <c r="H412" s="588">
        <v>487.2</v>
      </c>
      <c r="I412" s="587" t="s">
        <v>3791</v>
      </c>
      <c r="J412" s="585">
        <v>3</v>
      </c>
      <c r="K412" s="585" t="s">
        <v>5160</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4496</v>
      </c>
      <c r="C419" s="585">
        <v>405</v>
      </c>
      <c r="D419" s="629" t="s">
        <v>2296</v>
      </c>
      <c r="E419" s="586" t="s">
        <v>4501</v>
      </c>
      <c r="F419" s="675">
        <v>2.8934000000000001E-2</v>
      </c>
      <c r="G419" s="676">
        <v>8154.31</v>
      </c>
      <c r="H419" s="588">
        <v>487.2</v>
      </c>
      <c r="I419" s="587" t="s">
        <v>3791</v>
      </c>
      <c r="J419" s="585">
        <v>3</v>
      </c>
      <c r="K419" s="585" t="s">
        <v>4506</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4334</v>
      </c>
      <c r="C427" s="585">
        <v>413</v>
      </c>
      <c r="D427" s="629" t="s">
        <v>4335</v>
      </c>
      <c r="E427" s="586" t="s">
        <v>4336</v>
      </c>
      <c r="F427" s="675">
        <v>2.8934000000000001E-2</v>
      </c>
      <c r="G427" s="676">
        <v>8154.31</v>
      </c>
      <c r="H427" s="588">
        <v>487.2</v>
      </c>
      <c r="I427" s="587" t="s">
        <v>3791</v>
      </c>
      <c r="J427" s="585">
        <v>3</v>
      </c>
      <c r="K427" s="585" t="s">
        <v>4337</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5062</v>
      </c>
      <c r="C428" s="585">
        <v>414</v>
      </c>
      <c r="D428" s="629" t="s">
        <v>4335</v>
      </c>
      <c r="E428" s="586" t="s">
        <v>5070</v>
      </c>
      <c r="F428" s="675">
        <v>4.9454999999999999E-2</v>
      </c>
      <c r="G428" s="676">
        <v>11870.23</v>
      </c>
      <c r="H428" s="588">
        <v>487.2</v>
      </c>
      <c r="I428" s="587" t="s">
        <v>3791</v>
      </c>
      <c r="J428" s="585">
        <v>3</v>
      </c>
      <c r="K428" s="585" t="s">
        <v>4571</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10419</v>
      </c>
      <c r="C429" s="585">
        <v>415</v>
      </c>
      <c r="D429" s="629" t="s">
        <v>4335</v>
      </c>
      <c r="E429" s="586" t="s">
        <v>10453</v>
      </c>
      <c r="F429" s="675">
        <v>4.9454999999999999E-2</v>
      </c>
      <c r="G429" s="676">
        <v>11870.233599999998</v>
      </c>
      <c r="H429" s="588">
        <v>487.2</v>
      </c>
      <c r="I429" s="587" t="s">
        <v>3791</v>
      </c>
      <c r="J429" s="585">
        <v>3</v>
      </c>
      <c r="K429" s="585" t="s">
        <v>10484</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5063</v>
      </c>
      <c r="C430" s="585">
        <v>416</v>
      </c>
      <c r="D430" s="629" t="s">
        <v>4335</v>
      </c>
      <c r="E430" s="586" t="s">
        <v>5067</v>
      </c>
      <c r="F430" s="675">
        <v>4.9454999999999999E-2</v>
      </c>
      <c r="G430" s="676">
        <v>11870.23</v>
      </c>
      <c r="H430" s="588">
        <v>487.2</v>
      </c>
      <c r="I430" s="587" t="s">
        <v>3791</v>
      </c>
      <c r="J430" s="585">
        <v>3</v>
      </c>
      <c r="K430" s="585" t="s">
        <v>4572</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10385</v>
      </c>
      <c r="C431" s="585">
        <v>417</v>
      </c>
      <c r="D431" s="629" t="s">
        <v>10380</v>
      </c>
      <c r="E431" s="586" t="s">
        <v>10382</v>
      </c>
      <c r="F431" s="675">
        <v>4.0341000000000002E-2</v>
      </c>
      <c r="G431" s="676">
        <v>2538.48</v>
      </c>
      <c r="H431" s="588">
        <v>487.2</v>
      </c>
      <c r="I431" s="587" t="s">
        <v>549</v>
      </c>
      <c r="J431" s="585">
        <v>1</v>
      </c>
      <c r="K431" s="585" t="s">
        <v>10388</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10384</v>
      </c>
      <c r="C432" s="585">
        <v>418</v>
      </c>
      <c r="D432" s="629" t="s">
        <v>10380</v>
      </c>
      <c r="E432" s="586" t="s">
        <v>10381</v>
      </c>
      <c r="F432" s="675">
        <v>3.7824000000000003E-2</v>
      </c>
      <c r="G432" s="676">
        <v>2538.48</v>
      </c>
      <c r="H432" s="588">
        <v>487.2</v>
      </c>
      <c r="I432" s="587" t="s">
        <v>549</v>
      </c>
      <c r="J432" s="585">
        <v>1</v>
      </c>
      <c r="K432" s="585" t="s">
        <v>10387</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10386</v>
      </c>
      <c r="C433" s="585">
        <v>419</v>
      </c>
      <c r="D433" s="629" t="s">
        <v>10380</v>
      </c>
      <c r="E433" s="586" t="s">
        <v>10383</v>
      </c>
      <c r="F433" s="675">
        <v>2.8972000000000001E-2</v>
      </c>
      <c r="G433" s="676">
        <v>2538.48</v>
      </c>
      <c r="H433" s="588">
        <v>487.2</v>
      </c>
      <c r="I433" s="587" t="s">
        <v>549</v>
      </c>
      <c r="J433" s="585">
        <v>1</v>
      </c>
      <c r="K433" s="585" t="s">
        <v>10389</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3346</v>
      </c>
      <c r="C434" s="585">
        <v>420</v>
      </c>
      <c r="D434" s="629" t="s">
        <v>2299</v>
      </c>
      <c r="E434" s="586" t="s">
        <v>3357</v>
      </c>
      <c r="F434" s="675">
        <v>4.5221600000000001E-2</v>
      </c>
      <c r="G434" s="676">
        <v>2538.48</v>
      </c>
      <c r="H434" s="588">
        <v>487.2</v>
      </c>
      <c r="I434" s="587" t="s">
        <v>549</v>
      </c>
      <c r="J434" s="585">
        <v>1</v>
      </c>
      <c r="K434" s="585" t="s">
        <v>3368</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10392</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4454</v>
      </c>
      <c r="C437" s="585">
        <v>423</v>
      </c>
      <c r="D437" s="629" t="s">
        <v>2299</v>
      </c>
      <c r="E437" s="586" t="s">
        <v>4457</v>
      </c>
      <c r="F437" s="675">
        <v>4.5221600000000001E-2</v>
      </c>
      <c r="G437" s="676">
        <v>2538.48</v>
      </c>
      <c r="H437" s="588">
        <v>487.2</v>
      </c>
      <c r="I437" s="587" t="s">
        <v>549</v>
      </c>
      <c r="J437" s="585">
        <v>1</v>
      </c>
      <c r="K437" s="585" t="s">
        <v>4460</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3394</v>
      </c>
      <c r="C438" s="585">
        <v>424</v>
      </c>
      <c r="D438" s="629" t="s">
        <v>3407</v>
      </c>
      <c r="E438" s="586" t="s">
        <v>3421</v>
      </c>
      <c r="F438" s="675">
        <v>5.3744899999999998E-2</v>
      </c>
      <c r="G438" s="676">
        <v>2538.48</v>
      </c>
      <c r="H438" s="588">
        <v>487.2</v>
      </c>
      <c r="I438" s="587" t="s">
        <v>549</v>
      </c>
      <c r="J438" s="585">
        <v>1</v>
      </c>
      <c r="K438" s="585" t="s">
        <v>3475</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3395</v>
      </c>
      <c r="C439" s="585">
        <v>425</v>
      </c>
      <c r="D439" s="629" t="s">
        <v>3407</v>
      </c>
      <c r="E439" s="586" t="s">
        <v>3422</v>
      </c>
      <c r="F439" s="675">
        <v>5.6226599999999995E-2</v>
      </c>
      <c r="G439" s="676">
        <v>2538.48</v>
      </c>
      <c r="H439" s="588">
        <v>487.2</v>
      </c>
      <c r="I439" s="587" t="s">
        <v>549</v>
      </c>
      <c r="J439" s="585">
        <v>1</v>
      </c>
      <c r="K439" s="585" t="s">
        <v>3476</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3393</v>
      </c>
      <c r="C440" s="585">
        <v>426</v>
      </c>
      <c r="D440" s="629" t="s">
        <v>3407</v>
      </c>
      <c r="E440" s="586" t="s">
        <v>3407</v>
      </c>
      <c r="F440" s="675">
        <v>4.60186E-2</v>
      </c>
      <c r="G440" s="676">
        <v>2538.48</v>
      </c>
      <c r="H440" s="588">
        <v>487.2</v>
      </c>
      <c r="I440" s="587" t="s">
        <v>549</v>
      </c>
      <c r="J440" s="585">
        <v>1</v>
      </c>
      <c r="K440" s="585" t="s">
        <v>3474</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4376</v>
      </c>
      <c r="C441" s="585">
        <v>427</v>
      </c>
      <c r="D441" s="629" t="s">
        <v>3407</v>
      </c>
      <c r="E441" s="586" t="s">
        <v>5068</v>
      </c>
      <c r="F441" s="675">
        <v>4.4601699999999994E-2</v>
      </c>
      <c r="G441" s="676">
        <v>2538.48</v>
      </c>
      <c r="H441" s="588">
        <v>487.2</v>
      </c>
      <c r="I441" s="587" t="s">
        <v>549</v>
      </c>
      <c r="J441" s="585">
        <v>1</v>
      </c>
      <c r="K441" s="585" t="s">
        <v>4327</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3396</v>
      </c>
      <c r="C442" s="585">
        <v>428</v>
      </c>
      <c r="D442" s="629" t="s">
        <v>3407</v>
      </c>
      <c r="E442" s="586" t="s">
        <v>3423</v>
      </c>
      <c r="F442" s="675">
        <v>4.60186E-2</v>
      </c>
      <c r="G442" s="676">
        <v>2538.48</v>
      </c>
      <c r="H442" s="588">
        <v>487.2</v>
      </c>
      <c r="I442" s="587" t="s">
        <v>549</v>
      </c>
      <c r="J442" s="585">
        <v>1</v>
      </c>
      <c r="K442" s="585" t="s">
        <v>3477</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3397</v>
      </c>
      <c r="C443" s="585">
        <v>429</v>
      </c>
      <c r="D443" s="629" t="s">
        <v>3407</v>
      </c>
      <c r="E443" s="586" t="s">
        <v>3424</v>
      </c>
      <c r="F443" s="675">
        <v>4.4802600000000005E-2</v>
      </c>
      <c r="G443" s="676">
        <v>2538.48</v>
      </c>
      <c r="H443" s="588">
        <v>487.2</v>
      </c>
      <c r="I443" s="587" t="s">
        <v>549</v>
      </c>
      <c r="J443" s="585">
        <v>1</v>
      </c>
      <c r="K443" s="585" t="s">
        <v>3478</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3398</v>
      </c>
      <c r="C444" s="585">
        <v>430</v>
      </c>
      <c r="D444" s="629" t="s">
        <v>3407</v>
      </c>
      <c r="E444" s="586" t="s">
        <v>3425</v>
      </c>
      <c r="F444" s="675">
        <v>4.60186E-2</v>
      </c>
      <c r="G444" s="676">
        <v>2538.48</v>
      </c>
      <c r="H444" s="588">
        <v>487.2</v>
      </c>
      <c r="I444" s="587" t="s">
        <v>549</v>
      </c>
      <c r="J444" s="585">
        <v>1</v>
      </c>
      <c r="K444" s="585" t="s">
        <v>3479</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3399</v>
      </c>
      <c r="C445" s="585">
        <v>431</v>
      </c>
      <c r="D445" s="629" t="s">
        <v>3407</v>
      </c>
      <c r="E445" s="586" t="s">
        <v>3426</v>
      </c>
      <c r="F445" s="675">
        <v>4.6859000000000005E-2</v>
      </c>
      <c r="G445" s="676">
        <v>2538.48</v>
      </c>
      <c r="H445" s="588">
        <v>487.2</v>
      </c>
      <c r="I445" s="587" t="s">
        <v>549</v>
      </c>
      <c r="J445" s="585">
        <v>1</v>
      </c>
      <c r="K445" s="585" t="s">
        <v>3480</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3400</v>
      </c>
      <c r="C446" s="585">
        <v>432</v>
      </c>
      <c r="D446" s="629" t="s">
        <v>3407</v>
      </c>
      <c r="E446" s="586" t="s">
        <v>3427</v>
      </c>
      <c r="F446" s="675">
        <v>4.7998700000000005E-2</v>
      </c>
      <c r="G446" s="676">
        <v>3463.0023344000001</v>
      </c>
      <c r="H446" s="588">
        <v>487.2</v>
      </c>
      <c r="I446" s="587" t="s">
        <v>601</v>
      </c>
      <c r="J446" s="585">
        <v>2</v>
      </c>
      <c r="K446" s="585" t="s">
        <v>3447</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3401</v>
      </c>
      <c r="C447" s="585">
        <v>433</v>
      </c>
      <c r="D447" s="629" t="s">
        <v>3407</v>
      </c>
      <c r="E447" s="586" t="s">
        <v>3428</v>
      </c>
      <c r="F447" s="675">
        <v>4.60186E-2</v>
      </c>
      <c r="G447" s="676">
        <v>2538.48</v>
      </c>
      <c r="H447" s="588">
        <v>487.2</v>
      </c>
      <c r="I447" s="587" t="s">
        <v>549</v>
      </c>
      <c r="J447" s="585">
        <v>1</v>
      </c>
      <c r="K447" s="585" t="s">
        <v>3481</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10494</v>
      </c>
      <c r="C450" s="585">
        <v>436</v>
      </c>
      <c r="D450" s="629" t="s">
        <v>4410</v>
      </c>
      <c r="E450" s="586" t="s">
        <v>10454</v>
      </c>
      <c r="F450" s="675">
        <v>2.6136E-2</v>
      </c>
      <c r="G450" s="676">
        <v>8691.42</v>
      </c>
      <c r="H450" s="588">
        <v>487.2</v>
      </c>
      <c r="I450" s="587" t="s">
        <v>3791</v>
      </c>
      <c r="J450" s="585">
        <v>3</v>
      </c>
      <c r="K450" s="585" t="s">
        <v>10485</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4406</v>
      </c>
      <c r="C451" s="585">
        <v>437</v>
      </c>
      <c r="D451" s="629" t="s">
        <v>4410</v>
      </c>
      <c r="E451" s="586" t="s">
        <v>4412</v>
      </c>
      <c r="F451" s="675">
        <v>3.8318999999999999E-2</v>
      </c>
      <c r="G451" s="676">
        <v>11870.23</v>
      </c>
      <c r="H451" s="588">
        <v>487.2</v>
      </c>
      <c r="I451" s="587" t="s">
        <v>3791</v>
      </c>
      <c r="J451" s="585">
        <v>3</v>
      </c>
      <c r="K451" s="585" t="s">
        <v>4416</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10495</v>
      </c>
      <c r="C452" s="585">
        <v>438</v>
      </c>
      <c r="D452" s="629" t="s">
        <v>4410</v>
      </c>
      <c r="E452" s="586" t="s">
        <v>10455</v>
      </c>
      <c r="F452" s="675">
        <v>3.8318999999999999E-2</v>
      </c>
      <c r="G452" s="676">
        <v>11870.233599999998</v>
      </c>
      <c r="H452" s="588">
        <v>487.2</v>
      </c>
      <c r="I452" s="587" t="s">
        <v>3791</v>
      </c>
      <c r="J452" s="585">
        <v>3</v>
      </c>
      <c r="K452" s="585" t="s">
        <v>4416</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3402</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4420</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4421</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4422</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4423</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5137</v>
      </c>
      <c r="C463" s="585">
        <v>449</v>
      </c>
      <c r="D463" s="629" t="s">
        <v>2303</v>
      </c>
      <c r="E463" s="586" t="s">
        <v>5149</v>
      </c>
      <c r="F463" s="675">
        <v>3.0097700000000002E-2</v>
      </c>
      <c r="G463" s="676">
        <v>2538.48</v>
      </c>
      <c r="H463" s="588">
        <v>487.2</v>
      </c>
      <c r="I463" s="587" t="s">
        <v>549</v>
      </c>
      <c r="J463" s="585">
        <v>1</v>
      </c>
      <c r="K463" s="585" t="s">
        <v>5161</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4465</v>
      </c>
      <c r="C464" s="585">
        <v>450</v>
      </c>
      <c r="D464" s="629" t="s">
        <v>2303</v>
      </c>
      <c r="E464" s="586" t="s">
        <v>4469</v>
      </c>
      <c r="F464" s="675">
        <v>3.0097700000000002E-2</v>
      </c>
      <c r="G464" s="676">
        <v>2538.48</v>
      </c>
      <c r="H464" s="588">
        <v>487.2</v>
      </c>
      <c r="I464" s="587" t="s">
        <v>549</v>
      </c>
      <c r="J464" s="585">
        <v>1</v>
      </c>
      <c r="K464" s="585" t="s">
        <v>4473</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3598</v>
      </c>
      <c r="C465" s="585">
        <v>451</v>
      </c>
      <c r="D465" s="629" t="s">
        <v>2303</v>
      </c>
      <c r="E465" s="586" t="s">
        <v>3772</v>
      </c>
      <c r="F465" s="675">
        <v>3.0097700000000002E-2</v>
      </c>
      <c r="G465" s="676">
        <v>2538.48</v>
      </c>
      <c r="H465" s="588">
        <v>487.2</v>
      </c>
      <c r="I465" s="587" t="s">
        <v>549</v>
      </c>
      <c r="J465" s="585">
        <v>1</v>
      </c>
      <c r="K465" s="585" t="s">
        <v>3686</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3458</v>
      </c>
      <c r="C466" s="585">
        <v>452</v>
      </c>
      <c r="D466" s="629" t="s">
        <v>2303</v>
      </c>
      <c r="E466" s="586" t="s">
        <v>3459</v>
      </c>
      <c r="F466" s="675">
        <v>3.0097700000000002E-2</v>
      </c>
      <c r="G466" s="676">
        <v>2538.48</v>
      </c>
      <c r="H466" s="588">
        <v>487.2</v>
      </c>
      <c r="I466" s="587" t="s">
        <v>549</v>
      </c>
      <c r="J466" s="585">
        <v>1</v>
      </c>
      <c r="K466" s="585" t="s">
        <v>3460</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3599</v>
      </c>
      <c r="C467" s="585">
        <v>453</v>
      </c>
      <c r="D467" s="629" t="s">
        <v>2303</v>
      </c>
      <c r="E467" s="586" t="s">
        <v>3773</v>
      </c>
      <c r="F467" s="675">
        <v>3.0097700000000002E-2</v>
      </c>
      <c r="G467" s="676">
        <v>2538.48</v>
      </c>
      <c r="H467" s="588">
        <v>487.2</v>
      </c>
      <c r="I467" s="587" t="s">
        <v>549</v>
      </c>
      <c r="J467" s="585">
        <v>1</v>
      </c>
      <c r="K467" s="585" t="s">
        <v>3687</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10420</v>
      </c>
      <c r="C468" s="585">
        <v>454</v>
      </c>
      <c r="D468" s="629" t="s">
        <v>2303</v>
      </c>
      <c r="E468" s="586" t="s">
        <v>10456</v>
      </c>
      <c r="F468" s="675">
        <v>3.6269999999999997E-2</v>
      </c>
      <c r="G468" s="676">
        <v>2538.48</v>
      </c>
      <c r="H468" s="588">
        <v>487.2</v>
      </c>
      <c r="I468" s="587" t="s">
        <v>549</v>
      </c>
      <c r="J468" s="585">
        <v>1</v>
      </c>
      <c r="K468" s="585" t="s">
        <v>10486</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3316</v>
      </c>
      <c r="C471" s="585">
        <v>457</v>
      </c>
      <c r="D471" s="629" t="s">
        <v>2303</v>
      </c>
      <c r="E471" s="586" t="s">
        <v>3326</v>
      </c>
      <c r="F471" s="675">
        <v>3.0097700000000002E-2</v>
      </c>
      <c r="G471" s="676">
        <v>2538.48</v>
      </c>
      <c r="H471" s="588">
        <v>487.2</v>
      </c>
      <c r="I471" s="587" t="s">
        <v>549</v>
      </c>
      <c r="J471" s="585">
        <v>1</v>
      </c>
      <c r="K471" s="585" t="s">
        <v>3323</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3347</v>
      </c>
      <c r="C472" s="585">
        <v>458</v>
      </c>
      <c r="D472" s="629" t="s">
        <v>2303</v>
      </c>
      <c r="E472" s="586" t="s">
        <v>3358</v>
      </c>
      <c r="F472" s="675">
        <v>3.0097700000000002E-2</v>
      </c>
      <c r="G472" s="676">
        <v>2538.48</v>
      </c>
      <c r="H472" s="588">
        <v>487.2</v>
      </c>
      <c r="I472" s="587" t="s">
        <v>549</v>
      </c>
      <c r="J472" s="585">
        <v>1</v>
      </c>
      <c r="K472" s="585" t="s">
        <v>3369</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4400</v>
      </c>
      <c r="C473" s="585">
        <v>459</v>
      </c>
      <c r="D473" s="629" t="s">
        <v>2303</v>
      </c>
      <c r="E473" s="586" t="s">
        <v>4388</v>
      </c>
      <c r="F473" s="675">
        <v>3.0097700000000002E-2</v>
      </c>
      <c r="G473" s="676">
        <v>2538.48</v>
      </c>
      <c r="H473" s="588">
        <v>487.2</v>
      </c>
      <c r="I473" s="587" t="s">
        <v>549</v>
      </c>
      <c r="J473" s="585">
        <v>1</v>
      </c>
      <c r="K473" s="585" t="s">
        <v>4389</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3348</v>
      </c>
      <c r="C474" s="585">
        <v>460</v>
      </c>
      <c r="D474" s="629" t="s">
        <v>2303</v>
      </c>
      <c r="E474" s="586" t="s">
        <v>3359</v>
      </c>
      <c r="F474" s="675">
        <v>3.0097700000000002E-2</v>
      </c>
      <c r="G474" s="676">
        <v>2538.48</v>
      </c>
      <c r="H474" s="588">
        <v>487.2</v>
      </c>
      <c r="I474" s="587" t="s">
        <v>549</v>
      </c>
      <c r="J474" s="585">
        <v>1</v>
      </c>
      <c r="K474" s="585" t="s">
        <v>3370</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3349</v>
      </c>
      <c r="C475" s="585">
        <v>461</v>
      </c>
      <c r="D475" s="629" t="s">
        <v>2303</v>
      </c>
      <c r="E475" s="586" t="s">
        <v>3360</v>
      </c>
      <c r="F475" s="675">
        <v>3.0097700000000002E-2</v>
      </c>
      <c r="G475" s="676">
        <v>2538.48</v>
      </c>
      <c r="H475" s="588">
        <v>487.2</v>
      </c>
      <c r="I475" s="587" t="s">
        <v>549</v>
      </c>
      <c r="J475" s="585">
        <v>1</v>
      </c>
      <c r="K475" s="585" t="s">
        <v>3371</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4308</v>
      </c>
      <c r="C476" s="585">
        <v>462</v>
      </c>
      <c r="D476" s="629" t="s">
        <v>2303</v>
      </c>
      <c r="E476" s="586" t="s">
        <v>4309</v>
      </c>
      <c r="F476" s="675">
        <v>3.0097700000000002E-2</v>
      </c>
      <c r="G476" s="676">
        <v>2538.48</v>
      </c>
      <c r="H476" s="588">
        <v>487.2</v>
      </c>
      <c r="I476" s="587" t="s">
        <v>549</v>
      </c>
      <c r="J476" s="585">
        <v>1</v>
      </c>
      <c r="K476" s="585" t="s">
        <v>4310</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3461</v>
      </c>
      <c r="C477" s="585">
        <v>463</v>
      </c>
      <c r="D477" s="629" t="s">
        <v>2303</v>
      </c>
      <c r="E477" s="586" t="s">
        <v>3462</v>
      </c>
      <c r="F477" s="675">
        <v>3.0097700000000002E-2</v>
      </c>
      <c r="G477" s="676">
        <v>2538.48</v>
      </c>
      <c r="H477" s="588">
        <v>487.2</v>
      </c>
      <c r="I477" s="587" t="s">
        <v>549</v>
      </c>
      <c r="J477" s="585">
        <v>1</v>
      </c>
      <c r="K477" s="585" t="s">
        <v>3463</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4377</v>
      </c>
      <c r="C478" s="585">
        <v>464</v>
      </c>
      <c r="D478" s="629" t="s">
        <v>2303</v>
      </c>
      <c r="E478" s="586" t="s">
        <v>4378</v>
      </c>
      <c r="F478" s="675">
        <v>3.0097700000000002E-2</v>
      </c>
      <c r="G478" s="676">
        <v>2538.48</v>
      </c>
      <c r="H478" s="588">
        <v>487.2</v>
      </c>
      <c r="I478" s="587" t="s">
        <v>549</v>
      </c>
      <c r="J478" s="585">
        <v>1</v>
      </c>
      <c r="K478" s="585" t="s">
        <v>4379</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4338</v>
      </c>
      <c r="C479" s="585">
        <v>465</v>
      </c>
      <c r="D479" s="629" t="s">
        <v>2303</v>
      </c>
      <c r="E479" s="586" t="s">
        <v>4339</v>
      </c>
      <c r="F479" s="675">
        <v>3.0097700000000002E-2</v>
      </c>
      <c r="G479" s="676">
        <v>2538.48</v>
      </c>
      <c r="H479" s="588">
        <v>487.2</v>
      </c>
      <c r="I479" s="587" t="s">
        <v>549</v>
      </c>
      <c r="J479" s="585">
        <v>1</v>
      </c>
      <c r="K479" s="585" t="s">
        <v>4340</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3403</v>
      </c>
      <c r="C480" s="585">
        <v>466</v>
      </c>
      <c r="D480" s="629" t="s">
        <v>2303</v>
      </c>
      <c r="E480" s="586" t="s">
        <v>3429</v>
      </c>
      <c r="F480" s="675">
        <v>3.0097700000000002E-2</v>
      </c>
      <c r="G480" s="676">
        <v>2538.48</v>
      </c>
      <c r="H480" s="588">
        <v>487.2</v>
      </c>
      <c r="I480" s="587" t="s">
        <v>549</v>
      </c>
      <c r="J480" s="585">
        <v>1</v>
      </c>
      <c r="K480" s="585" t="s">
        <v>3448</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4341</v>
      </c>
      <c r="C481" s="585">
        <v>467</v>
      </c>
      <c r="D481" s="629" t="s">
        <v>2303</v>
      </c>
      <c r="E481" s="586" t="s">
        <v>4342</v>
      </c>
      <c r="F481" s="675">
        <v>3.0097700000000002E-2</v>
      </c>
      <c r="G481" s="676">
        <v>2538.48</v>
      </c>
      <c r="H481" s="588">
        <v>487.2</v>
      </c>
      <c r="I481" s="587" t="s">
        <v>549</v>
      </c>
      <c r="J481" s="585">
        <v>1</v>
      </c>
      <c r="K481" s="585" t="s">
        <v>4343</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10421</v>
      </c>
      <c r="C482" s="585">
        <v>468</v>
      </c>
      <c r="D482" s="629" t="s">
        <v>2303</v>
      </c>
      <c r="E482" s="586" t="s">
        <v>10457</v>
      </c>
      <c r="F482" s="675">
        <v>3.0098E-2</v>
      </c>
      <c r="G482" s="676">
        <v>2538.48</v>
      </c>
      <c r="H482" s="588">
        <v>487.2</v>
      </c>
      <c r="I482" s="587" t="s">
        <v>549</v>
      </c>
      <c r="J482" s="585">
        <v>1</v>
      </c>
      <c r="K482" s="585" t="s">
        <v>5161</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4525</v>
      </c>
      <c r="C483" s="585">
        <v>469</v>
      </c>
      <c r="D483" s="629" t="s">
        <v>2303</v>
      </c>
      <c r="E483" s="586" t="s">
        <v>4531</v>
      </c>
      <c r="F483" s="675">
        <v>3.0097700000000002E-2</v>
      </c>
      <c r="G483" s="676">
        <v>2538.48</v>
      </c>
      <c r="H483" s="588">
        <v>487.2</v>
      </c>
      <c r="I483" s="587" t="s">
        <v>549</v>
      </c>
      <c r="J483" s="585">
        <v>1</v>
      </c>
      <c r="K483" s="585" t="s">
        <v>4537</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10422</v>
      </c>
      <c r="C484" s="585">
        <v>470</v>
      </c>
      <c r="D484" s="629" t="s">
        <v>2303</v>
      </c>
      <c r="E484" s="586" t="s">
        <v>10458</v>
      </c>
      <c r="F484" s="675">
        <v>3.0098E-2</v>
      </c>
      <c r="G484" s="676">
        <v>2538.48</v>
      </c>
      <c r="H484" s="588">
        <v>487.2</v>
      </c>
      <c r="I484" s="587" t="s">
        <v>549</v>
      </c>
      <c r="J484" s="585">
        <v>1</v>
      </c>
      <c r="K484" s="585" t="s">
        <v>3450</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3317</v>
      </c>
      <c r="C486" s="585">
        <v>472</v>
      </c>
      <c r="D486" s="629" t="s">
        <v>2303</v>
      </c>
      <c r="E486" s="586" t="s">
        <v>3327</v>
      </c>
      <c r="F486" s="675">
        <v>3.0097700000000002E-2</v>
      </c>
      <c r="G486" s="676">
        <v>2538.48</v>
      </c>
      <c r="H486" s="588">
        <v>487.2</v>
      </c>
      <c r="I486" s="587" t="s">
        <v>549</v>
      </c>
      <c r="J486" s="585">
        <v>1</v>
      </c>
      <c r="K486" s="585" t="s">
        <v>3324</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3404</v>
      </c>
      <c r="C487" s="585">
        <v>473</v>
      </c>
      <c r="D487" s="629" t="s">
        <v>2303</v>
      </c>
      <c r="E487" s="586" t="s">
        <v>3430</v>
      </c>
      <c r="F487" s="675">
        <v>3.0097700000000002E-2</v>
      </c>
      <c r="G487" s="676">
        <v>2538.48</v>
      </c>
      <c r="H487" s="588">
        <v>487.2</v>
      </c>
      <c r="I487" s="587" t="s">
        <v>549</v>
      </c>
      <c r="J487" s="585">
        <v>1</v>
      </c>
      <c r="K487" s="585" t="s">
        <v>3449</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10423</v>
      </c>
      <c r="C488" s="585">
        <v>474</v>
      </c>
      <c r="D488" s="629" t="s">
        <v>2303</v>
      </c>
      <c r="E488" s="586" t="s">
        <v>10459</v>
      </c>
      <c r="F488" s="675">
        <v>5.4182000000000001E-2</v>
      </c>
      <c r="G488" s="676">
        <v>2538.48</v>
      </c>
      <c r="H488" s="588">
        <v>487.2</v>
      </c>
      <c r="I488" s="587" t="s">
        <v>549</v>
      </c>
      <c r="J488" s="585">
        <v>1</v>
      </c>
      <c r="K488" s="585" t="s">
        <v>10487</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10424</v>
      </c>
      <c r="C489" s="585">
        <v>475</v>
      </c>
      <c r="D489" s="629" t="s">
        <v>2303</v>
      </c>
      <c r="E489" s="586" t="s">
        <v>10460</v>
      </c>
      <c r="F489" s="675">
        <v>5.4182000000000001E-2</v>
      </c>
      <c r="G489" s="676">
        <v>2538.48</v>
      </c>
      <c r="H489" s="588">
        <v>487.2</v>
      </c>
      <c r="I489" s="587" t="s">
        <v>549</v>
      </c>
      <c r="J489" s="585">
        <v>1</v>
      </c>
      <c r="K489" s="585" t="s">
        <v>10488</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10425</v>
      </c>
      <c r="C490" s="585">
        <v>476</v>
      </c>
      <c r="D490" s="629" t="s">
        <v>2303</v>
      </c>
      <c r="E490" s="586" t="s">
        <v>10461</v>
      </c>
      <c r="F490" s="675">
        <v>5.4182000000000001E-2</v>
      </c>
      <c r="G490" s="676">
        <v>2538.48</v>
      </c>
      <c r="H490" s="588">
        <v>487.2</v>
      </c>
      <c r="I490" s="587" t="s">
        <v>549</v>
      </c>
      <c r="J490" s="585">
        <v>1</v>
      </c>
      <c r="K490" s="585" t="s">
        <v>10489</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3600</v>
      </c>
      <c r="C491" s="585">
        <v>477</v>
      </c>
      <c r="D491" s="629" t="s">
        <v>2303</v>
      </c>
      <c r="E491" s="586" t="s">
        <v>3774</v>
      </c>
      <c r="F491" s="675">
        <v>3.0097700000000002E-2</v>
      </c>
      <c r="G491" s="676">
        <v>2538.48</v>
      </c>
      <c r="H491" s="588">
        <v>487.2</v>
      </c>
      <c r="I491" s="587" t="s">
        <v>549</v>
      </c>
      <c r="J491" s="585">
        <v>1</v>
      </c>
      <c r="K491" s="585" t="s">
        <v>3688</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3601</v>
      </c>
      <c r="C492" s="585">
        <v>478</v>
      </c>
      <c r="D492" s="629" t="s">
        <v>2303</v>
      </c>
      <c r="E492" s="586" t="s">
        <v>3775</v>
      </c>
      <c r="F492" s="675">
        <v>3.0097700000000002E-2</v>
      </c>
      <c r="G492" s="676">
        <v>2538.48</v>
      </c>
      <c r="H492" s="588">
        <v>487.2</v>
      </c>
      <c r="I492" s="587" t="s">
        <v>549</v>
      </c>
      <c r="J492" s="585">
        <v>1</v>
      </c>
      <c r="K492" s="585" t="s">
        <v>3689</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3350</v>
      </c>
      <c r="C496" s="585">
        <v>482</v>
      </c>
      <c r="D496" s="629" t="s">
        <v>2303</v>
      </c>
      <c r="E496" s="586" t="s">
        <v>3361</v>
      </c>
      <c r="F496" s="675">
        <v>3.0097700000000002E-2</v>
      </c>
      <c r="G496" s="676">
        <v>2538.48</v>
      </c>
      <c r="H496" s="588">
        <v>487.2</v>
      </c>
      <c r="I496" s="587" t="s">
        <v>549</v>
      </c>
      <c r="J496" s="585">
        <v>1</v>
      </c>
      <c r="K496" s="585" t="s">
        <v>3450</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3351</v>
      </c>
      <c r="C497" s="585">
        <v>483</v>
      </c>
      <c r="D497" s="629" t="s">
        <v>2303</v>
      </c>
      <c r="E497" s="586" t="s">
        <v>3362</v>
      </c>
      <c r="F497" s="675">
        <v>4.2054799999999996E-2</v>
      </c>
      <c r="G497" s="676">
        <v>2538.48</v>
      </c>
      <c r="H497" s="588">
        <v>487.2</v>
      </c>
      <c r="I497" s="587" t="s">
        <v>549</v>
      </c>
      <c r="J497" s="585">
        <v>1</v>
      </c>
      <c r="K497" s="585" t="s">
        <v>3372</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3344</v>
      </c>
      <c r="C500" s="585">
        <v>486</v>
      </c>
      <c r="D500" s="629" t="s">
        <v>2304</v>
      </c>
      <c r="E500" s="586" t="s">
        <v>3335</v>
      </c>
      <c r="F500" s="675">
        <v>4.0235200000000006E-2</v>
      </c>
      <c r="G500" s="676">
        <v>2538.48</v>
      </c>
      <c r="H500" s="588">
        <v>487.2</v>
      </c>
      <c r="I500" s="587" t="s">
        <v>549</v>
      </c>
      <c r="J500" s="585">
        <v>1</v>
      </c>
      <c r="K500" s="585" t="s">
        <v>3336</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4549</v>
      </c>
      <c r="C506" s="585">
        <v>492</v>
      </c>
      <c r="D506" s="629" t="s">
        <v>2304</v>
      </c>
      <c r="E506" s="586" t="s">
        <v>4560</v>
      </c>
      <c r="F506" s="675">
        <v>4.3978700000000003E-2</v>
      </c>
      <c r="G506" s="676">
        <v>2538.48</v>
      </c>
      <c r="H506" s="588">
        <v>487.2</v>
      </c>
      <c r="I506" s="587" t="s">
        <v>549</v>
      </c>
      <c r="J506" s="585">
        <v>1</v>
      </c>
      <c r="K506" s="585" t="s">
        <v>4573</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3602</v>
      </c>
      <c r="C510" s="585">
        <v>496</v>
      </c>
      <c r="D510" s="629" t="s">
        <v>2304</v>
      </c>
      <c r="E510" s="586" t="s">
        <v>3776</v>
      </c>
      <c r="F510" s="675">
        <v>4.1959600000000007E-2</v>
      </c>
      <c r="G510" s="676">
        <v>2538.48</v>
      </c>
      <c r="H510" s="588">
        <v>487.2</v>
      </c>
      <c r="I510" s="587" t="s">
        <v>549</v>
      </c>
      <c r="J510" s="585">
        <v>1</v>
      </c>
      <c r="K510" s="585" t="s">
        <v>3690</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3405</v>
      </c>
      <c r="C511" s="585">
        <v>497</v>
      </c>
      <c r="D511" s="629" t="s">
        <v>2305</v>
      </c>
      <c r="E511" s="586" t="s">
        <v>3431</v>
      </c>
      <c r="F511" s="675">
        <v>3.4484099999999997E-2</v>
      </c>
      <c r="G511" s="676">
        <v>2538.48</v>
      </c>
      <c r="H511" s="588">
        <v>487.2</v>
      </c>
      <c r="I511" s="587" t="s">
        <v>549</v>
      </c>
      <c r="J511" s="585">
        <v>1</v>
      </c>
      <c r="K511" s="585" t="s">
        <v>3451</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4380</v>
      </c>
      <c r="C516" s="585">
        <v>502</v>
      </c>
      <c r="D516" s="629" t="s">
        <v>2305</v>
      </c>
      <c r="E516" s="586" t="s">
        <v>4385</v>
      </c>
      <c r="F516" s="675">
        <v>4.2297700000000001E-2</v>
      </c>
      <c r="G516" s="676">
        <v>2538.48</v>
      </c>
      <c r="H516" s="588">
        <v>487.2</v>
      </c>
      <c r="I516" s="587" t="s">
        <v>549</v>
      </c>
      <c r="J516" s="585">
        <v>1</v>
      </c>
      <c r="K516" s="585" t="s">
        <v>4381</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3337</v>
      </c>
      <c r="C520" s="585">
        <v>506</v>
      </c>
      <c r="D520" s="629" t="s">
        <v>2305</v>
      </c>
      <c r="E520" s="586" t="s">
        <v>3338</v>
      </c>
      <c r="F520" s="675">
        <v>3.9326100000000003E-2</v>
      </c>
      <c r="G520" s="676">
        <v>2538.48</v>
      </c>
      <c r="H520" s="588">
        <v>487.2</v>
      </c>
      <c r="I520" s="587" t="s">
        <v>549</v>
      </c>
      <c r="J520" s="585">
        <v>1</v>
      </c>
      <c r="K520" s="585" t="s">
        <v>3339</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3352</v>
      </c>
      <c r="C521" s="585">
        <v>507</v>
      </c>
      <c r="D521" s="629" t="s">
        <v>2305</v>
      </c>
      <c r="E521" s="586" t="s">
        <v>3364</v>
      </c>
      <c r="F521" s="675">
        <v>6.1468600000000005E-2</v>
      </c>
      <c r="G521" s="676">
        <v>3463.0023344000001</v>
      </c>
      <c r="H521" s="588">
        <v>487.2</v>
      </c>
      <c r="I521" s="587" t="s">
        <v>601</v>
      </c>
      <c r="J521" s="585">
        <v>2</v>
      </c>
      <c r="K521" s="585" t="s">
        <v>3373</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3353</v>
      </c>
      <c r="C522" s="585">
        <v>508</v>
      </c>
      <c r="D522" s="629" t="s">
        <v>2305</v>
      </c>
      <c r="E522" s="586" t="s">
        <v>3365</v>
      </c>
      <c r="F522" s="675">
        <v>6.1468600000000005E-2</v>
      </c>
      <c r="G522" s="676">
        <v>3463.0023344000001</v>
      </c>
      <c r="H522" s="588">
        <v>487.2</v>
      </c>
      <c r="I522" s="587" t="s">
        <v>601</v>
      </c>
      <c r="J522" s="585">
        <v>2</v>
      </c>
      <c r="K522" s="585" t="s">
        <v>3374</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4440</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3340</v>
      </c>
      <c r="C553" s="585">
        <v>539</v>
      </c>
      <c r="D553" s="629" t="s">
        <v>2306</v>
      </c>
      <c r="E553" s="586" t="s">
        <v>4441</v>
      </c>
      <c r="F553" s="675">
        <v>5.6164899999999997E-2</v>
      </c>
      <c r="G553" s="676">
        <v>2538.48</v>
      </c>
      <c r="H553" s="588">
        <v>487.2</v>
      </c>
      <c r="I553" s="587" t="s">
        <v>549</v>
      </c>
      <c r="J553" s="585">
        <v>1</v>
      </c>
      <c r="K553" s="585" t="s">
        <v>3375</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3318</v>
      </c>
      <c r="C554" s="585">
        <v>540</v>
      </c>
      <c r="D554" s="629" t="s">
        <v>2306</v>
      </c>
      <c r="E554" s="586" t="s">
        <v>4444</v>
      </c>
      <c r="F554" s="675">
        <v>3.64564E-2</v>
      </c>
      <c r="G554" s="676">
        <v>2538.48</v>
      </c>
      <c r="H554" s="588">
        <v>487.2</v>
      </c>
      <c r="I554" s="587" t="s">
        <v>549</v>
      </c>
      <c r="J554" s="585">
        <v>1</v>
      </c>
      <c r="K554" s="585" t="s">
        <v>3325</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4442</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4443</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4445</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4446</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4407</v>
      </c>
      <c r="C559" s="585">
        <v>545</v>
      </c>
      <c r="D559" s="629" t="s">
        <v>2306</v>
      </c>
      <c r="E559" s="586" t="s">
        <v>4447</v>
      </c>
      <c r="F559" s="675">
        <v>3.8837099999999999E-2</v>
      </c>
      <c r="G559" s="676">
        <v>2538.48</v>
      </c>
      <c r="H559" s="588">
        <v>487.2</v>
      </c>
      <c r="I559" s="587" t="s">
        <v>549</v>
      </c>
      <c r="J559" s="585">
        <v>1</v>
      </c>
      <c r="K559" s="585" t="s">
        <v>4417</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4448</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10426</v>
      </c>
      <c r="C567" s="585">
        <v>553</v>
      </c>
      <c r="D567" s="629" t="s">
        <v>2306</v>
      </c>
      <c r="E567" s="586" t="s">
        <v>10462</v>
      </c>
      <c r="F567" s="675">
        <v>4.8640000000000003E-2</v>
      </c>
      <c r="G567" s="676">
        <v>3463</v>
      </c>
      <c r="H567" s="588">
        <v>487.2</v>
      </c>
      <c r="I567" s="587" t="s">
        <v>601</v>
      </c>
      <c r="J567" s="585">
        <v>2</v>
      </c>
      <c r="K567" s="585" t="s">
        <v>10490</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4360</v>
      </c>
      <c r="C568" s="585">
        <v>554</v>
      </c>
      <c r="D568" s="629" t="s">
        <v>2306</v>
      </c>
      <c r="E568" s="586" t="s">
        <v>4361</v>
      </c>
      <c r="F568" s="675">
        <v>4.1871799999999994E-2</v>
      </c>
      <c r="G568" s="676">
        <v>2538.48</v>
      </c>
      <c r="H568" s="588">
        <v>487.2</v>
      </c>
      <c r="I568" s="587" t="s">
        <v>549</v>
      </c>
      <c r="J568" s="585">
        <v>1</v>
      </c>
      <c r="K568" s="585" t="s">
        <v>4362</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3603</v>
      </c>
      <c r="C576" s="585">
        <v>562</v>
      </c>
      <c r="D576" s="629" t="s">
        <v>2308</v>
      </c>
      <c r="E576" s="586" t="s">
        <v>3777</v>
      </c>
      <c r="F576" s="675">
        <v>3.62701E-2</v>
      </c>
      <c r="G576" s="676">
        <v>2538.48</v>
      </c>
      <c r="H576" s="588">
        <v>487.2</v>
      </c>
      <c r="I576" s="587" t="s">
        <v>549</v>
      </c>
      <c r="J576" s="585">
        <v>1</v>
      </c>
      <c r="K576" s="585" t="s">
        <v>3691</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3406</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4408</v>
      </c>
      <c r="C585" s="585">
        <v>571</v>
      </c>
      <c r="D585" s="629" t="s">
        <v>2309</v>
      </c>
      <c r="E585" s="586" t="s">
        <v>4413</v>
      </c>
      <c r="F585" s="675">
        <v>3.84199E-2</v>
      </c>
      <c r="G585" s="676">
        <v>2538.48</v>
      </c>
      <c r="H585" s="588">
        <v>487.2</v>
      </c>
      <c r="I585" s="587" t="s">
        <v>549</v>
      </c>
      <c r="J585" s="585">
        <v>1</v>
      </c>
      <c r="K585" s="585" t="s">
        <v>4418</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4497</v>
      </c>
      <c r="C604" s="585">
        <v>590</v>
      </c>
      <c r="D604" s="629" t="s">
        <v>2311</v>
      </c>
      <c r="E604" s="586" t="s">
        <v>4502</v>
      </c>
      <c r="F604" s="675">
        <v>4.6474799999999997E-2</v>
      </c>
      <c r="G604" s="676">
        <v>2538.48</v>
      </c>
      <c r="H604" s="588">
        <v>487.2</v>
      </c>
      <c r="I604" s="587" t="s">
        <v>549</v>
      </c>
      <c r="J604" s="585">
        <v>1</v>
      </c>
      <c r="K604" s="585" t="s">
        <v>4507</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3604</v>
      </c>
      <c r="C605" s="585">
        <v>591</v>
      </c>
      <c r="D605" s="629" t="s">
        <v>2311</v>
      </c>
      <c r="E605" s="586" t="s">
        <v>3778</v>
      </c>
      <c r="F605" s="675">
        <v>4.6474799999999997E-2</v>
      </c>
      <c r="G605" s="676">
        <v>2538.48</v>
      </c>
      <c r="H605" s="588">
        <v>487.2</v>
      </c>
      <c r="I605" s="587" t="s">
        <v>549</v>
      </c>
      <c r="J605" s="585">
        <v>1</v>
      </c>
      <c r="K605" s="585" t="s">
        <v>3692</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3341</v>
      </c>
      <c r="C607" s="585">
        <v>593</v>
      </c>
      <c r="D607" s="629" t="s">
        <v>2311</v>
      </c>
      <c r="E607" s="586" t="s">
        <v>3342</v>
      </c>
      <c r="F607" s="675">
        <v>5.7060599999999996E-2</v>
      </c>
      <c r="G607" s="676">
        <v>2538.48</v>
      </c>
      <c r="H607" s="588">
        <v>487.2</v>
      </c>
      <c r="I607" s="587" t="s">
        <v>549</v>
      </c>
      <c r="J607" s="585">
        <v>1</v>
      </c>
      <c r="K607" s="585" t="s">
        <v>3343</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3605</v>
      </c>
      <c r="C608" s="585">
        <v>594</v>
      </c>
      <c r="D608" s="629" t="s">
        <v>2311</v>
      </c>
      <c r="E608" s="586" t="s">
        <v>3779</v>
      </c>
      <c r="F608" s="675">
        <v>5.7060599999999996E-2</v>
      </c>
      <c r="G608" s="676">
        <v>2538.48</v>
      </c>
      <c r="H608" s="588">
        <v>487.2</v>
      </c>
      <c r="I608" s="587" t="s">
        <v>549</v>
      </c>
      <c r="J608" s="585">
        <v>1</v>
      </c>
      <c r="K608" s="585" t="s">
        <v>3693</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3332</v>
      </c>
      <c r="C609" s="585">
        <v>595</v>
      </c>
      <c r="D609" s="629" t="s">
        <v>2311</v>
      </c>
      <c r="E609" s="586" t="s">
        <v>3333</v>
      </c>
      <c r="F609" s="675">
        <v>5.7060599999999996E-2</v>
      </c>
      <c r="G609" s="676">
        <v>2538.48</v>
      </c>
      <c r="H609" s="588">
        <v>487.2</v>
      </c>
      <c r="I609" s="587" t="s">
        <v>549</v>
      </c>
      <c r="J609" s="585">
        <v>1</v>
      </c>
      <c r="K609" s="585" t="s">
        <v>3334</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3606</v>
      </c>
      <c r="C611" s="585">
        <v>597</v>
      </c>
      <c r="D611" s="629" t="s">
        <v>2312</v>
      </c>
      <c r="E611" s="586" t="s">
        <v>3780</v>
      </c>
      <c r="F611" s="675">
        <v>5.0578399999999996E-2</v>
      </c>
      <c r="G611" s="676">
        <v>3463.0023344000001</v>
      </c>
      <c r="H611" s="588">
        <v>487.2</v>
      </c>
      <c r="I611" s="587" t="s">
        <v>601</v>
      </c>
      <c r="J611" s="585">
        <v>2</v>
      </c>
      <c r="K611" s="585" t="s">
        <v>3694</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3607</v>
      </c>
      <c r="C621" s="585">
        <v>607</v>
      </c>
      <c r="D621" s="629" t="s">
        <v>3781</v>
      </c>
      <c r="E621" s="586" t="s">
        <v>3782</v>
      </c>
      <c r="F621" s="675">
        <v>3.1363000000000002E-2</v>
      </c>
      <c r="G621" s="676">
        <v>7453.37</v>
      </c>
      <c r="H621" s="588">
        <v>487.2</v>
      </c>
      <c r="I621" s="587" t="s">
        <v>3791</v>
      </c>
      <c r="J621" s="585">
        <v>3</v>
      </c>
      <c r="K621" s="585" t="s">
        <v>3695</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5064</v>
      </c>
      <c r="C625" s="585">
        <v>611</v>
      </c>
      <c r="D625" s="629" t="s">
        <v>2315</v>
      </c>
      <c r="E625" s="586" t="s">
        <v>5069</v>
      </c>
      <c r="F625" s="675">
        <v>2.80865E-2</v>
      </c>
      <c r="G625" s="676">
        <v>2538.48</v>
      </c>
      <c r="H625" s="588">
        <v>487.2</v>
      </c>
      <c r="I625" s="587" t="s">
        <v>549</v>
      </c>
      <c r="J625" s="585">
        <v>1</v>
      </c>
      <c r="K625" s="585" t="s">
        <v>4574</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3354</v>
      </c>
      <c r="C628" s="585">
        <v>614</v>
      </c>
      <c r="D628" s="629" t="s">
        <v>2315</v>
      </c>
      <c r="E628" s="586" t="s">
        <v>3363</v>
      </c>
      <c r="F628" s="675">
        <v>4.0538199999999996E-2</v>
      </c>
      <c r="G628" s="676">
        <v>2538.48</v>
      </c>
      <c r="H628" s="588">
        <v>487.2</v>
      </c>
      <c r="I628" s="587" t="s">
        <v>549</v>
      </c>
      <c r="J628" s="585">
        <v>1</v>
      </c>
      <c r="K628" s="585" t="s">
        <v>3376</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5138</v>
      </c>
      <c r="C629" s="585">
        <v>615</v>
      </c>
      <c r="D629" s="629" t="s">
        <v>2316</v>
      </c>
      <c r="E629" s="586" t="s">
        <v>5150</v>
      </c>
      <c r="F629" s="675">
        <v>4.1989699999999998E-2</v>
      </c>
      <c r="G629" s="676">
        <v>2538.48</v>
      </c>
      <c r="H629" s="588">
        <v>487.2</v>
      </c>
      <c r="I629" s="587" t="s">
        <v>549</v>
      </c>
      <c r="J629" s="585">
        <v>1</v>
      </c>
      <c r="K629" s="585" t="s">
        <v>5162</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3471</v>
      </c>
      <c r="C632" s="585">
        <v>618</v>
      </c>
      <c r="D632" s="629" t="s">
        <v>2316</v>
      </c>
      <c r="E632" s="586" t="s">
        <v>3472</v>
      </c>
      <c r="F632" s="675">
        <v>4.2898100000000002E-2</v>
      </c>
      <c r="G632" s="676">
        <v>2538.48</v>
      </c>
      <c r="H632" s="588">
        <v>487.2</v>
      </c>
      <c r="I632" s="587" t="s">
        <v>549</v>
      </c>
      <c r="J632" s="585">
        <v>1</v>
      </c>
      <c r="K632" s="585" t="s">
        <v>3482</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3355</v>
      </c>
      <c r="C645" s="585">
        <v>631</v>
      </c>
      <c r="D645" s="629" t="s">
        <v>2317</v>
      </c>
      <c r="E645" s="586" t="s">
        <v>3366</v>
      </c>
      <c r="F645" s="675">
        <v>4.8639700000000001E-2</v>
      </c>
      <c r="G645" s="676">
        <v>3463.0023344000001</v>
      </c>
      <c r="H645" s="588">
        <v>487.2</v>
      </c>
      <c r="I645" s="587" t="s">
        <v>601</v>
      </c>
      <c r="J645" s="585">
        <v>2</v>
      </c>
      <c r="K645" s="585" t="s">
        <v>3377</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10427</v>
      </c>
      <c r="C657" s="585">
        <v>643</v>
      </c>
      <c r="D657" s="629" t="s">
        <v>10430</v>
      </c>
      <c r="E657" s="586" t="s">
        <v>10463</v>
      </c>
      <c r="F657" s="675">
        <v>4.8640000000000003E-2</v>
      </c>
      <c r="G657" s="676">
        <v>3463</v>
      </c>
      <c r="H657" s="588">
        <v>487.2</v>
      </c>
      <c r="I657" s="587" t="s">
        <v>601</v>
      </c>
      <c r="J657" s="585">
        <v>2</v>
      </c>
      <c r="K657" s="585" t="s">
        <v>10491</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10428</v>
      </c>
      <c r="C659" s="585">
        <v>645</v>
      </c>
      <c r="D659" s="629" t="s">
        <v>2318</v>
      </c>
      <c r="E659" s="586" t="s">
        <v>10496</v>
      </c>
      <c r="F659" s="675">
        <v>3.8318999999999999E-2</v>
      </c>
      <c r="G659" s="676">
        <v>11870.23</v>
      </c>
      <c r="H659" s="588">
        <v>487.2</v>
      </c>
      <c r="I659" s="587" t="s">
        <v>3791</v>
      </c>
      <c r="J659" s="585">
        <v>3</v>
      </c>
      <c r="K659" s="585" t="s">
        <v>10492</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3608</v>
      </c>
      <c r="C660" s="585">
        <v>646</v>
      </c>
      <c r="D660" s="629" t="s">
        <v>2319</v>
      </c>
      <c r="E660" s="586" t="s">
        <v>3783</v>
      </c>
      <c r="F660" s="675">
        <v>2.8934000000000001E-2</v>
      </c>
      <c r="G660" s="676">
        <v>8154.31</v>
      </c>
      <c r="H660" s="588">
        <v>487.2</v>
      </c>
      <c r="I660" s="587" t="s">
        <v>3791</v>
      </c>
      <c r="J660" s="585">
        <v>3</v>
      </c>
      <c r="K660" s="585" t="s">
        <v>3696</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3609</v>
      </c>
      <c r="C661" s="585">
        <v>647</v>
      </c>
      <c r="D661" s="629" t="s">
        <v>2319</v>
      </c>
      <c r="E661" s="586" t="s">
        <v>3784</v>
      </c>
      <c r="F661" s="675">
        <v>2.8934000000000001E-2</v>
      </c>
      <c r="G661" s="676">
        <v>8154.31</v>
      </c>
      <c r="H661" s="588">
        <v>487.2</v>
      </c>
      <c r="I661" s="587" t="s">
        <v>3791</v>
      </c>
      <c r="J661" s="585">
        <v>3</v>
      </c>
      <c r="K661" s="585" t="s">
        <v>3697</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3610</v>
      </c>
      <c r="C662" s="585">
        <v>648</v>
      </c>
      <c r="D662" s="629" t="s">
        <v>2319</v>
      </c>
      <c r="E662" s="586" t="s">
        <v>3785</v>
      </c>
      <c r="F662" s="675">
        <v>2.8934000000000001E-2</v>
      </c>
      <c r="G662" s="676">
        <v>8154.31</v>
      </c>
      <c r="H662" s="588">
        <v>487.2</v>
      </c>
      <c r="I662" s="587" t="s">
        <v>3791</v>
      </c>
      <c r="J662" s="585">
        <v>3</v>
      </c>
      <c r="K662" s="585" t="s">
        <v>3698</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3611</v>
      </c>
      <c r="C663" s="585">
        <v>649</v>
      </c>
      <c r="D663" s="629" t="s">
        <v>2319</v>
      </c>
      <c r="E663" s="586" t="s">
        <v>3786</v>
      </c>
      <c r="F663" s="675">
        <v>2.8934000000000001E-2</v>
      </c>
      <c r="G663" s="676">
        <v>8154.31</v>
      </c>
      <c r="H663" s="588">
        <v>487.2</v>
      </c>
      <c r="I663" s="587" t="s">
        <v>3791</v>
      </c>
      <c r="J663" s="585">
        <v>3</v>
      </c>
      <c r="K663" s="585" t="s">
        <v>3699</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4409</v>
      </c>
      <c r="C666" s="585">
        <v>652</v>
      </c>
      <c r="D666" s="629" t="s">
        <v>2319</v>
      </c>
      <c r="E666" s="586" t="s">
        <v>4414</v>
      </c>
      <c r="F666" s="675">
        <v>4.8639700000000001E-2</v>
      </c>
      <c r="G666" s="676">
        <v>3463.0023344000001</v>
      </c>
      <c r="H666" s="588">
        <v>487.2</v>
      </c>
      <c r="I666" s="587" t="s">
        <v>601</v>
      </c>
      <c r="J666" s="585">
        <v>2</v>
      </c>
      <c r="K666" s="585" t="s">
        <v>4419</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4363</v>
      </c>
      <c r="C667" s="585">
        <v>653</v>
      </c>
      <c r="D667" s="629" t="s">
        <v>2319</v>
      </c>
      <c r="E667" s="586" t="s">
        <v>4364</v>
      </c>
      <c r="F667" s="675">
        <v>8.8371400000000003E-2</v>
      </c>
      <c r="G667" s="676">
        <v>2538.48</v>
      </c>
      <c r="H667" s="588">
        <v>487.2</v>
      </c>
      <c r="I667" s="587" t="s">
        <v>549</v>
      </c>
      <c r="J667" s="585">
        <v>1</v>
      </c>
      <c r="K667" s="585" t="s">
        <v>4365</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4498</v>
      </c>
      <c r="C680" s="585">
        <v>666</v>
      </c>
      <c r="D680" s="629" t="s">
        <v>2319</v>
      </c>
      <c r="E680" s="586" t="s">
        <v>4503</v>
      </c>
      <c r="F680" s="675">
        <v>4.8099200000000002E-2</v>
      </c>
      <c r="G680" s="676">
        <v>2538.48</v>
      </c>
      <c r="H680" s="588">
        <v>487.2</v>
      </c>
      <c r="I680" s="587" t="s">
        <v>549</v>
      </c>
      <c r="J680" s="585">
        <v>1</v>
      </c>
      <c r="K680" s="585" t="s">
        <v>4508</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4550</v>
      </c>
      <c r="C684" s="585">
        <v>670</v>
      </c>
      <c r="D684" s="629" t="s">
        <v>2319</v>
      </c>
      <c r="E684" s="586" t="s">
        <v>4561</v>
      </c>
      <c r="F684" s="675">
        <v>4.67968E-2</v>
      </c>
      <c r="G684" s="676">
        <v>2538.48</v>
      </c>
      <c r="H684" s="588">
        <v>487.2</v>
      </c>
      <c r="I684" s="587" t="s">
        <v>549</v>
      </c>
      <c r="J684" s="585">
        <v>1</v>
      </c>
      <c r="K684" s="585" t="s">
        <v>4575</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4366</v>
      </c>
      <c r="C685" s="585">
        <v>671</v>
      </c>
      <c r="D685" s="629" t="s">
        <v>2319</v>
      </c>
      <c r="E685" s="586" t="s">
        <v>4367</v>
      </c>
      <c r="F685" s="675">
        <v>4.67968E-2</v>
      </c>
      <c r="G685" s="676">
        <v>2538.48</v>
      </c>
      <c r="H685" s="588">
        <v>487.2</v>
      </c>
      <c r="I685" s="587" t="s">
        <v>549</v>
      </c>
      <c r="J685" s="585">
        <v>1</v>
      </c>
      <c r="K685" s="585" t="s">
        <v>4368</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4551</v>
      </c>
      <c r="C686" s="585">
        <v>672</v>
      </c>
      <c r="D686" s="629" t="s">
        <v>2319</v>
      </c>
      <c r="E686" s="586" t="s">
        <v>4562</v>
      </c>
      <c r="F686" s="675">
        <v>4.67968E-2</v>
      </c>
      <c r="G686" s="676">
        <v>2538.48</v>
      </c>
      <c r="H686" s="588">
        <v>487.2</v>
      </c>
      <c r="I686" s="587" t="s">
        <v>549</v>
      </c>
      <c r="J686" s="585">
        <v>1</v>
      </c>
      <c r="K686" s="585" t="s">
        <v>4576</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3464</v>
      </c>
      <c r="C687" s="585">
        <v>673</v>
      </c>
      <c r="D687" s="629" t="s">
        <v>2319</v>
      </c>
      <c r="E687" s="586" t="s">
        <v>3465</v>
      </c>
      <c r="F687" s="675">
        <v>4.67968E-2</v>
      </c>
      <c r="G687" s="676">
        <v>2538.48</v>
      </c>
      <c r="H687" s="588">
        <v>487.2</v>
      </c>
      <c r="I687" s="587" t="s">
        <v>549</v>
      </c>
      <c r="J687" s="585">
        <v>1</v>
      </c>
      <c r="K687" s="585" t="s">
        <v>3466</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4552</v>
      </c>
      <c r="C688" s="585">
        <v>674</v>
      </c>
      <c r="D688" s="629" t="s">
        <v>2319</v>
      </c>
      <c r="E688" s="586" t="s">
        <v>4563</v>
      </c>
      <c r="F688" s="675">
        <v>4.67968E-2</v>
      </c>
      <c r="G688" s="676">
        <v>2538.48</v>
      </c>
      <c r="H688" s="588">
        <v>487.2</v>
      </c>
      <c r="I688" s="587" t="s">
        <v>549</v>
      </c>
      <c r="J688" s="585">
        <v>1</v>
      </c>
      <c r="K688" s="585" t="s">
        <v>4577</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4401</v>
      </c>
      <c r="C696" s="585">
        <v>682</v>
      </c>
      <c r="D696" s="629" t="s">
        <v>2319</v>
      </c>
      <c r="E696" s="586" t="s">
        <v>4390</v>
      </c>
      <c r="F696" s="675">
        <v>4.1773600000000001E-2</v>
      </c>
      <c r="G696" s="676">
        <v>2538.48</v>
      </c>
      <c r="H696" s="588">
        <v>487.2</v>
      </c>
      <c r="I696" s="587" t="s">
        <v>549</v>
      </c>
      <c r="J696" s="585">
        <v>1</v>
      </c>
      <c r="K696" s="585" t="s">
        <v>4391</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4402</v>
      </c>
      <c r="C697" s="585">
        <v>683</v>
      </c>
      <c r="D697" s="629" t="s">
        <v>2319</v>
      </c>
      <c r="E697" s="586" t="s">
        <v>4392</v>
      </c>
      <c r="F697" s="675">
        <v>4.1773600000000001E-2</v>
      </c>
      <c r="G697" s="676">
        <v>2538.48</v>
      </c>
      <c r="H697" s="588">
        <v>487.2</v>
      </c>
      <c r="I697" s="587" t="s">
        <v>549</v>
      </c>
      <c r="J697" s="585">
        <v>1</v>
      </c>
      <c r="K697" s="585" t="s">
        <v>4393</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4403</v>
      </c>
      <c r="C698" s="585">
        <v>684</v>
      </c>
      <c r="D698" s="629" t="s">
        <v>2319</v>
      </c>
      <c r="E698" s="586" t="s">
        <v>4394</v>
      </c>
      <c r="F698" s="675">
        <v>4.1773600000000001E-2</v>
      </c>
      <c r="G698" s="676">
        <v>2538.48</v>
      </c>
      <c r="H698" s="588">
        <v>487.2</v>
      </c>
      <c r="I698" s="587" t="s">
        <v>549</v>
      </c>
      <c r="J698" s="585">
        <v>1</v>
      </c>
      <c r="K698" s="585" t="s">
        <v>4395</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4404</v>
      </c>
      <c r="C699" s="585">
        <v>685</v>
      </c>
      <c r="D699" s="629" t="s">
        <v>2319</v>
      </c>
      <c r="E699" s="586" t="s">
        <v>4396</v>
      </c>
      <c r="F699" s="675">
        <v>4.1773600000000001E-2</v>
      </c>
      <c r="G699" s="676">
        <v>2538.48</v>
      </c>
      <c r="H699" s="588">
        <v>487.2</v>
      </c>
      <c r="I699" s="587" t="s">
        <v>549</v>
      </c>
      <c r="J699" s="585">
        <v>1</v>
      </c>
      <c r="K699" s="585" t="s">
        <v>4397</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3467</v>
      </c>
      <c r="C713" s="585">
        <v>699</v>
      </c>
      <c r="D713" s="629" t="s">
        <v>2319</v>
      </c>
      <c r="E713" s="586" t="s">
        <v>3468</v>
      </c>
      <c r="F713" s="675">
        <v>4.5670000000000002E-2</v>
      </c>
      <c r="G713" s="676">
        <v>2538.48</v>
      </c>
      <c r="H713" s="588">
        <v>487.2</v>
      </c>
      <c r="I713" s="587" t="s">
        <v>549</v>
      </c>
      <c r="J713" s="585">
        <v>1</v>
      </c>
      <c r="K713" s="585" t="s">
        <v>3469</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4" t="s">
        <v>2193</v>
      </c>
      <c r="H5" s="974"/>
      <c r="I5" s="974"/>
      <c r="J5" s="974"/>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3843</v>
      </c>
      <c r="J6" s="660" t="s">
        <v>4578</v>
      </c>
      <c r="K6" s="2" t="s">
        <v>3264</v>
      </c>
      <c r="L6"/>
      <c r="M6" s="540"/>
      <c r="O6" s="540"/>
      <c r="S6" s="2" t="s">
        <v>3264</v>
      </c>
      <c r="T6" s="139" t="s">
        <v>2213</v>
      </c>
      <c r="U6" s="455" t="s">
        <v>3263</v>
      </c>
      <c r="V6" s="548" t="s">
        <v>3843</v>
      </c>
      <c r="W6" s="548" t="s">
        <v>4578</v>
      </c>
    </row>
    <row r="7" spans="1:23">
      <c r="A7" s="67">
        <v>0</v>
      </c>
      <c r="B7" s="545" t="s">
        <v>2282</v>
      </c>
      <c r="C7" s="67"/>
      <c r="D7" s="187"/>
      <c r="E7" s="187"/>
      <c r="F7" s="67"/>
      <c r="G7" s="661"/>
      <c r="H7" s="661"/>
      <c r="I7" s="661"/>
      <c r="J7" s="661"/>
      <c r="K7" s="67"/>
      <c r="L7"/>
      <c r="M7" s="719" t="s">
        <v>2250</v>
      </c>
      <c r="O7" s="848" t="s">
        <v>2250</v>
      </c>
      <c r="T7" s="546"/>
      <c r="U7" s="546"/>
      <c r="V7" s="546"/>
      <c r="W7" s="546"/>
    </row>
    <row r="8" spans="1:23">
      <c r="A8" s="565">
        <v>702</v>
      </c>
      <c r="B8" s="695" t="s">
        <v>5414</v>
      </c>
      <c r="C8" s="566">
        <f>A8</f>
        <v>702</v>
      </c>
      <c r="D8" s="699" t="s">
        <v>2217</v>
      </c>
      <c r="E8" s="701" t="s">
        <v>7895</v>
      </c>
      <c r="F8" s="567">
        <v>1</v>
      </c>
      <c r="G8" s="662">
        <v>0</v>
      </c>
      <c r="H8" s="662">
        <v>0</v>
      </c>
      <c r="I8" s="662">
        <v>0</v>
      </c>
      <c r="J8" s="662">
        <v>19695.311106668822</v>
      </c>
      <c r="K8" s="568" t="s">
        <v>4584</v>
      </c>
      <c r="L8" s="549"/>
      <c r="M8" s="719" t="s">
        <v>2283</v>
      </c>
      <c r="O8" s="848" t="s">
        <v>445</v>
      </c>
      <c r="S8" s="550"/>
      <c r="T8" s="547"/>
      <c r="U8" s="547"/>
      <c r="V8" s="547"/>
      <c r="W8" s="549"/>
    </row>
    <row r="9" spans="1:23">
      <c r="A9" s="565">
        <v>703</v>
      </c>
      <c r="B9" s="695" t="s">
        <v>5415</v>
      </c>
      <c r="C9" s="566">
        <f t="shared" ref="C9:C72" si="0">A9</f>
        <v>703</v>
      </c>
      <c r="D9" s="699" t="s">
        <v>2217</v>
      </c>
      <c r="E9" s="701" t="s">
        <v>5092</v>
      </c>
      <c r="F9" s="567">
        <v>1</v>
      </c>
      <c r="G9" s="662">
        <v>0</v>
      </c>
      <c r="H9" s="662">
        <v>0</v>
      </c>
      <c r="I9" s="662">
        <v>21630.11966578733</v>
      </c>
      <c r="J9" s="662">
        <v>22213.230372260856</v>
      </c>
      <c r="K9" s="568" t="s">
        <v>3849</v>
      </c>
      <c r="L9" s="549"/>
      <c r="M9" s="719" t="s">
        <v>2284</v>
      </c>
      <c r="O9" s="848" t="s">
        <v>446</v>
      </c>
      <c r="S9" s="550"/>
      <c r="T9" s="547"/>
      <c r="U9" s="547"/>
      <c r="V9" s="547"/>
      <c r="W9" s="549"/>
    </row>
    <row r="10" spans="1:23">
      <c r="A10" s="565">
        <v>704</v>
      </c>
      <c r="B10" s="696" t="s">
        <v>5416</v>
      </c>
      <c r="C10" s="566">
        <f t="shared" si="0"/>
        <v>704</v>
      </c>
      <c r="D10" s="700" t="s">
        <v>2217</v>
      </c>
      <c r="E10" s="701" t="s">
        <v>5093</v>
      </c>
      <c r="F10" s="566">
        <v>1</v>
      </c>
      <c r="G10" s="662">
        <v>0</v>
      </c>
      <c r="H10" s="662">
        <v>0</v>
      </c>
      <c r="I10" s="662">
        <v>23564.928224905838</v>
      </c>
      <c r="J10" s="662">
        <v>24206.364583439736</v>
      </c>
      <c r="K10" s="566" t="s">
        <v>3848</v>
      </c>
      <c r="L10" s="549"/>
      <c r="M10" s="719" t="s">
        <v>2286</v>
      </c>
      <c r="O10" s="719"/>
      <c r="S10" s="550"/>
      <c r="T10" s="547"/>
      <c r="U10" s="547"/>
      <c r="V10" s="547"/>
      <c r="W10" s="549"/>
    </row>
    <row r="11" spans="1:23">
      <c r="A11" s="565">
        <v>705</v>
      </c>
      <c r="B11" s="695" t="s">
        <v>5413</v>
      </c>
      <c r="C11" s="566">
        <f t="shared" si="0"/>
        <v>705</v>
      </c>
      <c r="D11" s="699" t="s">
        <v>2217</v>
      </c>
      <c r="E11" s="701" t="s">
        <v>5094</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5417</v>
      </c>
      <c r="C12" s="566">
        <f t="shared" si="0"/>
        <v>706</v>
      </c>
      <c r="D12" s="700" t="s">
        <v>2217</v>
      </c>
      <c r="E12" s="701" t="s">
        <v>5095</v>
      </c>
      <c r="F12" s="566">
        <v>1</v>
      </c>
      <c r="G12" s="662">
        <v>0</v>
      </c>
      <c r="H12" s="662">
        <v>0</v>
      </c>
      <c r="I12" s="662">
        <v>32407.227431788193</v>
      </c>
      <c r="J12" s="662">
        <v>33393.304828879576</v>
      </c>
      <c r="K12" s="566" t="s">
        <v>3850</v>
      </c>
      <c r="L12" s="549"/>
      <c r="M12" s="719" t="s">
        <v>2220</v>
      </c>
      <c r="O12" s="719"/>
      <c r="S12" s="550"/>
      <c r="T12" s="547"/>
      <c r="U12" s="547"/>
      <c r="V12" s="547"/>
      <c r="W12" s="549"/>
    </row>
    <row r="13" spans="1:23">
      <c r="A13" s="565">
        <v>707</v>
      </c>
      <c r="B13" s="696" t="s">
        <v>5418</v>
      </c>
      <c r="C13" s="566">
        <f t="shared" si="0"/>
        <v>707</v>
      </c>
      <c r="D13" s="700" t="s">
        <v>2217</v>
      </c>
      <c r="E13" s="701" t="s">
        <v>5096</v>
      </c>
      <c r="F13" s="566">
        <v>1</v>
      </c>
      <c r="G13" s="662">
        <v>27879.744909971199</v>
      </c>
      <c r="H13" s="662">
        <v>28733.750712740024</v>
      </c>
      <c r="I13" s="662">
        <v>29632.695161888721</v>
      </c>
      <c r="J13" s="662">
        <v>30578.945254822036</v>
      </c>
      <c r="K13" s="566" t="s">
        <v>1791</v>
      </c>
      <c r="L13" s="549"/>
      <c r="M13" s="719" t="s">
        <v>10429</v>
      </c>
      <c r="O13" s="719"/>
      <c r="S13" s="550"/>
      <c r="T13" s="547"/>
      <c r="U13" s="547"/>
      <c r="V13" s="547"/>
      <c r="W13" s="549"/>
    </row>
    <row r="14" spans="1:23">
      <c r="A14" s="565">
        <v>708</v>
      </c>
      <c r="B14" s="696" t="s">
        <v>5419</v>
      </c>
      <c r="C14" s="566">
        <f t="shared" si="0"/>
        <v>708</v>
      </c>
      <c r="D14" s="700" t="s">
        <v>2217</v>
      </c>
      <c r="E14" s="701" t="s">
        <v>7896</v>
      </c>
      <c r="F14" s="566">
        <v>1</v>
      </c>
      <c r="G14" s="662">
        <v>31102.487298920714</v>
      </c>
      <c r="H14" s="662">
        <v>0</v>
      </c>
      <c r="I14" s="662">
        <v>0</v>
      </c>
      <c r="J14" s="662">
        <v>0</v>
      </c>
      <c r="K14" s="566" t="s">
        <v>5166</v>
      </c>
      <c r="L14" s="549"/>
      <c r="M14" s="719" t="s">
        <v>2287</v>
      </c>
      <c r="O14" s="719"/>
      <c r="S14" s="550"/>
      <c r="T14" s="547"/>
      <c r="U14" s="547"/>
      <c r="V14" s="547"/>
      <c r="W14" s="549"/>
    </row>
    <row r="15" spans="1:23">
      <c r="A15" s="565">
        <v>709</v>
      </c>
      <c r="B15" s="696" t="s">
        <v>5420</v>
      </c>
      <c r="C15" s="566">
        <f t="shared" si="0"/>
        <v>709</v>
      </c>
      <c r="D15" s="700" t="s">
        <v>2217</v>
      </c>
      <c r="E15" s="701" t="s">
        <v>7897</v>
      </c>
      <c r="F15" s="566">
        <v>1</v>
      </c>
      <c r="G15" s="662">
        <v>0</v>
      </c>
      <c r="H15" s="662">
        <v>0</v>
      </c>
      <c r="I15" s="662">
        <v>0</v>
      </c>
      <c r="J15" s="662">
        <v>47685.415179569703</v>
      </c>
      <c r="K15" s="566" t="s">
        <v>4585</v>
      </c>
      <c r="L15" s="549"/>
      <c r="M15" s="719" t="s">
        <v>4455</v>
      </c>
      <c r="O15" s="719"/>
      <c r="S15" s="550"/>
      <c r="T15" s="547"/>
      <c r="U15" s="547"/>
      <c r="V15" s="547"/>
      <c r="W15" s="549"/>
    </row>
    <row r="16" spans="1:23">
      <c r="A16" s="565">
        <v>710</v>
      </c>
      <c r="B16" s="696" t="s">
        <v>5421</v>
      </c>
      <c r="C16" s="566">
        <f t="shared" si="0"/>
        <v>710</v>
      </c>
      <c r="D16" s="700" t="s">
        <v>2217</v>
      </c>
      <c r="E16" s="701" t="s">
        <v>7898</v>
      </c>
      <c r="F16" s="566">
        <v>1</v>
      </c>
      <c r="G16" s="662">
        <v>26580.19000261672</v>
      </c>
      <c r="H16" s="662">
        <v>27263.047197846066</v>
      </c>
      <c r="I16" s="662">
        <v>27981.856470819559</v>
      </c>
      <c r="J16" s="662">
        <v>28738.476076811829</v>
      </c>
      <c r="K16" s="566" t="s">
        <v>3851</v>
      </c>
      <c r="L16" s="549"/>
      <c r="M16" s="719" t="s">
        <v>2288</v>
      </c>
      <c r="O16" s="719"/>
      <c r="S16" s="550"/>
      <c r="T16" s="547"/>
      <c r="U16" s="547"/>
      <c r="V16" s="547"/>
      <c r="W16" s="549"/>
    </row>
    <row r="17" spans="1:23">
      <c r="A17" s="565">
        <v>711</v>
      </c>
      <c r="B17" s="696" t="s">
        <v>5422</v>
      </c>
      <c r="C17" s="566">
        <f t="shared" si="0"/>
        <v>711</v>
      </c>
      <c r="D17" s="700" t="s">
        <v>2217</v>
      </c>
      <c r="E17" s="701" t="s">
        <v>5097</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5423</v>
      </c>
      <c r="C18" s="566">
        <f t="shared" si="0"/>
        <v>712</v>
      </c>
      <c r="D18" s="700" t="s">
        <v>2217</v>
      </c>
      <c r="E18" s="701" t="s">
        <v>5098</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5424</v>
      </c>
      <c r="C19" s="566">
        <f t="shared" si="0"/>
        <v>713</v>
      </c>
      <c r="D19" s="700" t="s">
        <v>2217</v>
      </c>
      <c r="E19" s="701" t="s">
        <v>5099</v>
      </c>
      <c r="F19" s="566">
        <v>1</v>
      </c>
      <c r="G19" s="662">
        <v>27192.062698118516</v>
      </c>
      <c r="H19" s="662">
        <v>27787.132646860879</v>
      </c>
      <c r="I19" s="662">
        <v>28413.547195543015</v>
      </c>
      <c r="J19" s="662">
        <v>29072.929674550229</v>
      </c>
      <c r="K19" s="566" t="s">
        <v>1794</v>
      </c>
      <c r="L19" s="549"/>
      <c r="M19" s="719" t="s">
        <v>3712</v>
      </c>
      <c r="O19" s="719"/>
      <c r="S19" s="550"/>
      <c r="T19" s="547"/>
      <c r="U19" s="547"/>
      <c r="V19" s="547"/>
      <c r="W19" s="549"/>
    </row>
    <row r="20" spans="1:23">
      <c r="A20" s="565">
        <v>714</v>
      </c>
      <c r="B20" s="696" t="s">
        <v>5425</v>
      </c>
      <c r="C20" s="566">
        <f t="shared" si="0"/>
        <v>714</v>
      </c>
      <c r="D20" s="700" t="s">
        <v>2217</v>
      </c>
      <c r="E20" s="701" t="s">
        <v>7899</v>
      </c>
      <c r="F20" s="566">
        <v>1</v>
      </c>
      <c r="G20" s="662">
        <v>46193.291891367895</v>
      </c>
      <c r="H20" s="662">
        <v>0</v>
      </c>
      <c r="I20" s="662">
        <v>0</v>
      </c>
      <c r="J20" s="662">
        <v>0</v>
      </c>
      <c r="K20" s="566" t="s">
        <v>5167</v>
      </c>
      <c r="L20" s="549"/>
      <c r="M20" s="719" t="s">
        <v>2291</v>
      </c>
      <c r="O20" s="718"/>
      <c r="S20" s="550"/>
      <c r="T20" s="547"/>
      <c r="U20" s="547"/>
      <c r="V20" s="547"/>
      <c r="W20" s="549"/>
    </row>
    <row r="21" spans="1:23">
      <c r="A21" s="565">
        <v>715</v>
      </c>
      <c r="B21" s="696" t="s">
        <v>5426</v>
      </c>
      <c r="C21" s="566">
        <f t="shared" si="0"/>
        <v>715</v>
      </c>
      <c r="D21" s="700" t="s">
        <v>2978</v>
      </c>
      <c r="E21" s="701" t="s">
        <v>7900</v>
      </c>
      <c r="F21" s="566">
        <v>1</v>
      </c>
      <c r="G21" s="662">
        <v>0</v>
      </c>
      <c r="H21" s="662">
        <v>21627.149459785975</v>
      </c>
      <c r="I21" s="662">
        <v>0</v>
      </c>
      <c r="J21" s="662">
        <v>0</v>
      </c>
      <c r="K21" s="566" t="s">
        <v>3852</v>
      </c>
      <c r="L21" s="549"/>
      <c r="M21" s="719" t="s">
        <v>3762</v>
      </c>
      <c r="O21" s="718"/>
      <c r="S21" s="550"/>
      <c r="T21" s="547"/>
      <c r="U21" s="547"/>
      <c r="V21" s="547"/>
      <c r="W21" s="549"/>
    </row>
    <row r="22" spans="1:23">
      <c r="A22" s="565">
        <v>716</v>
      </c>
      <c r="B22" s="696" t="s">
        <v>5427</v>
      </c>
      <c r="C22" s="566">
        <f t="shared" si="0"/>
        <v>716</v>
      </c>
      <c r="D22" s="700" t="s">
        <v>2978</v>
      </c>
      <c r="E22" s="701" t="s">
        <v>7901</v>
      </c>
      <c r="F22" s="566">
        <v>1</v>
      </c>
      <c r="G22" s="662">
        <v>0</v>
      </c>
      <c r="H22" s="662">
        <v>17755.537771701031</v>
      </c>
      <c r="I22" s="662">
        <v>0</v>
      </c>
      <c r="J22" s="662">
        <v>0</v>
      </c>
      <c r="K22" s="566" t="s">
        <v>3853</v>
      </c>
      <c r="L22" s="549"/>
      <c r="M22" s="719" t="s">
        <v>2293</v>
      </c>
      <c r="O22" s="718"/>
      <c r="S22" s="550"/>
      <c r="T22" s="547"/>
      <c r="U22" s="547"/>
      <c r="V22" s="547"/>
      <c r="W22" s="549"/>
    </row>
    <row r="23" spans="1:23">
      <c r="A23" s="565">
        <v>717</v>
      </c>
      <c r="B23" s="696" t="s">
        <v>5428</v>
      </c>
      <c r="C23" s="566">
        <f t="shared" si="0"/>
        <v>717</v>
      </c>
      <c r="D23" s="700" t="s">
        <v>2978</v>
      </c>
      <c r="E23" s="701" t="s">
        <v>7902</v>
      </c>
      <c r="F23" s="566">
        <v>1</v>
      </c>
      <c r="G23" s="662">
        <v>0</v>
      </c>
      <c r="H23" s="662">
        <v>20635.704109829985</v>
      </c>
      <c r="I23" s="662">
        <v>21206.382596713353</v>
      </c>
      <c r="J23" s="662">
        <v>21807.127224749645</v>
      </c>
      <c r="K23" s="566" t="s">
        <v>3854</v>
      </c>
      <c r="L23" s="549"/>
      <c r="M23" s="719" t="s">
        <v>2228</v>
      </c>
      <c r="O23" s="718"/>
      <c r="S23" s="550"/>
      <c r="T23" s="547"/>
      <c r="U23" s="547"/>
      <c r="V23" s="547"/>
      <c r="W23" s="549"/>
    </row>
    <row r="24" spans="1:23">
      <c r="A24" s="565">
        <v>718</v>
      </c>
      <c r="B24" s="696" t="s">
        <v>5429</v>
      </c>
      <c r="C24" s="566">
        <f t="shared" si="0"/>
        <v>718</v>
      </c>
      <c r="D24" s="700" t="s">
        <v>2978</v>
      </c>
      <c r="E24" s="701" t="s">
        <v>7903</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5430</v>
      </c>
      <c r="C25" s="566">
        <f t="shared" si="0"/>
        <v>719</v>
      </c>
      <c r="D25" s="700" t="s">
        <v>2218</v>
      </c>
      <c r="E25" s="701" t="s">
        <v>7904</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5431</v>
      </c>
      <c r="C26" s="566">
        <f t="shared" si="0"/>
        <v>720</v>
      </c>
      <c r="D26" s="700" t="s">
        <v>2218</v>
      </c>
      <c r="E26" s="701" t="s">
        <v>7905</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5432</v>
      </c>
      <c r="C27" s="566">
        <f t="shared" si="0"/>
        <v>721</v>
      </c>
      <c r="D27" s="700" t="s">
        <v>2218</v>
      </c>
      <c r="E27" s="701" t="s">
        <v>7906</v>
      </c>
      <c r="F27" s="566">
        <v>1</v>
      </c>
      <c r="G27" s="662">
        <v>0</v>
      </c>
      <c r="H27" s="662">
        <v>30315.984638479484</v>
      </c>
      <c r="I27" s="662">
        <v>31291.792949560753</v>
      </c>
      <c r="J27" s="662">
        <v>0</v>
      </c>
      <c r="K27" s="566" t="s">
        <v>4586</v>
      </c>
      <c r="L27" s="549"/>
      <c r="M27" s="719" t="s">
        <v>4298</v>
      </c>
      <c r="O27" s="716"/>
      <c r="S27" s="550"/>
      <c r="T27" s="547"/>
      <c r="U27" s="547"/>
      <c r="V27" s="547"/>
      <c r="W27" s="549"/>
    </row>
    <row r="28" spans="1:23">
      <c r="A28" s="565">
        <v>722</v>
      </c>
      <c r="B28" s="696" t="s">
        <v>5433</v>
      </c>
      <c r="C28" s="566">
        <f t="shared" si="0"/>
        <v>722</v>
      </c>
      <c r="D28" s="700" t="s">
        <v>2218</v>
      </c>
      <c r="E28" s="701" t="s">
        <v>7907</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5434</v>
      </c>
      <c r="C29" s="566">
        <f t="shared" si="0"/>
        <v>723</v>
      </c>
      <c r="D29" s="700" t="s">
        <v>2218</v>
      </c>
      <c r="E29" s="701" t="s">
        <v>7908</v>
      </c>
      <c r="F29" s="566">
        <v>1</v>
      </c>
      <c r="G29" s="662">
        <v>21359.538313642111</v>
      </c>
      <c r="H29" s="662">
        <v>22023.532064535026</v>
      </c>
      <c r="I29" s="662">
        <v>22722.452494625966</v>
      </c>
      <c r="J29" s="662">
        <v>23458.178570833828</v>
      </c>
      <c r="K29" s="566" t="s">
        <v>4587</v>
      </c>
      <c r="L29" s="549"/>
      <c r="M29" s="719" t="s">
        <v>3770</v>
      </c>
      <c r="O29" s="716"/>
      <c r="S29" s="550"/>
      <c r="T29" s="547"/>
      <c r="U29" s="547"/>
      <c r="V29" s="547"/>
      <c r="W29" s="549"/>
    </row>
    <row r="30" spans="1:23">
      <c r="A30" s="565">
        <v>724</v>
      </c>
      <c r="B30" s="696" t="s">
        <v>5435</v>
      </c>
      <c r="C30" s="566">
        <f t="shared" si="0"/>
        <v>724</v>
      </c>
      <c r="D30" s="700" t="s">
        <v>2218</v>
      </c>
      <c r="E30" s="701" t="s">
        <v>7909</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5436</v>
      </c>
      <c r="C31" s="566">
        <f t="shared" si="0"/>
        <v>725</v>
      </c>
      <c r="D31" s="700" t="s">
        <v>2218</v>
      </c>
      <c r="E31" s="701" t="s">
        <v>7910</v>
      </c>
      <c r="F31" s="566">
        <v>1</v>
      </c>
      <c r="G31" s="662">
        <v>22807.000738004852</v>
      </c>
      <c r="H31" s="662">
        <v>23521.395013310117</v>
      </c>
      <c r="I31" s="662">
        <v>24273.368626993008</v>
      </c>
      <c r="J31" s="662">
        <v>25064.911073438219</v>
      </c>
      <c r="K31" s="566" t="s">
        <v>4588</v>
      </c>
      <c r="L31" s="549"/>
      <c r="M31" s="719" t="s">
        <v>2297</v>
      </c>
      <c r="O31" s="716"/>
      <c r="S31" s="550"/>
      <c r="T31" s="547"/>
      <c r="U31" s="547"/>
      <c r="V31" s="547"/>
      <c r="W31" s="549"/>
    </row>
    <row r="32" spans="1:23">
      <c r="A32" s="565">
        <v>726</v>
      </c>
      <c r="B32" s="696" t="s">
        <v>5437</v>
      </c>
      <c r="C32" s="566">
        <f t="shared" si="0"/>
        <v>726</v>
      </c>
      <c r="D32" s="700" t="s">
        <v>2218</v>
      </c>
      <c r="E32" s="701" t="s">
        <v>7911</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5438</v>
      </c>
      <c r="C33" s="566">
        <f t="shared" si="0"/>
        <v>727</v>
      </c>
      <c r="D33" s="700" t="s">
        <v>2218</v>
      </c>
      <c r="E33" s="701" t="s">
        <v>7912</v>
      </c>
      <c r="F33" s="566">
        <v>1</v>
      </c>
      <c r="G33" s="662">
        <v>25419.952387179161</v>
      </c>
      <c r="H33" s="662">
        <v>26225.310766851435</v>
      </c>
      <c r="I33" s="662">
        <v>27073.056429664368</v>
      </c>
      <c r="J33" s="662">
        <v>27965.399924934271</v>
      </c>
      <c r="K33" s="566" t="s">
        <v>4589</v>
      </c>
      <c r="L33" s="549"/>
      <c r="M33" s="719" t="s">
        <v>4335</v>
      </c>
      <c r="O33" s="716"/>
      <c r="S33" s="550"/>
      <c r="T33" s="547"/>
      <c r="U33" s="547"/>
      <c r="V33" s="547"/>
      <c r="W33" s="549"/>
    </row>
    <row r="34" spans="1:23">
      <c r="A34" s="565">
        <v>728</v>
      </c>
      <c r="B34" s="696" t="s">
        <v>5439</v>
      </c>
      <c r="C34" s="566">
        <f t="shared" si="0"/>
        <v>728</v>
      </c>
      <c r="D34" s="700" t="s">
        <v>2218</v>
      </c>
      <c r="E34" s="701" t="s">
        <v>7913</v>
      </c>
      <c r="F34" s="566">
        <v>1</v>
      </c>
      <c r="G34" s="662">
        <v>27604.30477303567</v>
      </c>
      <c r="H34" s="662">
        <v>28534.669716546465</v>
      </c>
      <c r="I34" s="662">
        <v>29465.034660057256</v>
      </c>
      <c r="J34" s="662">
        <v>30444.363270924787</v>
      </c>
      <c r="K34" s="566" t="s">
        <v>1798</v>
      </c>
      <c r="L34" s="549"/>
      <c r="M34" s="719" t="s">
        <v>10380</v>
      </c>
      <c r="O34" s="716"/>
      <c r="S34" s="550"/>
      <c r="T34" s="547"/>
      <c r="U34" s="547"/>
      <c r="V34" s="547"/>
      <c r="W34" s="549"/>
    </row>
    <row r="35" spans="1:23">
      <c r="A35" s="565">
        <v>729</v>
      </c>
      <c r="B35" s="696" t="s">
        <v>5440</v>
      </c>
      <c r="C35" s="566">
        <f t="shared" si="0"/>
        <v>729</v>
      </c>
      <c r="D35" s="700" t="s">
        <v>2218</v>
      </c>
      <c r="E35" s="701" t="s">
        <v>7914</v>
      </c>
      <c r="F35" s="566">
        <v>1</v>
      </c>
      <c r="G35" s="662">
        <v>26867.414811541901</v>
      </c>
      <c r="H35" s="662">
        <v>27723.17371562653</v>
      </c>
      <c r="I35" s="662">
        <v>28623.972562031391</v>
      </c>
      <c r="J35" s="662">
        <v>29572.187691271563</v>
      </c>
      <c r="K35" s="566" t="s">
        <v>4590</v>
      </c>
      <c r="L35" s="549"/>
      <c r="M35" s="719" t="s">
        <v>2299</v>
      </c>
      <c r="O35" s="716"/>
      <c r="S35" s="550"/>
      <c r="T35" s="547"/>
      <c r="U35" s="547"/>
      <c r="V35" s="547"/>
      <c r="W35" s="549"/>
    </row>
    <row r="36" spans="1:23">
      <c r="A36" s="565">
        <v>730</v>
      </c>
      <c r="B36" s="696" t="s">
        <v>5441</v>
      </c>
      <c r="C36" s="566">
        <f t="shared" si="0"/>
        <v>730</v>
      </c>
      <c r="D36" s="700" t="s">
        <v>2218</v>
      </c>
      <c r="E36" s="701" t="s">
        <v>7915</v>
      </c>
      <c r="F36" s="566">
        <v>1</v>
      </c>
      <c r="G36" s="662">
        <v>29070.565410701816</v>
      </c>
      <c r="H36" s="662">
        <v>30054.812493798185</v>
      </c>
      <c r="I36" s="662">
        <v>0</v>
      </c>
      <c r="J36" s="662">
        <v>0</v>
      </c>
      <c r="K36" s="566" t="s">
        <v>1799</v>
      </c>
      <c r="L36" s="549"/>
      <c r="M36" s="719" t="s">
        <v>3407</v>
      </c>
      <c r="O36" s="716"/>
      <c r="S36" s="550"/>
      <c r="T36" s="547"/>
      <c r="U36" s="547"/>
      <c r="V36" s="547"/>
      <c r="W36" s="549"/>
    </row>
    <row r="37" spans="1:23">
      <c r="A37" s="565">
        <v>731</v>
      </c>
      <c r="B37" s="696" t="s">
        <v>5442</v>
      </c>
      <c r="C37" s="566">
        <f t="shared" si="0"/>
        <v>731</v>
      </c>
      <c r="D37" s="700" t="s">
        <v>2218</v>
      </c>
      <c r="E37" s="701" t="s">
        <v>7916</v>
      </c>
      <c r="F37" s="566">
        <v>1</v>
      </c>
      <c r="G37" s="662">
        <v>28126.895102870523</v>
      </c>
      <c r="H37" s="662">
        <v>29026.478147151407</v>
      </c>
      <c r="I37" s="662">
        <v>29973.422210534678</v>
      </c>
      <c r="J37" s="662">
        <v>30970.214161001233</v>
      </c>
      <c r="K37" s="566" t="s">
        <v>4591</v>
      </c>
      <c r="L37" s="549"/>
      <c r="M37" s="719" t="s">
        <v>2300</v>
      </c>
      <c r="O37" s="716"/>
      <c r="S37" s="550"/>
      <c r="T37" s="547"/>
      <c r="U37" s="547"/>
      <c r="V37" s="547"/>
      <c r="W37" s="549"/>
    </row>
    <row r="38" spans="1:23">
      <c r="A38" s="565">
        <v>732</v>
      </c>
      <c r="B38" s="696" t="s">
        <v>5443</v>
      </c>
      <c r="C38" s="566">
        <f t="shared" si="0"/>
        <v>732</v>
      </c>
      <c r="D38" s="700" t="s">
        <v>2218</v>
      </c>
      <c r="E38" s="701" t="s">
        <v>7917</v>
      </c>
      <c r="F38" s="566">
        <v>1</v>
      </c>
      <c r="G38" s="662">
        <v>30634.576757545725</v>
      </c>
      <c r="H38" s="662">
        <v>31676.298122866683</v>
      </c>
      <c r="I38" s="662">
        <v>32718.01948818766</v>
      </c>
      <c r="J38" s="662">
        <v>33814.562476553641</v>
      </c>
      <c r="K38" s="566" t="s">
        <v>1800</v>
      </c>
      <c r="L38" s="549"/>
      <c r="M38" s="719" t="s">
        <v>4410</v>
      </c>
      <c r="O38" s="716"/>
      <c r="S38" s="550"/>
      <c r="T38" s="547"/>
      <c r="U38" s="547"/>
      <c r="V38" s="547"/>
      <c r="W38" s="549"/>
    </row>
    <row r="39" spans="1:23">
      <c r="A39" s="565">
        <v>733</v>
      </c>
      <c r="B39" s="696" t="s">
        <v>5444</v>
      </c>
      <c r="C39" s="566">
        <f t="shared" si="0"/>
        <v>733</v>
      </c>
      <c r="D39" s="700" t="s">
        <v>2218</v>
      </c>
      <c r="E39" s="701" t="s">
        <v>7918</v>
      </c>
      <c r="F39" s="566">
        <v>1</v>
      </c>
      <c r="G39" s="662">
        <v>29574.35752723326</v>
      </c>
      <c r="H39" s="662">
        <v>30524.341095926502</v>
      </c>
      <c r="I39" s="662">
        <v>31524.338342901723</v>
      </c>
      <c r="J39" s="662">
        <v>32576.94666360562</v>
      </c>
      <c r="K39" s="566" t="s">
        <v>4592</v>
      </c>
      <c r="L39" s="549"/>
      <c r="M39" s="719" t="s">
        <v>2301</v>
      </c>
      <c r="O39" s="716"/>
      <c r="S39" s="550"/>
      <c r="T39" s="547"/>
      <c r="U39" s="547"/>
      <c r="V39" s="547"/>
      <c r="W39" s="549"/>
    </row>
    <row r="40" spans="1:23">
      <c r="A40" s="565">
        <v>734</v>
      </c>
      <c r="B40" s="696" t="s">
        <v>5445</v>
      </c>
      <c r="C40" s="566">
        <f t="shared" si="0"/>
        <v>734</v>
      </c>
      <c r="D40" s="700" t="s">
        <v>2218</v>
      </c>
      <c r="E40" s="701" t="s">
        <v>7919</v>
      </c>
      <c r="F40" s="566">
        <v>1</v>
      </c>
      <c r="G40" s="662">
        <v>29070.565410701816</v>
      </c>
      <c r="H40" s="662">
        <v>30054.812493798185</v>
      </c>
      <c r="I40" s="662">
        <v>0</v>
      </c>
      <c r="J40" s="662">
        <v>0</v>
      </c>
      <c r="K40" s="566" t="s">
        <v>1801</v>
      </c>
      <c r="L40" s="549"/>
      <c r="M40" s="719" t="s">
        <v>2302</v>
      </c>
      <c r="O40" s="716"/>
      <c r="S40" s="550"/>
      <c r="T40" s="547" t="s">
        <v>3744</v>
      </c>
      <c r="U40" s="547"/>
      <c r="V40" s="547"/>
      <c r="W40" s="549"/>
    </row>
    <row r="41" spans="1:23">
      <c r="A41" s="565">
        <v>735</v>
      </c>
      <c r="B41" s="696" t="s">
        <v>5446</v>
      </c>
      <c r="C41" s="566">
        <f t="shared" si="0"/>
        <v>735</v>
      </c>
      <c r="D41" s="700" t="s">
        <v>2218</v>
      </c>
      <c r="E41" s="701" t="s">
        <v>7920</v>
      </c>
      <c r="F41" s="566">
        <v>1</v>
      </c>
      <c r="G41" s="662">
        <v>28217.126526726912</v>
      </c>
      <c r="H41" s="662">
        <v>29119.859603783563</v>
      </c>
      <c r="I41" s="662">
        <v>0</v>
      </c>
      <c r="J41" s="662">
        <v>0</v>
      </c>
      <c r="K41" s="566" t="s">
        <v>4593</v>
      </c>
      <c r="L41" s="549"/>
      <c r="M41" s="719" t="s">
        <v>2303</v>
      </c>
      <c r="O41" s="716"/>
      <c r="S41" s="550"/>
      <c r="T41" s="547"/>
      <c r="U41" s="547"/>
      <c r="V41" s="547"/>
      <c r="W41" s="549"/>
    </row>
    <row r="42" spans="1:23">
      <c r="A42" s="565">
        <v>736</v>
      </c>
      <c r="B42" s="696" t="s">
        <v>5447</v>
      </c>
      <c r="C42" s="566">
        <f t="shared" si="0"/>
        <v>736</v>
      </c>
      <c r="D42" s="700" t="s">
        <v>2218</v>
      </c>
      <c r="E42" s="701" t="s">
        <v>7921</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5448</v>
      </c>
      <c r="C43" s="566">
        <f t="shared" si="0"/>
        <v>737</v>
      </c>
      <c r="D43" s="700" t="s">
        <v>2218</v>
      </c>
      <c r="E43" s="701" t="s">
        <v>7922</v>
      </c>
      <c r="F43" s="566">
        <v>1</v>
      </c>
      <c r="G43" s="662">
        <v>29664.588951089641</v>
      </c>
      <c r="H43" s="662">
        <v>30617.722552558655</v>
      </c>
      <c r="I43" s="662">
        <v>0</v>
      </c>
      <c r="J43" s="662">
        <v>0</v>
      </c>
      <c r="K43" s="566" t="s">
        <v>4594</v>
      </c>
      <c r="L43" s="549"/>
      <c r="M43" s="719" t="s">
        <v>2305</v>
      </c>
      <c r="O43" s="716"/>
      <c r="S43" s="550"/>
      <c r="T43" s="547"/>
      <c r="U43" s="547"/>
      <c r="V43" s="547"/>
      <c r="W43" s="549"/>
    </row>
    <row r="44" spans="1:23">
      <c r="A44" s="565">
        <v>738</v>
      </c>
      <c r="B44" s="696" t="s">
        <v>5449</v>
      </c>
      <c r="C44" s="566">
        <f t="shared" si="0"/>
        <v>738</v>
      </c>
      <c r="D44" s="700" t="s">
        <v>2218</v>
      </c>
      <c r="E44" s="701" t="s">
        <v>7923</v>
      </c>
      <c r="F44" s="566">
        <v>1</v>
      </c>
      <c r="G44" s="662">
        <v>0</v>
      </c>
      <c r="H44" s="662">
        <v>0</v>
      </c>
      <c r="I44" s="662">
        <v>36191.328610034383</v>
      </c>
      <c r="J44" s="662">
        <v>37371.651417489309</v>
      </c>
      <c r="K44" s="566" t="s">
        <v>3855</v>
      </c>
      <c r="L44" s="549"/>
      <c r="M44" s="719" t="s">
        <v>2306</v>
      </c>
      <c r="O44" s="716"/>
      <c r="S44" s="550"/>
      <c r="T44" s="547"/>
      <c r="U44" s="547"/>
      <c r="V44" s="547"/>
      <c r="W44" s="549"/>
    </row>
    <row r="45" spans="1:23">
      <c r="A45" s="565">
        <v>739</v>
      </c>
      <c r="B45" s="696" t="s">
        <v>5450</v>
      </c>
      <c r="C45" s="566">
        <f t="shared" si="0"/>
        <v>739</v>
      </c>
      <c r="D45" s="700" t="s">
        <v>2218</v>
      </c>
      <c r="E45" s="701" t="s">
        <v>7924</v>
      </c>
      <c r="F45" s="566">
        <v>1</v>
      </c>
      <c r="G45" s="662">
        <v>0</v>
      </c>
      <c r="H45" s="662">
        <v>0</v>
      </c>
      <c r="I45" s="662">
        <v>36191.328610034383</v>
      </c>
      <c r="J45" s="662">
        <v>37371.651417489309</v>
      </c>
      <c r="K45" s="566" t="s">
        <v>3856</v>
      </c>
      <c r="L45" s="549"/>
      <c r="M45" s="719" t="s">
        <v>2307</v>
      </c>
      <c r="O45" s="716"/>
      <c r="S45" s="550"/>
      <c r="T45" s="547"/>
      <c r="U45" s="547"/>
      <c r="V45" s="547"/>
      <c r="W45" s="549"/>
    </row>
    <row r="46" spans="1:23">
      <c r="A46" s="565">
        <v>740</v>
      </c>
      <c r="B46" s="696" t="s">
        <v>5451</v>
      </c>
      <c r="C46" s="566">
        <f t="shared" si="0"/>
        <v>740</v>
      </c>
      <c r="D46" s="700" t="s">
        <v>2218</v>
      </c>
      <c r="E46" s="701" t="s">
        <v>7925</v>
      </c>
      <c r="F46" s="566">
        <v>1</v>
      </c>
      <c r="G46" s="662">
        <v>0</v>
      </c>
      <c r="H46" s="662">
        <v>0</v>
      </c>
      <c r="I46" s="662">
        <v>25505.187924483696</v>
      </c>
      <c r="J46" s="662">
        <v>26313.530545733021</v>
      </c>
      <c r="K46" s="566" t="s">
        <v>3857</v>
      </c>
      <c r="L46" s="549"/>
      <c r="M46" s="719" t="s">
        <v>2308</v>
      </c>
      <c r="O46" s="716"/>
      <c r="S46" s="550"/>
      <c r="T46" s="547"/>
      <c r="U46" s="547"/>
      <c r="V46" s="547"/>
      <c r="W46" s="549"/>
    </row>
    <row r="47" spans="1:23">
      <c r="A47" s="565">
        <v>741</v>
      </c>
      <c r="B47" s="696" t="s">
        <v>5452</v>
      </c>
      <c r="C47" s="566">
        <f t="shared" si="0"/>
        <v>741</v>
      </c>
      <c r="D47" s="700" t="s">
        <v>2218</v>
      </c>
      <c r="E47" s="701" t="s">
        <v>7926</v>
      </c>
      <c r="F47" s="566">
        <v>1</v>
      </c>
      <c r="G47" s="662">
        <v>0</v>
      </c>
      <c r="H47" s="662">
        <v>0</v>
      </c>
      <c r="I47" s="662">
        <v>24077.008028783388</v>
      </c>
      <c r="J47" s="662">
        <v>24835.613290415273</v>
      </c>
      <c r="K47" s="566" t="s">
        <v>3858</v>
      </c>
      <c r="L47" s="549"/>
      <c r="M47" s="719" t="s">
        <v>2309</v>
      </c>
      <c r="O47" s="716"/>
      <c r="S47" s="550"/>
      <c r="T47" s="547"/>
      <c r="U47" s="547"/>
      <c r="V47" s="547"/>
      <c r="W47" s="549"/>
    </row>
    <row r="48" spans="1:23">
      <c r="A48" s="565">
        <v>742</v>
      </c>
      <c r="B48" s="696" t="s">
        <v>5453</v>
      </c>
      <c r="C48" s="566">
        <f t="shared" si="0"/>
        <v>742</v>
      </c>
      <c r="D48" s="700" t="s">
        <v>2218</v>
      </c>
      <c r="E48" s="701" t="s">
        <v>7927</v>
      </c>
      <c r="F48" s="566">
        <v>1</v>
      </c>
      <c r="G48" s="662">
        <v>0</v>
      </c>
      <c r="H48" s="662">
        <v>0</v>
      </c>
      <c r="I48" s="662">
        <v>26265.871985832717</v>
      </c>
      <c r="J48" s="662">
        <v>27100.685935145102</v>
      </c>
      <c r="K48" s="566" t="s">
        <v>4595</v>
      </c>
      <c r="L48" s="549"/>
      <c r="M48" s="719" t="s">
        <v>550</v>
      </c>
      <c r="O48" s="716"/>
      <c r="S48" s="550"/>
      <c r="T48" s="547"/>
      <c r="U48" s="547"/>
      <c r="V48" s="547"/>
      <c r="W48" s="549"/>
    </row>
    <row r="49" spans="1:23">
      <c r="A49" s="565">
        <v>743</v>
      </c>
      <c r="B49" s="696" t="s">
        <v>5454</v>
      </c>
      <c r="C49" s="566">
        <f t="shared" si="0"/>
        <v>743</v>
      </c>
      <c r="D49" s="700" t="s">
        <v>2218</v>
      </c>
      <c r="E49" s="701" t="s">
        <v>7928</v>
      </c>
      <c r="F49" s="566">
        <v>1</v>
      </c>
      <c r="G49" s="662">
        <v>0</v>
      </c>
      <c r="H49" s="662">
        <v>0</v>
      </c>
      <c r="I49" s="662">
        <v>24701.860638988812</v>
      </c>
      <c r="J49" s="662">
        <v>25482.239811386557</v>
      </c>
      <c r="K49" s="566" t="s">
        <v>4596</v>
      </c>
      <c r="L49" s="549"/>
      <c r="M49" s="719" t="s">
        <v>2310</v>
      </c>
      <c r="O49" s="716"/>
      <c r="S49" s="550"/>
      <c r="T49" s="547"/>
      <c r="U49" s="547"/>
      <c r="V49" s="547"/>
      <c r="W49" s="549"/>
    </row>
    <row r="50" spans="1:23">
      <c r="A50" s="565">
        <v>744</v>
      </c>
      <c r="B50" s="696" t="s">
        <v>5455</v>
      </c>
      <c r="C50" s="566">
        <f t="shared" si="0"/>
        <v>744</v>
      </c>
      <c r="D50" s="700" t="s">
        <v>2218</v>
      </c>
      <c r="E50" s="701" t="s">
        <v>7929</v>
      </c>
      <c r="F50" s="566">
        <v>1</v>
      </c>
      <c r="G50" s="662">
        <v>0</v>
      </c>
      <c r="H50" s="662">
        <v>0</v>
      </c>
      <c r="I50" s="662">
        <v>29018.359465078382</v>
      </c>
      <c r="J50" s="662">
        <v>29949.000727253719</v>
      </c>
      <c r="K50" s="566" t="s">
        <v>3859</v>
      </c>
      <c r="L50" s="549"/>
      <c r="M50" s="719" t="s">
        <v>2311</v>
      </c>
      <c r="O50" s="716"/>
      <c r="S50" s="550"/>
      <c r="T50" s="547"/>
      <c r="U50" s="547"/>
      <c r="V50" s="547"/>
      <c r="W50" s="549"/>
    </row>
    <row r="51" spans="1:23">
      <c r="A51" s="565">
        <v>745</v>
      </c>
      <c r="B51" s="696" t="s">
        <v>5456</v>
      </c>
      <c r="C51" s="566">
        <f t="shared" si="0"/>
        <v>745</v>
      </c>
      <c r="D51" s="700" t="s">
        <v>2218</v>
      </c>
      <c r="E51" s="701" t="s">
        <v>7930</v>
      </c>
      <c r="F51" s="566">
        <v>1</v>
      </c>
      <c r="G51" s="662">
        <v>0</v>
      </c>
      <c r="H51" s="662">
        <v>0</v>
      </c>
      <c r="I51" s="662">
        <v>29442.770034109381</v>
      </c>
      <c r="J51" s="662">
        <v>30388.166712971226</v>
      </c>
      <c r="K51" s="566" t="s">
        <v>3860</v>
      </c>
      <c r="L51" s="549"/>
      <c r="M51" s="719" t="s">
        <v>2312</v>
      </c>
      <c r="O51" s="716"/>
      <c r="S51" s="550"/>
      <c r="T51" s="547"/>
      <c r="U51" s="547"/>
      <c r="V51" s="547"/>
      <c r="W51" s="549"/>
    </row>
    <row r="52" spans="1:23">
      <c r="A52" s="565">
        <v>746</v>
      </c>
      <c r="B52" s="696" t="s">
        <v>5457</v>
      </c>
      <c r="C52" s="566">
        <f t="shared" si="0"/>
        <v>746</v>
      </c>
      <c r="D52" s="700" t="s">
        <v>2218</v>
      </c>
      <c r="E52" s="701" t="s">
        <v>7931</v>
      </c>
      <c r="F52" s="566">
        <v>1</v>
      </c>
      <c r="G52" s="662">
        <v>0</v>
      </c>
      <c r="H52" s="662">
        <v>0</v>
      </c>
      <c r="I52" s="662">
        <v>30608.259258920934</v>
      </c>
      <c r="J52" s="662">
        <v>31594.219517737467</v>
      </c>
      <c r="K52" s="566" t="s">
        <v>4597</v>
      </c>
      <c r="L52" s="549"/>
      <c r="M52" s="719" t="s">
        <v>2313</v>
      </c>
      <c r="O52" s="716"/>
      <c r="S52" s="550"/>
      <c r="T52" s="547"/>
      <c r="U52" s="547"/>
      <c r="V52" s="547"/>
      <c r="W52" s="549"/>
    </row>
    <row r="53" spans="1:23">
      <c r="A53" s="565">
        <v>747</v>
      </c>
      <c r="B53" s="696" t="s">
        <v>5458</v>
      </c>
      <c r="C53" s="566">
        <f t="shared" si="0"/>
        <v>747</v>
      </c>
      <c r="D53" s="700" t="s">
        <v>2218</v>
      </c>
      <c r="E53" s="701" t="s">
        <v>7932</v>
      </c>
      <c r="F53" s="566">
        <v>1</v>
      </c>
      <c r="G53" s="662">
        <v>0</v>
      </c>
      <c r="H53" s="662">
        <v>0</v>
      </c>
      <c r="I53" s="662">
        <v>29044.247912077033</v>
      </c>
      <c r="J53" s="662">
        <v>29975.77339397891</v>
      </c>
      <c r="K53" s="566" t="s">
        <v>4598</v>
      </c>
      <c r="L53" s="549"/>
      <c r="M53" s="719" t="s">
        <v>2314</v>
      </c>
      <c r="O53" s="716"/>
      <c r="S53" s="550"/>
      <c r="T53" s="547"/>
      <c r="U53" s="547"/>
      <c r="V53" s="547"/>
      <c r="W53" s="549"/>
    </row>
    <row r="54" spans="1:23">
      <c r="A54" s="565">
        <v>748</v>
      </c>
      <c r="B54" s="696" t="s">
        <v>5459</v>
      </c>
      <c r="C54" s="566">
        <f t="shared" si="0"/>
        <v>748</v>
      </c>
      <c r="D54" s="700" t="s">
        <v>2218</v>
      </c>
      <c r="E54" s="701" t="s">
        <v>7933</v>
      </c>
      <c r="F54" s="566">
        <v>1</v>
      </c>
      <c r="G54" s="662">
        <v>0</v>
      </c>
      <c r="H54" s="662">
        <v>0</v>
      </c>
      <c r="I54" s="662">
        <v>31942.932403463208</v>
      </c>
      <c r="J54" s="662">
        <v>32975.369461655588</v>
      </c>
      <c r="K54" s="566" t="s">
        <v>3861</v>
      </c>
      <c r="L54" s="549"/>
      <c r="M54" s="719" t="s">
        <v>3781</v>
      </c>
      <c r="O54" s="716"/>
      <c r="S54" s="550"/>
      <c r="T54" s="547"/>
      <c r="U54" s="547"/>
      <c r="V54" s="547"/>
      <c r="W54" s="549"/>
    </row>
    <row r="55" spans="1:23">
      <c r="A55" s="565">
        <v>749</v>
      </c>
      <c r="B55" s="696" t="s">
        <v>5460</v>
      </c>
      <c r="C55" s="566">
        <f t="shared" si="0"/>
        <v>749</v>
      </c>
      <c r="D55" s="700" t="s">
        <v>2218</v>
      </c>
      <c r="E55" s="701" t="s">
        <v>7934</v>
      </c>
      <c r="F55" s="566">
        <v>1</v>
      </c>
      <c r="G55" s="662">
        <v>0</v>
      </c>
      <c r="H55" s="662">
        <v>0</v>
      </c>
      <c r="I55" s="662">
        <v>33149.777697542275</v>
      </c>
      <c r="J55" s="662">
        <v>34224.215192744945</v>
      </c>
      <c r="K55" s="566" t="s">
        <v>4599</v>
      </c>
      <c r="L55" s="549"/>
      <c r="M55" s="719" t="s">
        <v>2315</v>
      </c>
      <c r="O55" s="716"/>
      <c r="S55" s="550"/>
      <c r="T55" s="547"/>
      <c r="U55" s="547"/>
      <c r="V55" s="547"/>
      <c r="W55" s="549"/>
    </row>
    <row r="56" spans="1:23">
      <c r="A56" s="565">
        <v>750</v>
      </c>
      <c r="B56" s="696" t="s">
        <v>5461</v>
      </c>
      <c r="C56" s="566">
        <f t="shared" si="0"/>
        <v>750</v>
      </c>
      <c r="D56" s="700" t="s">
        <v>2218</v>
      </c>
      <c r="E56" s="701" t="s">
        <v>7935</v>
      </c>
      <c r="F56" s="566">
        <v>1</v>
      </c>
      <c r="G56" s="662">
        <v>0</v>
      </c>
      <c r="H56" s="662">
        <v>0</v>
      </c>
      <c r="I56" s="662">
        <v>33322.721259933671</v>
      </c>
      <c r="J56" s="662">
        <v>34403.182502023345</v>
      </c>
      <c r="K56" s="566" t="s">
        <v>3862</v>
      </c>
      <c r="L56" s="549"/>
      <c r="M56" s="719" t="s">
        <v>2316</v>
      </c>
      <c r="O56" s="716"/>
      <c r="S56" s="550"/>
      <c r="T56" s="547"/>
      <c r="U56" s="547"/>
      <c r="V56" s="547"/>
      <c r="W56" s="549"/>
    </row>
    <row r="57" spans="1:23">
      <c r="A57" s="565">
        <v>751</v>
      </c>
      <c r="B57" s="696" t="s">
        <v>5462</v>
      </c>
      <c r="C57" s="566">
        <f t="shared" si="0"/>
        <v>751</v>
      </c>
      <c r="D57" s="700" t="s">
        <v>2218</v>
      </c>
      <c r="E57" s="701" t="s">
        <v>7936</v>
      </c>
      <c r="F57" s="566">
        <v>1</v>
      </c>
      <c r="G57" s="662">
        <v>0</v>
      </c>
      <c r="H57" s="662">
        <v>0</v>
      </c>
      <c r="I57" s="662">
        <v>34529.566554012745</v>
      </c>
      <c r="J57" s="662">
        <v>35652.083496845604</v>
      </c>
      <c r="K57" s="566" t="s">
        <v>4600</v>
      </c>
      <c r="L57" s="549"/>
      <c r="M57" s="719" t="s">
        <v>2317</v>
      </c>
      <c r="O57" s="716"/>
      <c r="S57" s="550"/>
      <c r="T57" s="547"/>
      <c r="U57" s="547"/>
      <c r="V57" s="547"/>
      <c r="W57" s="549"/>
    </row>
    <row r="58" spans="1:23">
      <c r="A58" s="565">
        <v>752</v>
      </c>
      <c r="B58" s="696" t="s">
        <v>5463</v>
      </c>
      <c r="C58" s="566">
        <f t="shared" si="0"/>
        <v>752</v>
      </c>
      <c r="D58" s="700" t="s">
        <v>2218</v>
      </c>
      <c r="E58" s="701" t="s">
        <v>7937</v>
      </c>
      <c r="F58" s="566">
        <v>1</v>
      </c>
      <c r="G58" s="662">
        <v>0</v>
      </c>
      <c r="H58" s="662">
        <v>0</v>
      </c>
      <c r="I58" s="662">
        <v>30172.292724770625</v>
      </c>
      <c r="J58" s="662">
        <v>31236.119583254902</v>
      </c>
      <c r="K58" s="566" t="s">
        <v>3863</v>
      </c>
      <c r="L58" s="549"/>
      <c r="M58" s="719" t="s">
        <v>2319</v>
      </c>
      <c r="O58" s="716"/>
      <c r="S58" s="550"/>
      <c r="T58" s="547"/>
      <c r="U58" s="547"/>
      <c r="V58" s="547"/>
      <c r="W58" s="549"/>
    </row>
    <row r="59" spans="1:23">
      <c r="A59" s="565">
        <v>753</v>
      </c>
      <c r="B59" s="696" t="s">
        <v>5464</v>
      </c>
      <c r="C59" s="566">
        <f t="shared" si="0"/>
        <v>753</v>
      </c>
      <c r="D59" s="700" t="s">
        <v>2218</v>
      </c>
      <c r="E59" s="701" t="s">
        <v>7938</v>
      </c>
      <c r="F59" s="566">
        <v>1</v>
      </c>
      <c r="G59" s="662">
        <v>24292.3851871974</v>
      </c>
      <c r="H59" s="662">
        <v>25085.309226965321</v>
      </c>
      <c r="I59" s="662">
        <v>25919.957385078989</v>
      </c>
      <c r="J59" s="662">
        <v>26798.540210854731</v>
      </c>
      <c r="K59" s="566" t="s">
        <v>1803</v>
      </c>
      <c r="L59" s="549"/>
      <c r="M59" s="719" t="s">
        <v>10430</v>
      </c>
      <c r="O59" s="716"/>
      <c r="S59" s="550"/>
      <c r="T59" s="547"/>
      <c r="U59" s="547"/>
      <c r="V59" s="547"/>
      <c r="W59" s="549"/>
    </row>
    <row r="60" spans="1:23">
      <c r="A60" s="565">
        <v>754</v>
      </c>
      <c r="B60" s="696" t="s">
        <v>5465</v>
      </c>
      <c r="C60" s="566">
        <f t="shared" si="0"/>
        <v>754</v>
      </c>
      <c r="D60" s="700" t="s">
        <v>2218</v>
      </c>
      <c r="E60" s="701" t="s">
        <v>7939</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5466</v>
      </c>
      <c r="C61" s="566">
        <f t="shared" si="0"/>
        <v>755</v>
      </c>
      <c r="D61" s="700" t="s">
        <v>2218</v>
      </c>
      <c r="E61" s="701" t="s">
        <v>7940</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5467</v>
      </c>
      <c r="C62" s="566">
        <f t="shared" si="0"/>
        <v>756</v>
      </c>
      <c r="D62" s="700" t="s">
        <v>2218</v>
      </c>
      <c r="E62" s="701" t="s">
        <v>7941</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5468</v>
      </c>
      <c r="C63" s="566">
        <f t="shared" si="0"/>
        <v>757</v>
      </c>
      <c r="D63" s="700" t="s">
        <v>2218</v>
      </c>
      <c r="E63" s="701" t="s">
        <v>7942</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5469</v>
      </c>
      <c r="C64" s="566">
        <f t="shared" si="0"/>
        <v>758</v>
      </c>
      <c r="D64" s="700" t="s">
        <v>2218</v>
      </c>
      <c r="E64" s="701" t="s">
        <v>7943</v>
      </c>
      <c r="F64" s="566">
        <v>1</v>
      </c>
      <c r="G64" s="662">
        <v>28342.472377059512</v>
      </c>
      <c r="H64" s="662">
        <v>0</v>
      </c>
      <c r="I64" s="662">
        <v>0</v>
      </c>
      <c r="J64" s="662">
        <v>0</v>
      </c>
      <c r="K64" s="566" t="s">
        <v>5168</v>
      </c>
      <c r="L64" s="549"/>
      <c r="M64" s="719"/>
      <c r="O64" s="716"/>
      <c r="S64" s="550"/>
      <c r="T64" s="547"/>
      <c r="U64" s="547"/>
      <c r="V64" s="547"/>
      <c r="W64" s="549"/>
    </row>
    <row r="65" spans="1:23">
      <c r="A65" s="565">
        <v>759</v>
      </c>
      <c r="B65" s="696" t="s">
        <v>5470</v>
      </c>
      <c r="C65" s="566">
        <f t="shared" si="0"/>
        <v>759</v>
      </c>
      <c r="D65" s="700" t="s">
        <v>2218</v>
      </c>
      <c r="E65" s="701" t="s">
        <v>7944</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5471</v>
      </c>
      <c r="C66" s="566">
        <f t="shared" si="0"/>
        <v>760</v>
      </c>
      <c r="D66" s="700" t="s">
        <v>2218</v>
      </c>
      <c r="E66" s="701" t="s">
        <v>7945</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5472</v>
      </c>
      <c r="C67" s="566">
        <f t="shared" si="0"/>
        <v>761</v>
      </c>
      <c r="D67" s="700" t="s">
        <v>2218</v>
      </c>
      <c r="E67" s="701" t="s">
        <v>7946</v>
      </c>
      <c r="F67" s="566">
        <v>1</v>
      </c>
      <c r="G67" s="662">
        <v>0</v>
      </c>
      <c r="H67" s="662">
        <v>0</v>
      </c>
      <c r="I67" s="662">
        <v>0</v>
      </c>
      <c r="J67" s="662">
        <v>40875.252875165599</v>
      </c>
      <c r="K67" s="566" t="s">
        <v>4601</v>
      </c>
      <c r="L67" s="549"/>
      <c r="M67" s="718"/>
      <c r="O67" s="716"/>
      <c r="S67" s="654"/>
      <c r="T67" s="547"/>
      <c r="U67" s="547"/>
      <c r="V67" s="547"/>
      <c r="W67" s="549"/>
    </row>
    <row r="68" spans="1:23">
      <c r="A68" s="565">
        <v>762</v>
      </c>
      <c r="B68" s="696" t="s">
        <v>5473</v>
      </c>
      <c r="C68" s="566">
        <f t="shared" si="0"/>
        <v>762</v>
      </c>
      <c r="D68" s="700" t="s">
        <v>2218</v>
      </c>
      <c r="E68" s="701" t="s">
        <v>7947</v>
      </c>
      <c r="F68" s="566">
        <v>1</v>
      </c>
      <c r="G68" s="662">
        <v>0</v>
      </c>
      <c r="H68" s="662">
        <v>0</v>
      </c>
      <c r="I68" s="662">
        <v>0</v>
      </c>
      <c r="J68" s="662">
        <v>38409.517779837035</v>
      </c>
      <c r="K68" s="566" t="s">
        <v>4602</v>
      </c>
      <c r="L68" s="549"/>
      <c r="M68" s="717"/>
      <c r="O68" s="716"/>
      <c r="S68" s="654"/>
      <c r="T68" s="547"/>
      <c r="U68" s="547"/>
      <c r="V68" s="547"/>
      <c r="W68" s="549"/>
    </row>
    <row r="69" spans="1:23">
      <c r="A69" s="565">
        <v>763</v>
      </c>
      <c r="B69" s="696" t="s">
        <v>5474</v>
      </c>
      <c r="C69" s="566">
        <f t="shared" si="0"/>
        <v>763</v>
      </c>
      <c r="D69" s="700" t="s">
        <v>2218</v>
      </c>
      <c r="E69" s="701" t="s">
        <v>7948</v>
      </c>
      <c r="F69" s="566">
        <v>1</v>
      </c>
      <c r="G69" s="662">
        <v>0</v>
      </c>
      <c r="H69" s="662">
        <v>0</v>
      </c>
      <c r="I69" s="662">
        <v>0</v>
      </c>
      <c r="J69" s="662">
        <v>35950.711479750709</v>
      </c>
      <c r="K69" s="566" t="s">
        <v>4603</v>
      </c>
      <c r="L69" s="549"/>
      <c r="M69" s="717"/>
      <c r="O69" s="716"/>
      <c r="S69" s="654"/>
      <c r="T69" s="547"/>
      <c r="U69" s="547"/>
      <c r="V69" s="547"/>
      <c r="W69" s="549"/>
    </row>
    <row r="70" spans="1:23">
      <c r="A70" s="565">
        <v>764</v>
      </c>
      <c r="B70" s="696" t="s">
        <v>5475</v>
      </c>
      <c r="C70" s="566">
        <f t="shared" si="0"/>
        <v>764</v>
      </c>
      <c r="D70" s="700" t="s">
        <v>2218</v>
      </c>
      <c r="E70" s="701" t="s">
        <v>7949</v>
      </c>
      <c r="F70" s="566">
        <v>1</v>
      </c>
      <c r="G70" s="662">
        <v>0</v>
      </c>
      <c r="H70" s="662">
        <v>0</v>
      </c>
      <c r="I70" s="662">
        <v>35522.112216432906</v>
      </c>
      <c r="J70" s="662">
        <v>35522.112216432906</v>
      </c>
      <c r="K70" s="566" t="s">
        <v>4604</v>
      </c>
      <c r="L70" s="549"/>
      <c r="M70" s="717"/>
      <c r="O70" s="716"/>
      <c r="S70" s="654"/>
      <c r="T70" s="547"/>
      <c r="U70" s="547"/>
      <c r="V70" s="547"/>
      <c r="W70" s="549"/>
    </row>
    <row r="71" spans="1:23">
      <c r="A71" s="565">
        <v>765</v>
      </c>
      <c r="B71" s="696" t="s">
        <v>5476</v>
      </c>
      <c r="C71" s="566">
        <f t="shared" si="0"/>
        <v>765</v>
      </c>
      <c r="D71" s="700" t="s">
        <v>2218</v>
      </c>
      <c r="E71" s="701" t="s">
        <v>7950</v>
      </c>
      <c r="F71" s="566">
        <v>1</v>
      </c>
      <c r="G71" s="662">
        <v>27999.980699001011</v>
      </c>
      <c r="H71" s="662">
        <v>0</v>
      </c>
      <c r="I71" s="662">
        <v>0</v>
      </c>
      <c r="J71" s="662">
        <v>0</v>
      </c>
      <c r="K71" s="566" t="s">
        <v>5169</v>
      </c>
      <c r="L71" s="549"/>
      <c r="M71" s="717"/>
      <c r="O71" s="716"/>
      <c r="S71" s="654"/>
      <c r="T71" s="547"/>
      <c r="U71" s="547"/>
      <c r="V71" s="547"/>
      <c r="W71" s="549"/>
    </row>
    <row r="72" spans="1:23">
      <c r="A72" s="565">
        <v>766</v>
      </c>
      <c r="B72" s="696" t="s">
        <v>5477</v>
      </c>
      <c r="C72" s="566">
        <f t="shared" si="0"/>
        <v>766</v>
      </c>
      <c r="D72" s="700" t="s">
        <v>2218</v>
      </c>
      <c r="E72" s="701" t="s">
        <v>7951</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5478</v>
      </c>
      <c r="C73" s="566">
        <f t="shared" ref="C73:C136" si="1">A73</f>
        <v>767</v>
      </c>
      <c r="D73" s="700" t="s">
        <v>2218</v>
      </c>
      <c r="E73" s="701" t="s">
        <v>7952</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5479</v>
      </c>
      <c r="C74" s="566">
        <f t="shared" si="1"/>
        <v>768</v>
      </c>
      <c r="D74" s="700" t="s">
        <v>2218</v>
      </c>
      <c r="E74" s="701" t="s">
        <v>7953</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5480</v>
      </c>
      <c r="C75" s="566">
        <f t="shared" si="1"/>
        <v>769</v>
      </c>
      <c r="D75" s="700" t="s">
        <v>2218</v>
      </c>
      <c r="E75" s="701" t="s">
        <v>7954</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5481</v>
      </c>
      <c r="C76" s="566">
        <f t="shared" si="1"/>
        <v>770</v>
      </c>
      <c r="D76" s="700" t="s">
        <v>2218</v>
      </c>
      <c r="E76" s="701" t="s">
        <v>7955</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5482</v>
      </c>
      <c r="C77" s="566">
        <f t="shared" si="1"/>
        <v>771</v>
      </c>
      <c r="D77" s="700" t="s">
        <v>2218</v>
      </c>
      <c r="E77" s="701" t="s">
        <v>7956</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5483</v>
      </c>
      <c r="C78" s="566">
        <f t="shared" si="1"/>
        <v>772</v>
      </c>
      <c r="D78" s="700" t="s">
        <v>2218</v>
      </c>
      <c r="E78" s="701" t="s">
        <v>7957</v>
      </c>
      <c r="F78" s="566">
        <v>1</v>
      </c>
      <c r="G78" s="662">
        <v>29810.109353363896</v>
      </c>
      <c r="H78" s="662">
        <v>0</v>
      </c>
      <c r="I78" s="662">
        <v>0</v>
      </c>
      <c r="J78" s="662">
        <v>0</v>
      </c>
      <c r="K78" s="566" t="s">
        <v>5170</v>
      </c>
      <c r="L78" s="549"/>
      <c r="M78" s="716"/>
      <c r="O78" s="716"/>
      <c r="S78" s="654"/>
      <c r="T78" s="547"/>
      <c r="U78" s="547"/>
      <c r="V78" s="547"/>
      <c r="W78" s="549"/>
    </row>
    <row r="79" spans="1:23">
      <c r="A79" s="565">
        <v>773</v>
      </c>
      <c r="B79" s="696" t="s">
        <v>5484</v>
      </c>
      <c r="C79" s="566">
        <f t="shared" si="1"/>
        <v>773</v>
      </c>
      <c r="D79" s="700" t="s">
        <v>2218</v>
      </c>
      <c r="E79" s="701" t="s">
        <v>7958</v>
      </c>
      <c r="F79" s="566">
        <v>1</v>
      </c>
      <c r="G79" s="662">
        <v>32270.027781087814</v>
      </c>
      <c r="H79" s="662">
        <v>0</v>
      </c>
      <c r="I79" s="662">
        <v>0</v>
      </c>
      <c r="J79" s="662">
        <v>0</v>
      </c>
      <c r="K79" s="566" t="s">
        <v>5171</v>
      </c>
      <c r="L79" s="549"/>
      <c r="M79" s="716"/>
      <c r="O79" s="716"/>
      <c r="S79" s="654"/>
      <c r="T79" s="547"/>
      <c r="U79" s="547"/>
      <c r="V79" s="547"/>
      <c r="W79" s="549"/>
    </row>
    <row r="80" spans="1:23">
      <c r="A80" s="565">
        <v>774</v>
      </c>
      <c r="B80" s="696" t="s">
        <v>5485</v>
      </c>
      <c r="C80" s="566">
        <f t="shared" si="1"/>
        <v>774</v>
      </c>
      <c r="D80" s="700" t="s">
        <v>2218</v>
      </c>
      <c r="E80" s="701" t="s">
        <v>7959</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5486</v>
      </c>
      <c r="C81" s="566">
        <f t="shared" si="1"/>
        <v>775</v>
      </c>
      <c r="D81" s="700" t="s">
        <v>2218</v>
      </c>
      <c r="E81" s="701" t="s">
        <v>7960</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5487</v>
      </c>
      <c r="C82" s="566">
        <f t="shared" si="1"/>
        <v>776</v>
      </c>
      <c r="D82" s="700" t="s">
        <v>2218</v>
      </c>
      <c r="E82" s="701" t="s">
        <v>7961</v>
      </c>
      <c r="F82" s="566">
        <v>1</v>
      </c>
      <c r="G82" s="662">
        <v>29270.24464309742</v>
      </c>
      <c r="H82" s="662">
        <v>0</v>
      </c>
      <c r="I82" s="662">
        <v>0</v>
      </c>
      <c r="J82" s="662">
        <v>0</v>
      </c>
      <c r="K82" s="566" t="s">
        <v>5172</v>
      </c>
      <c r="L82" s="549"/>
      <c r="M82" s="716"/>
      <c r="O82" s="716"/>
      <c r="S82" s="654"/>
      <c r="T82" s="547"/>
      <c r="U82" s="547"/>
      <c r="V82" s="547"/>
      <c r="W82" s="549"/>
    </row>
    <row r="83" spans="1:23">
      <c r="A83" s="565">
        <v>777</v>
      </c>
      <c r="B83" s="696" t="s">
        <v>5488</v>
      </c>
      <c r="C83" s="566">
        <f t="shared" si="1"/>
        <v>777</v>
      </c>
      <c r="D83" s="700" t="s">
        <v>2218</v>
      </c>
      <c r="E83" s="701" t="s">
        <v>7962</v>
      </c>
      <c r="F83" s="566">
        <v>1</v>
      </c>
      <c r="G83" s="662">
        <v>0</v>
      </c>
      <c r="H83" s="662">
        <v>0</v>
      </c>
      <c r="I83" s="662">
        <v>25995.129991086615</v>
      </c>
      <c r="J83" s="662">
        <v>26576.2509520891</v>
      </c>
      <c r="K83" s="566" t="s">
        <v>3864</v>
      </c>
      <c r="L83" s="549"/>
      <c r="M83" s="716"/>
      <c r="O83" s="716"/>
      <c r="S83" s="654"/>
      <c r="T83" s="547"/>
      <c r="U83" s="547"/>
      <c r="V83" s="547"/>
      <c r="W83" s="549"/>
    </row>
    <row r="84" spans="1:23">
      <c r="A84" s="565">
        <v>778</v>
      </c>
      <c r="B84" s="696" t="s">
        <v>5489</v>
      </c>
      <c r="C84" s="566">
        <f t="shared" si="1"/>
        <v>778</v>
      </c>
      <c r="D84" s="700" t="s">
        <v>2218</v>
      </c>
      <c r="E84" s="701" t="s">
        <v>7963</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5490</v>
      </c>
      <c r="C85" s="566">
        <f t="shared" si="1"/>
        <v>779</v>
      </c>
      <c r="D85" s="700" t="s">
        <v>2218</v>
      </c>
      <c r="E85" s="701" t="s">
        <v>7964</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5491</v>
      </c>
      <c r="C86" s="566">
        <f t="shared" si="1"/>
        <v>780</v>
      </c>
      <c r="D86" s="700" t="s">
        <v>2218</v>
      </c>
      <c r="E86" s="701" t="s">
        <v>7965</v>
      </c>
      <c r="F86" s="566">
        <v>1</v>
      </c>
      <c r="G86" s="662">
        <v>0</v>
      </c>
      <c r="H86" s="662">
        <v>0</v>
      </c>
      <c r="I86" s="662">
        <v>38754.172946847488</v>
      </c>
      <c r="J86" s="662">
        <v>39648.025571280945</v>
      </c>
      <c r="K86" s="566" t="s">
        <v>3865</v>
      </c>
      <c r="L86" s="549"/>
      <c r="M86" s="716"/>
      <c r="O86" s="716"/>
      <c r="S86" s="654"/>
      <c r="T86" s="547"/>
      <c r="U86" s="547"/>
      <c r="V86" s="547"/>
      <c r="W86" s="549"/>
    </row>
    <row r="87" spans="1:23">
      <c r="A87" s="565">
        <v>781</v>
      </c>
      <c r="B87" s="696" t="s">
        <v>5492</v>
      </c>
      <c r="C87" s="566">
        <f t="shared" si="1"/>
        <v>781</v>
      </c>
      <c r="D87" s="700" t="s">
        <v>2218</v>
      </c>
      <c r="E87" s="701" t="s">
        <v>7966</v>
      </c>
      <c r="F87" s="566">
        <v>1</v>
      </c>
      <c r="G87" s="662">
        <v>0</v>
      </c>
      <c r="H87" s="662">
        <v>0</v>
      </c>
      <c r="I87" s="662">
        <v>39160.315230063265</v>
      </c>
      <c r="J87" s="662">
        <v>40064.122764792206</v>
      </c>
      <c r="K87" s="566" t="s">
        <v>3866</v>
      </c>
      <c r="L87" s="549"/>
      <c r="M87" s="716"/>
      <c r="O87" s="716"/>
      <c r="S87" s="654"/>
      <c r="T87" s="547"/>
      <c r="U87" s="547"/>
      <c r="V87" s="547"/>
      <c r="W87" s="549"/>
    </row>
    <row r="88" spans="1:23">
      <c r="A88" s="565">
        <v>782</v>
      </c>
      <c r="B88" s="696" t="s">
        <v>5493</v>
      </c>
      <c r="C88" s="566">
        <f t="shared" si="1"/>
        <v>782</v>
      </c>
      <c r="D88" s="700" t="s">
        <v>2218</v>
      </c>
      <c r="E88" s="701" t="s">
        <v>7967</v>
      </c>
      <c r="F88" s="566">
        <v>1</v>
      </c>
      <c r="G88" s="662">
        <v>32823.545571468698</v>
      </c>
      <c r="H88" s="662">
        <v>0</v>
      </c>
      <c r="I88" s="662">
        <v>0</v>
      </c>
      <c r="J88" s="662">
        <v>0</v>
      </c>
      <c r="K88" s="566" t="s">
        <v>5173</v>
      </c>
      <c r="L88" s="549"/>
      <c r="M88" s="716"/>
      <c r="O88" s="716"/>
      <c r="S88" s="654"/>
      <c r="T88" s="547"/>
      <c r="U88" s="547"/>
      <c r="V88" s="547"/>
      <c r="W88" s="549"/>
    </row>
    <row r="89" spans="1:23">
      <c r="A89" s="565">
        <v>783</v>
      </c>
      <c r="B89" s="696" t="s">
        <v>5494</v>
      </c>
      <c r="C89" s="566">
        <f t="shared" si="1"/>
        <v>783</v>
      </c>
      <c r="D89" s="700" t="s">
        <v>2218</v>
      </c>
      <c r="E89" s="701" t="s">
        <v>7968</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5495</v>
      </c>
      <c r="C90" s="566">
        <f t="shared" si="1"/>
        <v>784</v>
      </c>
      <c r="D90" s="700" t="s">
        <v>2218</v>
      </c>
      <c r="E90" s="701" t="s">
        <v>7969</v>
      </c>
      <c r="F90" s="566">
        <v>1</v>
      </c>
      <c r="G90" s="662">
        <v>33599.316119724965</v>
      </c>
      <c r="H90" s="662">
        <v>0</v>
      </c>
      <c r="I90" s="662">
        <v>0</v>
      </c>
      <c r="J90" s="662">
        <v>0</v>
      </c>
      <c r="K90" s="566" t="s">
        <v>5174</v>
      </c>
      <c r="L90" s="549"/>
      <c r="M90" s="716"/>
      <c r="O90" s="716"/>
      <c r="S90" s="654"/>
      <c r="T90" s="547"/>
      <c r="U90" s="547"/>
      <c r="V90" s="547"/>
      <c r="W90" s="549"/>
    </row>
    <row r="91" spans="1:23">
      <c r="A91" s="565">
        <v>785</v>
      </c>
      <c r="B91" s="696" t="s">
        <v>5496</v>
      </c>
      <c r="C91" s="566">
        <f t="shared" si="1"/>
        <v>785</v>
      </c>
      <c r="D91" s="700" t="s">
        <v>2218</v>
      </c>
      <c r="E91" s="701" t="s">
        <v>7970</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5497</v>
      </c>
      <c r="C92" s="566">
        <f t="shared" si="1"/>
        <v>786</v>
      </c>
      <c r="D92" s="700" t="s">
        <v>2218</v>
      </c>
      <c r="E92" s="701" t="s">
        <v>7971</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5498</v>
      </c>
      <c r="C93" s="566">
        <f t="shared" si="1"/>
        <v>787</v>
      </c>
      <c r="D93" s="700" t="s">
        <v>2218</v>
      </c>
      <c r="E93" s="701" t="s">
        <v>7972</v>
      </c>
      <c r="F93" s="566">
        <v>1</v>
      </c>
      <c r="G93" s="662">
        <v>33780.711303257893</v>
      </c>
      <c r="H93" s="662">
        <v>0</v>
      </c>
      <c r="I93" s="662">
        <v>0</v>
      </c>
      <c r="J93" s="662">
        <v>0</v>
      </c>
      <c r="K93" s="566" t="s">
        <v>5175</v>
      </c>
      <c r="L93" s="549"/>
      <c r="M93" s="716"/>
      <c r="O93" s="716"/>
      <c r="S93" s="654"/>
      <c r="T93" s="547"/>
      <c r="U93" s="547"/>
      <c r="V93" s="547"/>
      <c r="W93" s="549"/>
    </row>
    <row r="94" spans="1:23">
      <c r="A94" s="565">
        <v>788</v>
      </c>
      <c r="B94" s="696" t="s">
        <v>5499</v>
      </c>
      <c r="C94" s="566">
        <f t="shared" si="1"/>
        <v>788</v>
      </c>
      <c r="D94" s="700" t="s">
        <v>2218</v>
      </c>
      <c r="E94" s="701" t="s">
        <v>7973</v>
      </c>
      <c r="F94" s="566">
        <v>1</v>
      </c>
      <c r="G94" s="662">
        <v>0</v>
      </c>
      <c r="H94" s="662">
        <v>0</v>
      </c>
      <c r="I94" s="662">
        <v>0</v>
      </c>
      <c r="J94" s="662">
        <v>30783.333751104095</v>
      </c>
      <c r="K94" s="566" t="s">
        <v>4605</v>
      </c>
      <c r="L94" s="549"/>
      <c r="M94" s="716"/>
      <c r="O94" s="716"/>
      <c r="S94" s="654"/>
      <c r="T94" s="547"/>
      <c r="U94" s="547"/>
      <c r="V94" s="547"/>
      <c r="W94" s="549"/>
    </row>
    <row r="95" spans="1:23">
      <c r="A95" s="565">
        <v>789</v>
      </c>
      <c r="B95" s="696" t="s">
        <v>5500</v>
      </c>
      <c r="C95" s="566">
        <f t="shared" si="1"/>
        <v>789</v>
      </c>
      <c r="D95" s="700" t="s">
        <v>2218</v>
      </c>
      <c r="E95" s="701" t="s">
        <v>7974</v>
      </c>
      <c r="F95" s="566">
        <v>1</v>
      </c>
      <c r="G95" s="662">
        <v>21548.958337957982</v>
      </c>
      <c r="H95" s="662">
        <v>0</v>
      </c>
      <c r="I95" s="662">
        <v>0</v>
      </c>
      <c r="J95" s="662">
        <v>0</v>
      </c>
      <c r="K95" s="566" t="s">
        <v>5176</v>
      </c>
      <c r="L95" s="549"/>
      <c r="M95" s="716"/>
      <c r="O95" s="716"/>
      <c r="S95" s="654"/>
      <c r="T95" s="547"/>
      <c r="U95" s="547"/>
      <c r="V95" s="547"/>
      <c r="W95" s="549"/>
    </row>
    <row r="96" spans="1:23">
      <c r="A96" s="565">
        <v>790</v>
      </c>
      <c r="B96" s="696" t="s">
        <v>5501</v>
      </c>
      <c r="C96" s="566">
        <f t="shared" si="1"/>
        <v>790</v>
      </c>
      <c r="D96" s="700" t="s">
        <v>2218</v>
      </c>
      <c r="E96" s="701" t="s">
        <v>7975</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5502</v>
      </c>
      <c r="C97" s="566">
        <f t="shared" si="1"/>
        <v>791</v>
      </c>
      <c r="D97" s="700" t="s">
        <v>2218</v>
      </c>
      <c r="E97" s="701" t="s">
        <v>7976</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5503</v>
      </c>
      <c r="C98" s="566">
        <f t="shared" si="1"/>
        <v>792</v>
      </c>
      <c r="D98" s="700" t="s">
        <v>2218</v>
      </c>
      <c r="E98" s="701" t="s">
        <v>7977</v>
      </c>
      <c r="F98" s="566">
        <v>1</v>
      </c>
      <c r="G98" s="662">
        <v>25768.754231216844</v>
      </c>
      <c r="H98" s="662">
        <v>0</v>
      </c>
      <c r="I98" s="662">
        <v>0</v>
      </c>
      <c r="J98" s="662">
        <v>0</v>
      </c>
      <c r="K98" s="566" t="s">
        <v>5177</v>
      </c>
      <c r="L98" s="549"/>
      <c r="M98" s="716"/>
      <c r="O98" s="716"/>
      <c r="S98" s="654"/>
      <c r="T98" s="547"/>
      <c r="U98" s="547"/>
      <c r="V98" s="547"/>
      <c r="W98" s="549"/>
    </row>
    <row r="99" spans="1:23">
      <c r="A99" s="565">
        <v>793</v>
      </c>
      <c r="B99" s="696" t="s">
        <v>5504</v>
      </c>
      <c r="C99" s="566">
        <f t="shared" si="1"/>
        <v>793</v>
      </c>
      <c r="D99" s="700" t="s">
        <v>2218</v>
      </c>
      <c r="E99" s="701" t="s">
        <v>7978</v>
      </c>
      <c r="F99" s="566">
        <v>1</v>
      </c>
      <c r="G99" s="662">
        <v>0</v>
      </c>
      <c r="H99" s="662">
        <v>0</v>
      </c>
      <c r="I99" s="662">
        <v>26575.147655106284</v>
      </c>
      <c r="J99" s="662">
        <v>27154.179313947985</v>
      </c>
      <c r="K99" s="566" t="s">
        <v>4606</v>
      </c>
      <c r="L99" s="549"/>
      <c r="M99" s="715"/>
      <c r="O99" s="716"/>
      <c r="S99" s="654"/>
      <c r="T99" s="547"/>
      <c r="U99" s="547"/>
      <c r="V99" s="547"/>
      <c r="W99" s="549"/>
    </row>
    <row r="100" spans="1:23">
      <c r="A100" s="565">
        <v>794</v>
      </c>
      <c r="B100" s="696" t="s">
        <v>5505</v>
      </c>
      <c r="C100" s="566">
        <f t="shared" si="1"/>
        <v>794</v>
      </c>
      <c r="D100" s="700" t="s">
        <v>2218</v>
      </c>
      <c r="E100" s="701" t="s">
        <v>7979</v>
      </c>
      <c r="F100" s="566">
        <v>1</v>
      </c>
      <c r="G100" s="662">
        <v>0</v>
      </c>
      <c r="H100" s="662">
        <v>0</v>
      </c>
      <c r="I100" s="662">
        <v>25092.591583940455</v>
      </c>
      <c r="J100" s="662">
        <v>25651.590522064078</v>
      </c>
      <c r="K100" s="566" t="s">
        <v>3867</v>
      </c>
      <c r="L100" s="549"/>
      <c r="M100" s="715"/>
      <c r="O100" s="716"/>
      <c r="S100" s="654"/>
      <c r="T100" s="547"/>
      <c r="U100" s="547"/>
      <c r="V100" s="547"/>
      <c r="W100" s="549"/>
    </row>
    <row r="101" spans="1:23">
      <c r="A101" s="565">
        <v>795</v>
      </c>
      <c r="B101" s="696" t="s">
        <v>5506</v>
      </c>
      <c r="C101" s="566">
        <f t="shared" si="1"/>
        <v>795</v>
      </c>
      <c r="D101" s="700" t="s">
        <v>2218</v>
      </c>
      <c r="E101" s="701" t="s">
        <v>7980</v>
      </c>
      <c r="F101" s="566">
        <v>1</v>
      </c>
      <c r="G101" s="662">
        <v>0</v>
      </c>
      <c r="H101" s="662">
        <v>0</v>
      </c>
      <c r="I101" s="662">
        <v>26161.38706608722</v>
      </c>
      <c r="J101" s="662">
        <v>26746.563731284165</v>
      </c>
      <c r="K101" s="566" t="s">
        <v>3868</v>
      </c>
      <c r="L101" s="549"/>
      <c r="M101" s="715"/>
      <c r="O101" s="716"/>
      <c r="S101" s="654"/>
      <c r="T101" s="547"/>
      <c r="U101" s="547"/>
      <c r="V101" s="547"/>
      <c r="W101" s="549"/>
    </row>
    <row r="102" spans="1:23">
      <c r="A102" s="565">
        <v>796</v>
      </c>
      <c r="B102" s="696" t="s">
        <v>5507</v>
      </c>
      <c r="C102" s="566">
        <f t="shared" si="1"/>
        <v>796</v>
      </c>
      <c r="D102" s="700" t="s">
        <v>2218</v>
      </c>
      <c r="E102" s="701" t="s">
        <v>7981</v>
      </c>
      <c r="F102" s="566">
        <v>1</v>
      </c>
      <c r="G102" s="662">
        <v>31485.082754553925</v>
      </c>
      <c r="H102" s="662">
        <v>0</v>
      </c>
      <c r="I102" s="662">
        <v>0</v>
      </c>
      <c r="J102" s="662">
        <v>0</v>
      </c>
      <c r="K102" s="566" t="s">
        <v>5178</v>
      </c>
      <c r="L102" s="549"/>
      <c r="M102" s="715"/>
      <c r="O102" s="716"/>
      <c r="S102" s="654"/>
      <c r="T102" s="547"/>
      <c r="U102" s="547"/>
      <c r="V102" s="547"/>
      <c r="W102" s="549"/>
    </row>
    <row r="103" spans="1:23">
      <c r="A103" s="565">
        <v>797</v>
      </c>
      <c r="B103" s="696" t="s">
        <v>5508</v>
      </c>
      <c r="C103" s="566">
        <f t="shared" si="1"/>
        <v>797</v>
      </c>
      <c r="D103" s="700" t="s">
        <v>2218</v>
      </c>
      <c r="E103" s="701" t="s">
        <v>7982</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5509</v>
      </c>
      <c r="C104" s="566">
        <f t="shared" si="1"/>
        <v>798</v>
      </c>
      <c r="D104" s="700" t="s">
        <v>2218</v>
      </c>
      <c r="E104" s="701" t="s">
        <v>7983</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5510</v>
      </c>
      <c r="C105" s="566">
        <f t="shared" si="1"/>
        <v>799</v>
      </c>
      <c r="D105" s="700" t="s">
        <v>2218</v>
      </c>
      <c r="E105" s="701" t="s">
        <v>7984</v>
      </c>
      <c r="F105" s="566">
        <v>1</v>
      </c>
      <c r="G105" s="662">
        <v>0</v>
      </c>
      <c r="H105" s="662">
        <v>0</v>
      </c>
      <c r="I105" s="662">
        <v>36579.899137844557</v>
      </c>
      <c r="J105" s="662">
        <v>37396.461065193384</v>
      </c>
      <c r="K105" s="566" t="s">
        <v>3869</v>
      </c>
      <c r="L105" s="549"/>
      <c r="M105" s="715"/>
      <c r="O105" s="716"/>
      <c r="S105" s="654"/>
      <c r="T105" s="547"/>
      <c r="U105" s="547"/>
      <c r="V105" s="547"/>
      <c r="W105" s="549"/>
    </row>
    <row r="106" spans="1:23">
      <c r="A106" s="565">
        <v>800</v>
      </c>
      <c r="B106" s="696" t="s">
        <v>5511</v>
      </c>
      <c r="C106" s="566">
        <f t="shared" si="1"/>
        <v>800</v>
      </c>
      <c r="D106" s="700" t="s">
        <v>2218</v>
      </c>
      <c r="E106" s="701" t="s">
        <v>7985</v>
      </c>
      <c r="F106" s="566">
        <v>1</v>
      </c>
      <c r="G106" s="662">
        <v>35002.316399871321</v>
      </c>
      <c r="H106" s="662">
        <v>0</v>
      </c>
      <c r="I106" s="662">
        <v>0</v>
      </c>
      <c r="J106" s="662">
        <v>0</v>
      </c>
      <c r="K106" s="566" t="s">
        <v>5179</v>
      </c>
      <c r="L106" s="549"/>
      <c r="M106" s="715"/>
      <c r="O106" s="716"/>
      <c r="S106" s="654"/>
      <c r="T106" s="547"/>
      <c r="U106" s="547"/>
      <c r="V106" s="547"/>
      <c r="W106" s="549"/>
    </row>
    <row r="107" spans="1:23">
      <c r="A107" s="565">
        <v>801</v>
      </c>
      <c r="B107" s="696" t="s">
        <v>5512</v>
      </c>
      <c r="C107" s="566">
        <f t="shared" si="1"/>
        <v>801</v>
      </c>
      <c r="D107" s="700" t="s">
        <v>2218</v>
      </c>
      <c r="E107" s="701" t="s">
        <v>7986</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5513</v>
      </c>
      <c r="C108" s="566">
        <f t="shared" si="1"/>
        <v>802</v>
      </c>
      <c r="D108" s="700" t="s">
        <v>2218</v>
      </c>
      <c r="E108" s="701" t="s">
        <v>7987</v>
      </c>
      <c r="F108" s="566">
        <v>1</v>
      </c>
      <c r="G108" s="662">
        <v>0</v>
      </c>
      <c r="H108" s="662">
        <v>0</v>
      </c>
      <c r="I108" s="662">
        <v>29563.336317123729</v>
      </c>
      <c r="J108" s="662">
        <v>30212.813757709577</v>
      </c>
      <c r="K108" s="566" t="s">
        <v>3870</v>
      </c>
      <c r="L108" s="549"/>
      <c r="M108" s="715"/>
      <c r="O108" s="716"/>
      <c r="S108" s="654"/>
      <c r="T108" s="547"/>
      <c r="U108" s="547"/>
      <c r="V108" s="547"/>
      <c r="W108" s="549"/>
    </row>
    <row r="109" spans="1:23">
      <c r="A109" s="565">
        <v>803</v>
      </c>
      <c r="B109" s="696" t="s">
        <v>5514</v>
      </c>
      <c r="C109" s="566">
        <f t="shared" si="1"/>
        <v>803</v>
      </c>
      <c r="D109" s="700" t="s">
        <v>2218</v>
      </c>
      <c r="E109" s="701" t="s">
        <v>7988</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5515</v>
      </c>
      <c r="C110" s="566">
        <f t="shared" si="1"/>
        <v>804</v>
      </c>
      <c r="D110" s="700" t="s">
        <v>2218</v>
      </c>
      <c r="E110" s="701" t="s">
        <v>7989</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5516</v>
      </c>
      <c r="C111" s="566">
        <f t="shared" si="1"/>
        <v>805</v>
      </c>
      <c r="D111" s="700" t="s">
        <v>2218</v>
      </c>
      <c r="E111" s="701" t="s">
        <v>7990</v>
      </c>
      <c r="F111" s="566">
        <v>1</v>
      </c>
      <c r="G111" s="662">
        <v>31510.94476665185</v>
      </c>
      <c r="H111" s="662">
        <v>0</v>
      </c>
      <c r="I111" s="662">
        <v>0</v>
      </c>
      <c r="J111" s="662">
        <v>0</v>
      </c>
      <c r="K111" s="566" t="s">
        <v>5180</v>
      </c>
      <c r="L111" s="549"/>
      <c r="M111" s="715"/>
      <c r="O111" s="716"/>
      <c r="S111" s="654"/>
      <c r="T111" s="547"/>
      <c r="U111" s="547"/>
      <c r="V111" s="547"/>
      <c r="W111" s="549"/>
    </row>
    <row r="112" spans="1:23">
      <c r="A112" s="565">
        <v>806</v>
      </c>
      <c r="B112" s="696" t="s">
        <v>5517</v>
      </c>
      <c r="C112" s="566">
        <f t="shared" si="1"/>
        <v>806</v>
      </c>
      <c r="D112" s="700" t="s">
        <v>2218</v>
      </c>
      <c r="E112" s="701" t="s">
        <v>7991</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5518</v>
      </c>
      <c r="C113" s="566">
        <f t="shared" si="1"/>
        <v>807</v>
      </c>
      <c r="D113" s="700" t="s">
        <v>2218</v>
      </c>
      <c r="E113" s="701" t="s">
        <v>7992</v>
      </c>
      <c r="F113" s="566">
        <v>1</v>
      </c>
      <c r="G113" s="662">
        <v>0</v>
      </c>
      <c r="H113" s="662">
        <v>0</v>
      </c>
      <c r="I113" s="662">
        <v>28807.369809646007</v>
      </c>
      <c r="J113" s="662">
        <v>29438.846766860217</v>
      </c>
      <c r="K113" s="566" t="s">
        <v>3871</v>
      </c>
      <c r="L113" s="549"/>
      <c r="M113" s="715"/>
      <c r="O113" s="716"/>
      <c r="S113" s="654"/>
      <c r="T113" s="547"/>
      <c r="U113" s="547"/>
      <c r="V113" s="547"/>
      <c r="W113" s="549"/>
    </row>
    <row r="114" spans="1:23">
      <c r="A114" s="565">
        <v>808</v>
      </c>
      <c r="B114" s="696" t="s">
        <v>5519</v>
      </c>
      <c r="C114" s="566">
        <f t="shared" si="1"/>
        <v>808</v>
      </c>
      <c r="D114" s="700" t="s">
        <v>2218</v>
      </c>
      <c r="E114" s="701" t="s">
        <v>7993</v>
      </c>
      <c r="F114" s="566">
        <v>1</v>
      </c>
      <c r="G114" s="662">
        <v>29885.903860950901</v>
      </c>
      <c r="H114" s="662">
        <v>0</v>
      </c>
      <c r="I114" s="662">
        <v>0</v>
      </c>
      <c r="J114" s="662">
        <v>0</v>
      </c>
      <c r="K114" s="566" t="s">
        <v>5181</v>
      </c>
      <c r="L114" s="549"/>
      <c r="M114" s="715"/>
      <c r="O114" s="716"/>
      <c r="S114" s="654"/>
      <c r="T114" s="547"/>
      <c r="U114" s="547"/>
      <c r="V114" s="547"/>
      <c r="W114" s="549"/>
    </row>
    <row r="115" spans="1:23">
      <c r="A115" s="565">
        <v>809</v>
      </c>
      <c r="B115" s="696" t="s">
        <v>5520</v>
      </c>
      <c r="C115" s="566">
        <f t="shared" si="1"/>
        <v>809</v>
      </c>
      <c r="D115" s="700" t="s">
        <v>2218</v>
      </c>
      <c r="E115" s="701" t="s">
        <v>7994</v>
      </c>
      <c r="F115" s="566">
        <v>1</v>
      </c>
      <c r="G115" s="662">
        <v>0</v>
      </c>
      <c r="H115" s="662">
        <v>0</v>
      </c>
      <c r="I115" s="662">
        <v>31254.31403121863</v>
      </c>
      <c r="J115" s="662">
        <v>31944.072553482787</v>
      </c>
      <c r="K115" s="566" t="s">
        <v>3872</v>
      </c>
      <c r="L115" s="549"/>
      <c r="M115" s="715"/>
      <c r="O115" s="716"/>
      <c r="S115" s="654"/>
      <c r="T115" s="547"/>
      <c r="U115" s="547"/>
      <c r="V115" s="547"/>
      <c r="W115" s="549"/>
    </row>
    <row r="116" spans="1:23">
      <c r="A116" s="565">
        <v>810</v>
      </c>
      <c r="B116" s="696" t="s">
        <v>5521</v>
      </c>
      <c r="C116" s="566">
        <f t="shared" si="1"/>
        <v>810</v>
      </c>
      <c r="D116" s="700" t="s">
        <v>2218</v>
      </c>
      <c r="E116" s="701" t="s">
        <v>7995</v>
      </c>
      <c r="F116" s="566">
        <v>1</v>
      </c>
      <c r="G116" s="662">
        <v>0</v>
      </c>
      <c r="H116" s="662">
        <v>0</v>
      </c>
      <c r="I116" s="662">
        <v>0</v>
      </c>
      <c r="J116" s="662">
        <v>32207.22970774975</v>
      </c>
      <c r="K116" s="566" t="s">
        <v>4607</v>
      </c>
      <c r="L116" s="549"/>
      <c r="M116" s="715"/>
      <c r="O116" s="716"/>
      <c r="S116" s="654"/>
      <c r="T116" s="547"/>
      <c r="U116" s="547"/>
      <c r="V116" s="547"/>
      <c r="W116" s="549"/>
    </row>
    <row r="117" spans="1:23">
      <c r="A117" s="565">
        <v>811</v>
      </c>
      <c r="B117" s="696" t="s">
        <v>5522</v>
      </c>
      <c r="C117" s="566">
        <f t="shared" si="1"/>
        <v>811</v>
      </c>
      <c r="D117" s="700" t="s">
        <v>2218</v>
      </c>
      <c r="E117" s="701" t="s">
        <v>7996</v>
      </c>
      <c r="F117" s="566">
        <v>1</v>
      </c>
      <c r="G117" s="662">
        <v>0</v>
      </c>
      <c r="H117" s="662">
        <v>33784.419941982618</v>
      </c>
      <c r="I117" s="662">
        <v>34596.48174848855</v>
      </c>
      <c r="J117" s="662">
        <v>35365.822407792439</v>
      </c>
      <c r="K117" s="566" t="s">
        <v>3873</v>
      </c>
      <c r="L117" s="549"/>
      <c r="M117" s="715"/>
      <c r="O117" s="716"/>
      <c r="S117" s="654"/>
      <c r="T117" s="547"/>
      <c r="U117" s="547"/>
      <c r="V117" s="547"/>
      <c r="W117" s="549"/>
    </row>
    <row r="118" spans="1:23">
      <c r="A118" s="565">
        <v>812</v>
      </c>
      <c r="B118" s="696" t="s">
        <v>5523</v>
      </c>
      <c r="C118" s="566">
        <f t="shared" si="1"/>
        <v>812</v>
      </c>
      <c r="D118" s="700" t="s">
        <v>2218</v>
      </c>
      <c r="E118" s="701" t="s">
        <v>7997</v>
      </c>
      <c r="F118" s="566">
        <v>1</v>
      </c>
      <c r="G118" s="662">
        <v>0</v>
      </c>
      <c r="H118" s="662">
        <v>0</v>
      </c>
      <c r="I118" s="662">
        <v>35424.066135622044</v>
      </c>
      <c r="J118" s="662">
        <v>36213.107323949349</v>
      </c>
      <c r="K118" s="566" t="s">
        <v>3874</v>
      </c>
      <c r="L118" s="549"/>
      <c r="M118" s="715"/>
      <c r="O118" s="716"/>
      <c r="S118" s="654"/>
      <c r="T118" s="547"/>
      <c r="U118" s="547"/>
      <c r="V118" s="547"/>
      <c r="W118" s="549"/>
    </row>
    <row r="119" spans="1:23">
      <c r="A119" s="565">
        <v>813</v>
      </c>
      <c r="B119" s="696" t="s">
        <v>5524</v>
      </c>
      <c r="C119" s="566">
        <f t="shared" si="1"/>
        <v>813</v>
      </c>
      <c r="D119" s="700" t="s">
        <v>2218</v>
      </c>
      <c r="E119" s="701" t="s">
        <v>7998</v>
      </c>
      <c r="F119" s="566">
        <v>1</v>
      </c>
      <c r="G119" s="662">
        <v>34226.456036933654</v>
      </c>
      <c r="H119" s="662">
        <v>0</v>
      </c>
      <c r="I119" s="662">
        <v>0</v>
      </c>
      <c r="J119" s="662">
        <v>0</v>
      </c>
      <c r="K119" s="566" t="s">
        <v>5182</v>
      </c>
      <c r="L119" s="549"/>
      <c r="M119" s="715"/>
      <c r="O119" s="716"/>
      <c r="S119" s="654"/>
      <c r="T119" s="547"/>
      <c r="U119" s="547"/>
      <c r="V119" s="547"/>
      <c r="W119" s="549"/>
    </row>
    <row r="120" spans="1:23">
      <c r="A120" s="565">
        <v>814</v>
      </c>
      <c r="B120" s="696" t="s">
        <v>5525</v>
      </c>
      <c r="C120" s="566">
        <f t="shared" si="1"/>
        <v>814</v>
      </c>
      <c r="D120" s="700" t="s">
        <v>2218</v>
      </c>
      <c r="E120" s="701" t="s">
        <v>7999</v>
      </c>
      <c r="F120" s="566">
        <v>1</v>
      </c>
      <c r="G120" s="662">
        <v>33518.04190944459</v>
      </c>
      <c r="H120" s="662">
        <v>0</v>
      </c>
      <c r="I120" s="662">
        <v>0</v>
      </c>
      <c r="J120" s="662">
        <v>0</v>
      </c>
      <c r="K120" s="566" t="s">
        <v>5183</v>
      </c>
      <c r="L120" s="549"/>
      <c r="M120" s="715"/>
      <c r="O120" s="716"/>
      <c r="S120" s="654"/>
      <c r="T120" s="547"/>
      <c r="U120" s="547"/>
      <c r="V120" s="547"/>
      <c r="W120" s="549"/>
    </row>
    <row r="121" spans="1:23">
      <c r="A121" s="565">
        <v>815</v>
      </c>
      <c r="B121" s="696" t="s">
        <v>5526</v>
      </c>
      <c r="C121" s="566">
        <f t="shared" si="1"/>
        <v>815</v>
      </c>
      <c r="D121" s="700" t="s">
        <v>2218</v>
      </c>
      <c r="E121" s="701" t="s">
        <v>8000</v>
      </c>
      <c r="F121" s="566">
        <v>1</v>
      </c>
      <c r="G121" s="662">
        <v>0</v>
      </c>
      <c r="H121" s="662">
        <v>0</v>
      </c>
      <c r="I121" s="662">
        <v>30300.016551489109</v>
      </c>
      <c r="J121" s="662">
        <v>31008.710816299514</v>
      </c>
      <c r="K121" s="566" t="s">
        <v>3875</v>
      </c>
      <c r="L121" s="549"/>
      <c r="M121" s="715"/>
      <c r="O121" s="716"/>
      <c r="S121" s="654"/>
      <c r="T121" s="547"/>
      <c r="U121" s="547"/>
      <c r="V121" s="547"/>
      <c r="W121" s="549"/>
    </row>
    <row r="122" spans="1:23">
      <c r="A122" s="565">
        <v>816</v>
      </c>
      <c r="B122" s="696" t="s">
        <v>5527</v>
      </c>
      <c r="C122" s="566">
        <f t="shared" si="1"/>
        <v>816</v>
      </c>
      <c r="D122" s="700" t="s">
        <v>2218</v>
      </c>
      <c r="E122" s="701" t="s">
        <v>8001</v>
      </c>
      <c r="F122" s="566">
        <v>1</v>
      </c>
      <c r="G122" s="662">
        <v>0</v>
      </c>
      <c r="H122" s="662">
        <v>0</v>
      </c>
      <c r="I122" s="662">
        <v>34322.77383677425</v>
      </c>
      <c r="J122" s="662">
        <v>35133.222562400675</v>
      </c>
      <c r="K122" s="566" t="s">
        <v>3876</v>
      </c>
      <c r="L122" s="549"/>
      <c r="M122" s="715"/>
      <c r="O122" s="716"/>
      <c r="S122" s="654"/>
      <c r="T122" s="547"/>
      <c r="U122" s="547"/>
      <c r="V122" s="547"/>
      <c r="W122" s="549"/>
    </row>
    <row r="123" spans="1:23">
      <c r="A123" s="565">
        <v>817</v>
      </c>
      <c r="B123" s="696" t="s">
        <v>5528</v>
      </c>
      <c r="C123" s="566">
        <f t="shared" si="1"/>
        <v>817</v>
      </c>
      <c r="D123" s="700" t="s">
        <v>2218</v>
      </c>
      <c r="E123" s="701" t="s">
        <v>8002</v>
      </c>
      <c r="F123" s="566">
        <v>1</v>
      </c>
      <c r="G123" s="662">
        <v>0</v>
      </c>
      <c r="H123" s="662">
        <v>30444.19412394274</v>
      </c>
      <c r="I123" s="662">
        <v>31865.968781920183</v>
      </c>
      <c r="J123" s="662">
        <v>32614.268298967832</v>
      </c>
      <c r="K123" s="566" t="s">
        <v>3877</v>
      </c>
      <c r="L123" s="549"/>
      <c r="M123" s="715"/>
      <c r="O123" s="716"/>
      <c r="S123" s="654"/>
      <c r="T123" s="547"/>
      <c r="U123" s="547"/>
      <c r="V123" s="547"/>
      <c r="W123" s="549"/>
    </row>
    <row r="124" spans="1:23">
      <c r="A124" s="565">
        <v>818</v>
      </c>
      <c r="B124" s="696" t="s">
        <v>5529</v>
      </c>
      <c r="C124" s="566">
        <f t="shared" si="1"/>
        <v>818</v>
      </c>
      <c r="D124" s="700" t="s">
        <v>2218</v>
      </c>
      <c r="E124" s="701" t="s">
        <v>8003</v>
      </c>
      <c r="F124" s="566">
        <v>1</v>
      </c>
      <c r="G124" s="662">
        <v>0</v>
      </c>
      <c r="H124" s="662">
        <v>0</v>
      </c>
      <c r="I124" s="662">
        <v>25602.159860195912</v>
      </c>
      <c r="J124" s="662">
        <v>26192.001197715254</v>
      </c>
      <c r="K124" s="566" t="s">
        <v>3878</v>
      </c>
      <c r="L124" s="549"/>
      <c r="M124" s="715"/>
      <c r="O124" s="716"/>
      <c r="S124" s="654"/>
      <c r="T124" s="547"/>
      <c r="U124" s="547"/>
      <c r="V124" s="547"/>
      <c r="W124" s="549"/>
    </row>
    <row r="125" spans="1:23">
      <c r="A125" s="565">
        <v>819</v>
      </c>
      <c r="B125" s="696" t="s">
        <v>5530</v>
      </c>
      <c r="C125" s="566">
        <f t="shared" si="1"/>
        <v>819</v>
      </c>
      <c r="D125" s="700" t="s">
        <v>2218</v>
      </c>
      <c r="E125" s="701" t="s">
        <v>8004</v>
      </c>
      <c r="F125" s="566">
        <v>1</v>
      </c>
      <c r="G125" s="662">
        <v>0</v>
      </c>
      <c r="H125" s="662">
        <v>0</v>
      </c>
      <c r="I125" s="662">
        <v>27168.112090626983</v>
      </c>
      <c r="J125" s="662">
        <v>27797.558680383572</v>
      </c>
      <c r="K125" s="566" t="s">
        <v>3879</v>
      </c>
      <c r="L125" s="549"/>
      <c r="M125" s="715"/>
      <c r="O125" s="716"/>
      <c r="S125" s="654"/>
      <c r="T125" s="547"/>
      <c r="U125" s="547"/>
      <c r="V125" s="547"/>
      <c r="W125" s="549"/>
    </row>
    <row r="126" spans="1:23">
      <c r="A126" s="565">
        <v>820</v>
      </c>
      <c r="B126" s="696" t="s">
        <v>5531</v>
      </c>
      <c r="C126" s="566">
        <f t="shared" si="1"/>
        <v>820</v>
      </c>
      <c r="D126" s="700" t="s">
        <v>2218</v>
      </c>
      <c r="E126" s="701" t="s">
        <v>8005</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5532</v>
      </c>
      <c r="C127" s="566">
        <f t="shared" si="1"/>
        <v>821</v>
      </c>
      <c r="D127" s="700" t="s">
        <v>2218</v>
      </c>
      <c r="E127" s="701" t="s">
        <v>8006</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5533</v>
      </c>
      <c r="C128" s="566">
        <f t="shared" si="1"/>
        <v>822</v>
      </c>
      <c r="D128" s="700" t="s">
        <v>2218</v>
      </c>
      <c r="E128" s="701" t="s">
        <v>8007</v>
      </c>
      <c r="F128" s="566">
        <v>1</v>
      </c>
      <c r="G128" s="662">
        <v>25257.53990458007</v>
      </c>
      <c r="H128" s="662">
        <v>0</v>
      </c>
      <c r="I128" s="662">
        <v>0</v>
      </c>
      <c r="J128" s="662">
        <v>0</v>
      </c>
      <c r="K128" s="566" t="s">
        <v>5184</v>
      </c>
      <c r="L128" s="549"/>
      <c r="M128" s="715"/>
      <c r="O128" s="716"/>
      <c r="S128" s="654"/>
      <c r="T128" s="547"/>
      <c r="U128" s="547"/>
      <c r="V128" s="547"/>
      <c r="W128" s="549"/>
    </row>
    <row r="129" spans="1:23">
      <c r="A129" s="565">
        <v>823</v>
      </c>
      <c r="B129" s="696" t="s">
        <v>5534</v>
      </c>
      <c r="C129" s="566">
        <f t="shared" si="1"/>
        <v>823</v>
      </c>
      <c r="D129" s="700" t="s">
        <v>2218</v>
      </c>
      <c r="E129" s="701" t="s">
        <v>8008</v>
      </c>
      <c r="F129" s="566">
        <v>1</v>
      </c>
      <c r="G129" s="662">
        <v>0</v>
      </c>
      <c r="H129" s="662">
        <v>0</v>
      </c>
      <c r="I129" s="662">
        <v>26994.117398356855</v>
      </c>
      <c r="J129" s="662">
        <v>27619.177859756823</v>
      </c>
      <c r="K129" s="566" t="s">
        <v>3880</v>
      </c>
      <c r="L129" s="549"/>
      <c r="M129" s="715"/>
      <c r="O129" s="716"/>
      <c r="S129" s="654"/>
      <c r="T129" s="547"/>
      <c r="U129" s="547"/>
      <c r="V129" s="547"/>
      <c r="W129" s="549"/>
    </row>
    <row r="130" spans="1:23">
      <c r="A130" s="565">
        <v>824</v>
      </c>
      <c r="B130" s="696" t="s">
        <v>5535</v>
      </c>
      <c r="C130" s="566">
        <f t="shared" si="1"/>
        <v>824</v>
      </c>
      <c r="D130" s="700" t="s">
        <v>2218</v>
      </c>
      <c r="E130" s="701" t="s">
        <v>8009</v>
      </c>
      <c r="F130" s="566">
        <v>1</v>
      </c>
      <c r="G130" s="662">
        <v>0</v>
      </c>
      <c r="H130" s="662">
        <v>0</v>
      </c>
      <c r="I130" s="662">
        <v>28304.297431150848</v>
      </c>
      <c r="J130" s="662">
        <v>28962.495463990988</v>
      </c>
      <c r="K130" s="566" t="s">
        <v>3881</v>
      </c>
      <c r="L130" s="549"/>
      <c r="M130" s="715"/>
      <c r="O130" s="716"/>
      <c r="S130" s="654"/>
      <c r="T130" s="547"/>
      <c r="U130" s="547"/>
      <c r="V130" s="547"/>
      <c r="W130" s="549"/>
    </row>
    <row r="131" spans="1:23">
      <c r="A131" s="565">
        <v>825</v>
      </c>
      <c r="B131" s="696" t="s">
        <v>5536</v>
      </c>
      <c r="C131" s="566">
        <f t="shared" si="1"/>
        <v>825</v>
      </c>
      <c r="D131" s="700" t="s">
        <v>2218</v>
      </c>
      <c r="E131" s="701" t="s">
        <v>8010</v>
      </c>
      <c r="F131" s="566">
        <v>1</v>
      </c>
      <c r="G131" s="662">
        <v>0</v>
      </c>
      <c r="H131" s="662">
        <v>0</v>
      </c>
      <c r="I131" s="662">
        <v>36951.833636975745</v>
      </c>
      <c r="J131" s="662">
        <v>37828.799114247951</v>
      </c>
      <c r="K131" s="566" t="s">
        <v>3882</v>
      </c>
      <c r="L131" s="549"/>
      <c r="M131" s="715"/>
      <c r="O131" s="716"/>
      <c r="S131" s="654"/>
      <c r="T131" s="547"/>
      <c r="U131" s="547"/>
      <c r="V131" s="547"/>
      <c r="W131" s="549"/>
    </row>
    <row r="132" spans="1:23">
      <c r="A132" s="565">
        <v>826</v>
      </c>
      <c r="B132" s="696" t="s">
        <v>5537</v>
      </c>
      <c r="C132" s="566">
        <f t="shared" si="1"/>
        <v>826</v>
      </c>
      <c r="D132" s="700" t="s">
        <v>2218</v>
      </c>
      <c r="E132" s="701" t="s">
        <v>8011</v>
      </c>
      <c r="F132" s="566">
        <v>1</v>
      </c>
      <c r="G132" s="662">
        <v>34293.194739088329</v>
      </c>
      <c r="H132" s="662">
        <v>0</v>
      </c>
      <c r="I132" s="662">
        <v>0</v>
      </c>
      <c r="J132" s="662">
        <v>0</v>
      </c>
      <c r="K132" s="566" t="s">
        <v>5185</v>
      </c>
      <c r="L132" s="549"/>
      <c r="M132" s="715"/>
      <c r="O132" s="716"/>
      <c r="S132" s="654"/>
      <c r="T132" s="547"/>
      <c r="U132" s="547"/>
      <c r="V132" s="547"/>
      <c r="W132" s="549"/>
    </row>
    <row r="133" spans="1:23">
      <c r="A133" s="565">
        <v>827</v>
      </c>
      <c r="B133" s="696" t="s">
        <v>5538</v>
      </c>
      <c r="C133" s="566">
        <f t="shared" si="1"/>
        <v>827</v>
      </c>
      <c r="D133" s="700" t="s">
        <v>2218</v>
      </c>
      <c r="E133" s="701" t="s">
        <v>8012</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5539</v>
      </c>
      <c r="C134" s="566">
        <f t="shared" si="1"/>
        <v>828</v>
      </c>
      <c r="D134" s="700" t="s">
        <v>2218</v>
      </c>
      <c r="E134" s="701" t="s">
        <v>8013</v>
      </c>
      <c r="F134" s="566">
        <v>1</v>
      </c>
      <c r="G134" s="662">
        <v>27178.574484657045</v>
      </c>
      <c r="H134" s="662">
        <v>0</v>
      </c>
      <c r="I134" s="662">
        <v>0</v>
      </c>
      <c r="J134" s="662">
        <v>0</v>
      </c>
      <c r="K134" s="566" t="s">
        <v>5186</v>
      </c>
      <c r="L134" s="549"/>
      <c r="M134" s="715"/>
      <c r="O134" s="716"/>
      <c r="S134" s="654"/>
      <c r="T134" s="547"/>
      <c r="U134" s="547"/>
      <c r="V134" s="547"/>
      <c r="W134" s="549"/>
    </row>
    <row r="135" spans="1:23">
      <c r="A135" s="565">
        <v>829</v>
      </c>
      <c r="B135" s="696" t="s">
        <v>5540</v>
      </c>
      <c r="C135" s="566">
        <f t="shared" si="1"/>
        <v>829</v>
      </c>
      <c r="D135" s="700" t="s">
        <v>2218</v>
      </c>
      <c r="E135" s="701" t="s">
        <v>8014</v>
      </c>
      <c r="F135" s="566">
        <v>1</v>
      </c>
      <c r="G135" s="662">
        <v>28933.836698522158</v>
      </c>
      <c r="H135" s="662">
        <v>0</v>
      </c>
      <c r="I135" s="662">
        <v>0</v>
      </c>
      <c r="J135" s="662">
        <v>0</v>
      </c>
      <c r="K135" s="566" t="s">
        <v>5187</v>
      </c>
      <c r="L135" s="549"/>
      <c r="M135" s="715"/>
      <c r="O135" s="716"/>
      <c r="S135" s="654"/>
      <c r="T135" s="547"/>
      <c r="U135" s="547"/>
      <c r="V135" s="547"/>
      <c r="W135" s="549"/>
    </row>
    <row r="136" spans="1:23">
      <c r="A136" s="565">
        <v>830</v>
      </c>
      <c r="B136" s="696" t="s">
        <v>5541</v>
      </c>
      <c r="C136" s="566">
        <f t="shared" si="1"/>
        <v>830</v>
      </c>
      <c r="D136" s="700" t="s">
        <v>2218</v>
      </c>
      <c r="E136" s="701" t="s">
        <v>8015</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5542</v>
      </c>
      <c r="C137" s="566">
        <f t="shared" ref="C137:C200" si="2">A137</f>
        <v>831</v>
      </c>
      <c r="D137" s="700" t="s">
        <v>2218</v>
      </c>
      <c r="E137" s="701" t="s">
        <v>8016</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5543</v>
      </c>
      <c r="C138" s="566">
        <f t="shared" si="2"/>
        <v>832</v>
      </c>
      <c r="D138" s="700" t="s">
        <v>2218</v>
      </c>
      <c r="E138" s="701" t="s">
        <v>8017</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5544</v>
      </c>
      <c r="C139" s="566">
        <f t="shared" si="2"/>
        <v>833</v>
      </c>
      <c r="D139" s="700" t="s">
        <v>2218</v>
      </c>
      <c r="E139" s="701" t="s">
        <v>8018</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5545</v>
      </c>
      <c r="C140" s="566">
        <f t="shared" si="2"/>
        <v>834</v>
      </c>
      <c r="D140" s="700" t="s">
        <v>2218</v>
      </c>
      <c r="E140" s="701" t="s">
        <v>8019</v>
      </c>
      <c r="F140" s="566">
        <v>1</v>
      </c>
      <c r="G140" s="662">
        <v>0</v>
      </c>
      <c r="H140" s="662">
        <v>0</v>
      </c>
      <c r="I140" s="662">
        <v>69710.205959857296</v>
      </c>
      <c r="J140" s="662">
        <v>71357.939323821658</v>
      </c>
      <c r="K140" s="566" t="s">
        <v>3883</v>
      </c>
      <c r="L140" s="549"/>
      <c r="M140" s="715"/>
      <c r="O140" s="716"/>
      <c r="S140" s="654"/>
      <c r="T140" s="547"/>
      <c r="U140" s="547"/>
      <c r="V140" s="547"/>
      <c r="W140" s="549"/>
    </row>
    <row r="141" spans="1:23">
      <c r="A141" s="565">
        <v>835</v>
      </c>
      <c r="B141" s="696" t="s">
        <v>5546</v>
      </c>
      <c r="C141" s="566">
        <f t="shared" si="2"/>
        <v>835</v>
      </c>
      <c r="D141" s="700" t="s">
        <v>2218</v>
      </c>
      <c r="E141" s="701" t="s">
        <v>8020</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5547</v>
      </c>
      <c r="C142" s="566">
        <f t="shared" si="2"/>
        <v>836</v>
      </c>
      <c r="D142" s="700" t="s">
        <v>2218</v>
      </c>
      <c r="E142" s="701" t="s">
        <v>8021</v>
      </c>
      <c r="F142" s="566">
        <v>1</v>
      </c>
      <c r="G142" s="662">
        <v>0</v>
      </c>
      <c r="H142" s="662">
        <v>0</v>
      </c>
      <c r="I142" s="662">
        <v>78409.991103580804</v>
      </c>
      <c r="J142" s="662">
        <v>80270.336129112591</v>
      </c>
      <c r="K142" s="566" t="s">
        <v>3884</v>
      </c>
      <c r="L142" s="549"/>
      <c r="M142" s="715"/>
      <c r="O142" s="716"/>
      <c r="S142" s="654"/>
      <c r="T142" s="547"/>
      <c r="U142" s="547"/>
      <c r="V142" s="547"/>
      <c r="W142" s="549"/>
    </row>
    <row r="143" spans="1:23">
      <c r="A143" s="565">
        <v>837</v>
      </c>
      <c r="B143" s="696" t="s">
        <v>5548</v>
      </c>
      <c r="C143" s="566">
        <f t="shared" si="2"/>
        <v>837</v>
      </c>
      <c r="D143" s="700" t="s">
        <v>2218</v>
      </c>
      <c r="E143" s="701" t="s">
        <v>8022</v>
      </c>
      <c r="F143" s="566">
        <v>1</v>
      </c>
      <c r="G143" s="662">
        <v>0</v>
      </c>
      <c r="H143" s="662">
        <v>0</v>
      </c>
      <c r="I143" s="662">
        <v>0</v>
      </c>
      <c r="J143" s="662">
        <v>44569.833088230123</v>
      </c>
      <c r="K143" s="566" t="s">
        <v>4608</v>
      </c>
      <c r="L143" s="549"/>
      <c r="M143" s="715"/>
      <c r="O143" s="716"/>
      <c r="S143" s="654"/>
      <c r="T143" s="547"/>
      <c r="U143" s="547"/>
      <c r="V143" s="547"/>
      <c r="W143" s="549"/>
    </row>
    <row r="144" spans="1:23">
      <c r="A144" s="565">
        <v>838</v>
      </c>
      <c r="B144" s="696" t="s">
        <v>5549</v>
      </c>
      <c r="C144" s="566">
        <f t="shared" si="2"/>
        <v>838</v>
      </c>
      <c r="D144" s="700" t="s">
        <v>2218</v>
      </c>
      <c r="E144" s="701" t="s">
        <v>8023</v>
      </c>
      <c r="F144" s="566">
        <v>1</v>
      </c>
      <c r="G144" s="662">
        <v>0</v>
      </c>
      <c r="H144" s="662">
        <v>0</v>
      </c>
      <c r="I144" s="662">
        <v>32773.002024545196</v>
      </c>
      <c r="J144" s="662">
        <v>33581.767109196087</v>
      </c>
      <c r="K144" s="566" t="s">
        <v>3885</v>
      </c>
      <c r="L144" s="549"/>
      <c r="M144" s="715"/>
      <c r="O144" s="716"/>
      <c r="S144" s="654"/>
      <c r="T144" s="547"/>
      <c r="U144" s="547"/>
      <c r="V144" s="547"/>
      <c r="W144" s="549"/>
    </row>
    <row r="145" spans="1:23">
      <c r="A145" s="565">
        <v>839</v>
      </c>
      <c r="B145" s="696" t="s">
        <v>5550</v>
      </c>
      <c r="C145" s="566">
        <f t="shared" si="2"/>
        <v>839</v>
      </c>
      <c r="D145" s="700" t="s">
        <v>2218</v>
      </c>
      <c r="E145" s="701" t="s">
        <v>8024</v>
      </c>
      <c r="F145" s="566">
        <v>1</v>
      </c>
      <c r="G145" s="662">
        <v>0</v>
      </c>
      <c r="H145" s="662">
        <v>0</v>
      </c>
      <c r="I145" s="662">
        <v>31630.664565864336</v>
      </c>
      <c r="J145" s="662">
        <v>32409.132487345658</v>
      </c>
      <c r="K145" s="566" t="s">
        <v>3886</v>
      </c>
      <c r="L145" s="549"/>
      <c r="M145" s="715"/>
      <c r="O145" s="716"/>
      <c r="S145" s="654"/>
      <c r="T145" s="547"/>
      <c r="U145" s="547"/>
      <c r="V145" s="547"/>
      <c r="W145" s="549"/>
    </row>
    <row r="146" spans="1:23">
      <c r="A146" s="565">
        <v>840</v>
      </c>
      <c r="B146" s="696" t="s">
        <v>5551</v>
      </c>
      <c r="C146" s="566">
        <f t="shared" si="2"/>
        <v>840</v>
      </c>
      <c r="D146" s="700" t="s">
        <v>2218</v>
      </c>
      <c r="E146" s="701" t="s">
        <v>8025</v>
      </c>
      <c r="F146" s="566">
        <v>1</v>
      </c>
      <c r="G146" s="662">
        <v>0</v>
      </c>
      <c r="H146" s="662">
        <v>0</v>
      </c>
      <c r="I146" s="662">
        <v>29872.248524662555</v>
      </c>
      <c r="J146" s="662">
        <v>30623.679688350909</v>
      </c>
      <c r="K146" s="566" t="s">
        <v>3887</v>
      </c>
      <c r="L146" s="549"/>
      <c r="M146" s="715"/>
      <c r="O146" s="716"/>
      <c r="S146" s="654"/>
      <c r="T146" s="547"/>
      <c r="U146" s="547"/>
      <c r="V146" s="547"/>
      <c r="W146" s="549"/>
    </row>
    <row r="147" spans="1:23">
      <c r="A147" s="565">
        <v>841</v>
      </c>
      <c r="B147" s="696" t="s">
        <v>5552</v>
      </c>
      <c r="C147" s="566">
        <f t="shared" si="2"/>
        <v>841</v>
      </c>
      <c r="D147" s="700" t="s">
        <v>2218</v>
      </c>
      <c r="E147" s="701" t="s">
        <v>8026</v>
      </c>
      <c r="F147" s="566">
        <v>1</v>
      </c>
      <c r="G147" s="662">
        <v>0</v>
      </c>
      <c r="H147" s="662">
        <v>0</v>
      </c>
      <c r="I147" s="662">
        <v>27780.767649829366</v>
      </c>
      <c r="J147" s="662">
        <v>28457.086455690165</v>
      </c>
      <c r="K147" s="566" t="s">
        <v>3888</v>
      </c>
      <c r="L147" s="549"/>
      <c r="M147" s="715"/>
      <c r="O147" s="716"/>
      <c r="S147" s="654"/>
      <c r="T147" s="547"/>
      <c r="U147" s="547"/>
      <c r="V147" s="547"/>
      <c r="W147" s="549"/>
    </row>
    <row r="148" spans="1:23">
      <c r="A148" s="565">
        <v>842</v>
      </c>
      <c r="B148" s="696" t="s">
        <v>5553</v>
      </c>
      <c r="C148" s="566">
        <f t="shared" si="2"/>
        <v>842</v>
      </c>
      <c r="D148" s="700" t="s">
        <v>2218</v>
      </c>
      <c r="E148" s="701" t="s">
        <v>8027</v>
      </c>
      <c r="F148" s="566">
        <v>1</v>
      </c>
      <c r="G148" s="662">
        <v>0</v>
      </c>
      <c r="H148" s="662">
        <v>0</v>
      </c>
      <c r="I148" s="662">
        <v>30746.451436789255</v>
      </c>
      <c r="J148" s="662">
        <v>31501.450591267123</v>
      </c>
      <c r="K148" s="566" t="s">
        <v>3889</v>
      </c>
      <c r="L148" s="549"/>
      <c r="M148" s="715"/>
      <c r="O148" s="716"/>
      <c r="S148" s="654"/>
      <c r="T148" s="547"/>
      <c r="U148" s="547"/>
      <c r="V148" s="547"/>
      <c r="W148" s="549"/>
    </row>
    <row r="149" spans="1:23">
      <c r="A149" s="565">
        <v>843</v>
      </c>
      <c r="B149" s="696" t="s">
        <v>5554</v>
      </c>
      <c r="C149" s="566">
        <f t="shared" si="2"/>
        <v>843</v>
      </c>
      <c r="D149" s="700" t="s">
        <v>2218</v>
      </c>
      <c r="E149" s="701" t="s">
        <v>8028</v>
      </c>
      <c r="F149" s="566">
        <v>1</v>
      </c>
      <c r="G149" s="662">
        <v>0</v>
      </c>
      <c r="H149" s="662">
        <v>0</v>
      </c>
      <c r="I149" s="662">
        <v>35258.769631885843</v>
      </c>
      <c r="J149" s="662">
        <v>36133.481029060204</v>
      </c>
      <c r="K149" s="566" t="s">
        <v>3890</v>
      </c>
      <c r="L149" s="549"/>
      <c r="M149" s="715"/>
      <c r="O149" s="716"/>
      <c r="S149" s="654"/>
      <c r="T149" s="547"/>
      <c r="U149" s="547"/>
      <c r="V149" s="547"/>
      <c r="W149" s="549"/>
    </row>
    <row r="150" spans="1:23">
      <c r="A150" s="565">
        <v>844</v>
      </c>
      <c r="B150" s="696" t="s">
        <v>5555</v>
      </c>
      <c r="C150" s="566">
        <f t="shared" si="2"/>
        <v>844</v>
      </c>
      <c r="D150" s="700" t="s">
        <v>2218</v>
      </c>
      <c r="E150" s="701" t="s">
        <v>8029</v>
      </c>
      <c r="F150" s="566">
        <v>1</v>
      </c>
      <c r="G150" s="662">
        <v>0</v>
      </c>
      <c r="H150" s="662">
        <v>0</v>
      </c>
      <c r="I150" s="662">
        <v>36573.470877464169</v>
      </c>
      <c r="J150" s="662">
        <v>37483.062460460162</v>
      </c>
      <c r="K150" s="566" t="s">
        <v>3891</v>
      </c>
      <c r="L150" s="549"/>
      <c r="M150" s="715"/>
      <c r="O150" s="716"/>
      <c r="S150" s="654"/>
      <c r="T150" s="547"/>
      <c r="U150" s="547"/>
      <c r="V150" s="547"/>
      <c r="W150" s="549"/>
    </row>
    <row r="151" spans="1:23">
      <c r="A151" s="565">
        <v>845</v>
      </c>
      <c r="B151" s="696" t="s">
        <v>5556</v>
      </c>
      <c r="C151" s="566">
        <f t="shared" si="2"/>
        <v>845</v>
      </c>
      <c r="D151" s="700" t="s">
        <v>2218</v>
      </c>
      <c r="E151" s="701" t="s">
        <v>8030</v>
      </c>
      <c r="F151" s="566">
        <v>1</v>
      </c>
      <c r="G151" s="662">
        <v>0</v>
      </c>
      <c r="H151" s="662">
        <v>0</v>
      </c>
      <c r="I151" s="662">
        <v>29428.36975369597</v>
      </c>
      <c r="J151" s="662">
        <v>30148.396446728337</v>
      </c>
      <c r="K151" s="566" t="s">
        <v>3892</v>
      </c>
      <c r="L151" s="549"/>
      <c r="M151" s="715"/>
      <c r="O151" s="716"/>
      <c r="S151" s="654"/>
      <c r="T151" s="547"/>
      <c r="U151" s="547"/>
      <c r="V151" s="547"/>
      <c r="W151" s="549"/>
    </row>
    <row r="152" spans="1:23">
      <c r="A152" s="565">
        <v>846</v>
      </c>
      <c r="B152" s="696" t="s">
        <v>5557</v>
      </c>
      <c r="C152" s="566">
        <f t="shared" si="2"/>
        <v>846</v>
      </c>
      <c r="D152" s="700" t="s">
        <v>2218</v>
      </c>
      <c r="E152" s="701" t="s">
        <v>8031</v>
      </c>
      <c r="F152" s="566">
        <v>1</v>
      </c>
      <c r="G152" s="662">
        <v>0</v>
      </c>
      <c r="H152" s="662">
        <v>0</v>
      </c>
      <c r="I152" s="662">
        <v>31045.765818991687</v>
      </c>
      <c r="J152" s="662">
        <v>31808.700677122102</v>
      </c>
      <c r="K152" s="566" t="s">
        <v>3893</v>
      </c>
      <c r="L152" s="549"/>
      <c r="M152" s="715"/>
      <c r="O152" s="716"/>
      <c r="S152" s="654"/>
      <c r="T152" s="547"/>
      <c r="U152" s="547"/>
      <c r="V152" s="547"/>
      <c r="W152" s="549"/>
    </row>
    <row r="153" spans="1:23">
      <c r="A153" s="565">
        <v>847</v>
      </c>
      <c r="B153" s="696" t="s">
        <v>5558</v>
      </c>
      <c r="C153" s="566">
        <f t="shared" si="2"/>
        <v>847</v>
      </c>
      <c r="D153" s="700" t="s">
        <v>2218</v>
      </c>
      <c r="E153" s="701" t="s">
        <v>8032</v>
      </c>
      <c r="F153" s="566">
        <v>1</v>
      </c>
      <c r="G153" s="662">
        <v>0</v>
      </c>
      <c r="H153" s="662">
        <v>0</v>
      </c>
      <c r="I153" s="662">
        <v>29098.849332922644</v>
      </c>
      <c r="J153" s="662">
        <v>29810.140600228948</v>
      </c>
      <c r="K153" s="566" t="s">
        <v>3894</v>
      </c>
      <c r="L153" s="549"/>
      <c r="M153" s="715"/>
      <c r="O153" s="716"/>
      <c r="S153" s="654"/>
      <c r="T153" s="547"/>
      <c r="U153" s="547"/>
      <c r="V153" s="547"/>
      <c r="W153" s="549"/>
    </row>
    <row r="154" spans="1:23">
      <c r="A154" s="565">
        <v>848</v>
      </c>
      <c r="B154" s="696" t="s">
        <v>5559</v>
      </c>
      <c r="C154" s="566">
        <f t="shared" si="2"/>
        <v>848</v>
      </c>
      <c r="D154" s="700" t="s">
        <v>2218</v>
      </c>
      <c r="E154" s="701" t="s">
        <v>8033</v>
      </c>
      <c r="F154" s="566">
        <v>1</v>
      </c>
      <c r="G154" s="662">
        <v>0</v>
      </c>
      <c r="H154" s="662">
        <v>0</v>
      </c>
      <c r="I154" s="662">
        <v>0</v>
      </c>
      <c r="J154" s="662">
        <v>47917.273632936296</v>
      </c>
      <c r="K154" s="566" t="s">
        <v>4609</v>
      </c>
      <c r="L154" s="549"/>
      <c r="M154" s="715"/>
      <c r="O154" s="716"/>
      <c r="S154" s="654"/>
      <c r="T154" s="547"/>
      <c r="U154" s="547"/>
      <c r="V154" s="547"/>
      <c r="W154" s="549"/>
    </row>
    <row r="155" spans="1:23">
      <c r="A155" s="565">
        <v>849</v>
      </c>
      <c r="B155" s="696" t="s">
        <v>5560</v>
      </c>
      <c r="C155" s="566">
        <f t="shared" si="2"/>
        <v>849</v>
      </c>
      <c r="D155" s="700" t="s">
        <v>2218</v>
      </c>
      <c r="E155" s="701" t="s">
        <v>8034</v>
      </c>
      <c r="F155" s="566">
        <v>1</v>
      </c>
      <c r="G155" s="662">
        <v>43353.640699640964</v>
      </c>
      <c r="H155" s="662">
        <v>0</v>
      </c>
      <c r="I155" s="662">
        <v>0</v>
      </c>
      <c r="J155" s="662">
        <v>0</v>
      </c>
      <c r="K155" s="566" t="s">
        <v>5188</v>
      </c>
      <c r="L155" s="549"/>
      <c r="M155" s="715"/>
      <c r="O155" s="716"/>
      <c r="S155" s="654"/>
      <c r="T155" s="547"/>
      <c r="U155" s="547"/>
      <c r="V155" s="547"/>
      <c r="W155" s="549"/>
    </row>
    <row r="156" spans="1:23">
      <c r="A156" s="565">
        <v>850</v>
      </c>
      <c r="B156" s="696" t="s">
        <v>5561</v>
      </c>
      <c r="C156" s="566">
        <f t="shared" si="2"/>
        <v>850</v>
      </c>
      <c r="D156" s="700" t="s">
        <v>2218</v>
      </c>
      <c r="E156" s="701" t="s">
        <v>8035</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5562</v>
      </c>
      <c r="C157" s="566">
        <f t="shared" si="2"/>
        <v>851</v>
      </c>
      <c r="D157" s="700" t="s">
        <v>2218</v>
      </c>
      <c r="E157" s="701" t="s">
        <v>8036</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5563</v>
      </c>
      <c r="C158" s="566">
        <f t="shared" si="2"/>
        <v>852</v>
      </c>
      <c r="D158" s="700" t="s">
        <v>2218</v>
      </c>
      <c r="E158" s="701" t="s">
        <v>8037</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5564</v>
      </c>
      <c r="C159" s="566">
        <f t="shared" si="2"/>
        <v>853</v>
      </c>
      <c r="D159" s="700" t="s">
        <v>2218</v>
      </c>
      <c r="E159" s="701" t="s">
        <v>8038</v>
      </c>
      <c r="F159" s="566">
        <v>1</v>
      </c>
      <c r="G159" s="662">
        <v>48862.59759769035</v>
      </c>
      <c r="H159" s="662">
        <v>0</v>
      </c>
      <c r="I159" s="662">
        <v>0</v>
      </c>
      <c r="J159" s="662">
        <v>0</v>
      </c>
      <c r="K159" s="566" t="s">
        <v>5189</v>
      </c>
      <c r="L159" s="549"/>
      <c r="M159" s="715"/>
      <c r="O159" s="716"/>
      <c r="S159" s="654"/>
      <c r="T159" s="547"/>
      <c r="U159" s="547"/>
      <c r="V159" s="547"/>
      <c r="W159" s="549"/>
    </row>
    <row r="160" spans="1:23">
      <c r="A160" s="565">
        <v>854</v>
      </c>
      <c r="B160" s="696" t="s">
        <v>5565</v>
      </c>
      <c r="C160" s="566">
        <f t="shared" si="2"/>
        <v>854</v>
      </c>
      <c r="D160" s="700" t="s">
        <v>2218</v>
      </c>
      <c r="E160" s="701" t="s">
        <v>8039</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5566</v>
      </c>
      <c r="C161" s="566">
        <f t="shared" si="2"/>
        <v>855</v>
      </c>
      <c r="D161" s="700" t="s">
        <v>2218</v>
      </c>
      <c r="E161" s="701" t="s">
        <v>8040</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5567</v>
      </c>
      <c r="C162" s="566">
        <f t="shared" si="2"/>
        <v>856</v>
      </c>
      <c r="D162" s="700" t="s">
        <v>2218</v>
      </c>
      <c r="E162" s="701" t="s">
        <v>8041</v>
      </c>
      <c r="F162" s="566">
        <v>1</v>
      </c>
      <c r="G162" s="662">
        <v>47783.920722547809</v>
      </c>
      <c r="H162" s="662">
        <v>0</v>
      </c>
      <c r="I162" s="662">
        <v>0</v>
      </c>
      <c r="J162" s="662">
        <v>0</v>
      </c>
      <c r="K162" s="566" t="s">
        <v>5190</v>
      </c>
      <c r="L162" s="549"/>
      <c r="M162" s="715"/>
      <c r="O162" s="716"/>
      <c r="S162" s="654"/>
      <c r="T162" s="547"/>
      <c r="U162" s="547"/>
      <c r="V162" s="547"/>
      <c r="W162" s="549"/>
    </row>
    <row r="163" spans="1:23">
      <c r="A163" s="565">
        <v>857</v>
      </c>
      <c r="B163" s="696" t="s">
        <v>5568</v>
      </c>
      <c r="C163" s="566">
        <f t="shared" si="2"/>
        <v>857</v>
      </c>
      <c r="D163" s="700" t="s">
        <v>2218</v>
      </c>
      <c r="E163" s="701" t="s">
        <v>8042</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5569</v>
      </c>
      <c r="C164" s="566">
        <f t="shared" si="2"/>
        <v>858</v>
      </c>
      <c r="D164" s="700" t="s">
        <v>2218</v>
      </c>
      <c r="E164" s="701" t="s">
        <v>8043</v>
      </c>
      <c r="F164" s="566">
        <v>1</v>
      </c>
      <c r="G164" s="662">
        <v>45900.888334993957</v>
      </c>
      <c r="H164" s="662">
        <v>0</v>
      </c>
      <c r="I164" s="662">
        <v>0</v>
      </c>
      <c r="J164" s="662">
        <v>0</v>
      </c>
      <c r="K164" s="566" t="s">
        <v>5191</v>
      </c>
      <c r="L164" s="549"/>
      <c r="M164" s="715"/>
      <c r="O164" s="716"/>
      <c r="S164" s="654"/>
      <c r="T164" s="547"/>
      <c r="U164" s="547"/>
      <c r="V164" s="547"/>
      <c r="W164" s="549"/>
    </row>
    <row r="165" spans="1:23">
      <c r="A165" s="565">
        <v>859</v>
      </c>
      <c r="B165" s="696" t="s">
        <v>5570</v>
      </c>
      <c r="C165" s="566">
        <f t="shared" si="2"/>
        <v>859</v>
      </c>
      <c r="D165" s="700" t="s">
        <v>2218</v>
      </c>
      <c r="E165" s="701" t="s">
        <v>8044</v>
      </c>
      <c r="F165" s="566">
        <v>1</v>
      </c>
      <c r="G165" s="662">
        <v>0</v>
      </c>
      <c r="H165" s="662">
        <v>0</v>
      </c>
      <c r="I165" s="662">
        <v>43762.589624832348</v>
      </c>
      <c r="J165" s="662">
        <v>45344.41763250919</v>
      </c>
      <c r="K165" s="566" t="s">
        <v>3895</v>
      </c>
      <c r="L165" s="549"/>
      <c r="M165" s="715"/>
      <c r="O165" s="716"/>
      <c r="S165" s="654"/>
      <c r="T165" s="547"/>
      <c r="U165" s="547"/>
      <c r="V165" s="547"/>
      <c r="W165" s="549"/>
    </row>
    <row r="166" spans="1:23">
      <c r="A166" s="565">
        <v>860</v>
      </c>
      <c r="B166" s="696" t="s">
        <v>5571</v>
      </c>
      <c r="C166" s="566">
        <f t="shared" si="2"/>
        <v>860</v>
      </c>
      <c r="D166" s="700" t="s">
        <v>2218</v>
      </c>
      <c r="E166" s="701" t="s">
        <v>8045</v>
      </c>
      <c r="F166" s="566">
        <v>1</v>
      </c>
      <c r="G166" s="662">
        <v>0</v>
      </c>
      <c r="H166" s="662">
        <v>38813.714950414658</v>
      </c>
      <c r="I166" s="662">
        <v>0</v>
      </c>
      <c r="J166" s="662">
        <v>0</v>
      </c>
      <c r="K166" s="566" t="s">
        <v>3896</v>
      </c>
      <c r="L166" s="549"/>
      <c r="M166" s="715"/>
      <c r="O166" s="716"/>
      <c r="S166" s="654"/>
      <c r="T166" s="547"/>
      <c r="U166" s="547"/>
      <c r="V166" s="547"/>
      <c r="W166" s="549"/>
    </row>
    <row r="167" spans="1:23">
      <c r="A167" s="565">
        <v>861</v>
      </c>
      <c r="B167" s="696" t="s">
        <v>5572</v>
      </c>
      <c r="C167" s="566">
        <f t="shared" si="2"/>
        <v>861</v>
      </c>
      <c r="D167" s="700" t="s">
        <v>2218</v>
      </c>
      <c r="E167" s="701" t="s">
        <v>8046</v>
      </c>
      <c r="F167" s="566">
        <v>1</v>
      </c>
      <c r="G167" s="662">
        <v>0</v>
      </c>
      <c r="H167" s="662">
        <v>0</v>
      </c>
      <c r="I167" s="662">
        <v>0</v>
      </c>
      <c r="J167" s="662">
        <v>51388.29709490676</v>
      </c>
      <c r="K167" s="566" t="s">
        <v>4610</v>
      </c>
      <c r="L167" s="549"/>
      <c r="M167" s="715"/>
      <c r="O167" s="716"/>
      <c r="S167" s="654"/>
      <c r="T167" s="547"/>
      <c r="U167" s="547"/>
      <c r="V167" s="547"/>
      <c r="W167" s="549"/>
    </row>
    <row r="168" spans="1:23">
      <c r="A168" s="565">
        <v>862</v>
      </c>
      <c r="B168" s="696" t="s">
        <v>5573</v>
      </c>
      <c r="C168" s="566">
        <f t="shared" si="2"/>
        <v>862</v>
      </c>
      <c r="D168" s="700" t="s">
        <v>2218</v>
      </c>
      <c r="E168" s="701" t="s">
        <v>8047</v>
      </c>
      <c r="F168" s="566">
        <v>1</v>
      </c>
      <c r="G168" s="662">
        <v>45997.401267647518</v>
      </c>
      <c r="H168" s="662">
        <v>0</v>
      </c>
      <c r="I168" s="662">
        <v>0</v>
      </c>
      <c r="J168" s="662">
        <v>0</v>
      </c>
      <c r="K168" s="566" t="s">
        <v>5192</v>
      </c>
      <c r="L168" s="549"/>
      <c r="M168" s="715"/>
      <c r="O168" s="716"/>
      <c r="S168" s="654"/>
      <c r="T168" s="547"/>
      <c r="U168" s="547"/>
      <c r="V168" s="547"/>
      <c r="W168" s="549"/>
    </row>
    <row r="169" spans="1:23">
      <c r="A169" s="565">
        <v>863</v>
      </c>
      <c r="B169" s="696" t="s">
        <v>5574</v>
      </c>
      <c r="C169" s="566">
        <f t="shared" si="2"/>
        <v>863</v>
      </c>
      <c r="D169" s="700" t="s">
        <v>2218</v>
      </c>
      <c r="E169" s="701" t="s">
        <v>8048</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5575</v>
      </c>
      <c r="C170" s="566">
        <f t="shared" si="2"/>
        <v>864</v>
      </c>
      <c r="D170" s="700" t="s">
        <v>2218</v>
      </c>
      <c r="E170" s="701" t="s">
        <v>8049</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5576</v>
      </c>
      <c r="C171" s="566">
        <f t="shared" si="2"/>
        <v>865</v>
      </c>
      <c r="D171" s="700" t="s">
        <v>2218</v>
      </c>
      <c r="E171" s="701" t="s">
        <v>8050</v>
      </c>
      <c r="F171" s="566">
        <v>1</v>
      </c>
      <c r="G171" s="662">
        <v>45127.467356805952</v>
      </c>
      <c r="H171" s="662">
        <v>0</v>
      </c>
      <c r="I171" s="662">
        <v>0</v>
      </c>
      <c r="J171" s="662">
        <v>0</v>
      </c>
      <c r="K171" s="566" t="s">
        <v>5193</v>
      </c>
      <c r="L171" s="549"/>
      <c r="M171" s="714"/>
      <c r="O171" s="716"/>
      <c r="S171" s="654"/>
      <c r="T171" s="547"/>
      <c r="U171" s="547"/>
      <c r="V171" s="547"/>
      <c r="W171" s="549"/>
    </row>
    <row r="172" spans="1:23">
      <c r="A172" s="565">
        <v>866</v>
      </c>
      <c r="B172" s="696" t="s">
        <v>5577</v>
      </c>
      <c r="C172" s="566">
        <f t="shared" si="2"/>
        <v>866</v>
      </c>
      <c r="D172" s="700" t="s">
        <v>2218</v>
      </c>
      <c r="E172" s="701" t="s">
        <v>8051</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5578</v>
      </c>
      <c r="C173" s="566">
        <f t="shared" si="2"/>
        <v>867</v>
      </c>
      <c r="D173" s="700" t="s">
        <v>2218</v>
      </c>
      <c r="E173" s="701" t="s">
        <v>8052</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5579</v>
      </c>
      <c r="C174" s="566">
        <f t="shared" si="2"/>
        <v>868</v>
      </c>
      <c r="D174" s="700" t="s">
        <v>2218</v>
      </c>
      <c r="E174" s="701" t="s">
        <v>8053</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5580</v>
      </c>
      <c r="C175" s="566">
        <f t="shared" si="2"/>
        <v>869</v>
      </c>
      <c r="D175" s="700" t="s">
        <v>2218</v>
      </c>
      <c r="E175" s="701" t="s">
        <v>8054</v>
      </c>
      <c r="F175" s="566">
        <v>1</v>
      </c>
      <c r="G175" s="662">
        <v>52431.287483246633</v>
      </c>
      <c r="H175" s="662">
        <v>0</v>
      </c>
      <c r="I175" s="662">
        <v>0</v>
      </c>
      <c r="J175" s="662">
        <v>0</v>
      </c>
      <c r="K175" s="566" t="s">
        <v>5194</v>
      </c>
      <c r="L175" s="549"/>
      <c r="M175" s="713"/>
      <c r="O175" s="716"/>
      <c r="S175" s="654"/>
      <c r="T175" s="547"/>
      <c r="U175" s="547"/>
      <c r="V175" s="547"/>
      <c r="W175" s="549"/>
    </row>
    <row r="176" spans="1:23">
      <c r="A176" s="565">
        <v>870</v>
      </c>
      <c r="B176" s="696" t="s">
        <v>5581</v>
      </c>
      <c r="C176" s="566">
        <f t="shared" si="2"/>
        <v>870</v>
      </c>
      <c r="D176" s="700" t="s">
        <v>2218</v>
      </c>
      <c r="E176" s="701" t="s">
        <v>8055</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5582</v>
      </c>
      <c r="C177" s="566">
        <f t="shared" si="2"/>
        <v>871</v>
      </c>
      <c r="D177" s="700" t="s">
        <v>2218</v>
      </c>
      <c r="E177" s="701" t="s">
        <v>8056</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5583</v>
      </c>
      <c r="C178" s="566">
        <f t="shared" si="2"/>
        <v>872</v>
      </c>
      <c r="D178" s="700" t="s">
        <v>2218</v>
      </c>
      <c r="E178" s="701" t="s">
        <v>8057</v>
      </c>
      <c r="F178" s="566">
        <v>1</v>
      </c>
      <c r="G178" s="662">
        <v>0</v>
      </c>
      <c r="H178" s="662">
        <v>0</v>
      </c>
      <c r="I178" s="662">
        <v>54356.922442140742</v>
      </c>
      <c r="J178" s="662">
        <v>55736.223864342217</v>
      </c>
      <c r="K178" s="566" t="s">
        <v>3897</v>
      </c>
      <c r="L178" s="549"/>
      <c r="M178" s="713"/>
      <c r="O178" s="716"/>
      <c r="S178" s="654"/>
      <c r="T178" s="547"/>
      <c r="U178" s="547"/>
      <c r="V178" s="547"/>
      <c r="W178" s="549"/>
    </row>
    <row r="179" spans="1:23">
      <c r="A179" s="565">
        <v>873</v>
      </c>
      <c r="B179" s="696" t="s">
        <v>5584</v>
      </c>
      <c r="C179" s="566">
        <f t="shared" si="2"/>
        <v>873</v>
      </c>
      <c r="D179" s="700" t="s">
        <v>2218</v>
      </c>
      <c r="E179" s="701" t="s">
        <v>8058</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5585</v>
      </c>
      <c r="C180" s="566">
        <f t="shared" si="2"/>
        <v>874</v>
      </c>
      <c r="D180" s="700" t="s">
        <v>2218</v>
      </c>
      <c r="E180" s="701" t="s">
        <v>8059</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5586</v>
      </c>
      <c r="C181" s="566">
        <f t="shared" si="2"/>
        <v>875</v>
      </c>
      <c r="D181" s="700" t="s">
        <v>2218</v>
      </c>
      <c r="E181" s="701" t="s">
        <v>8060</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5587</v>
      </c>
      <c r="C182" s="566">
        <f t="shared" si="2"/>
        <v>876</v>
      </c>
      <c r="D182" s="700" t="s">
        <v>2218</v>
      </c>
      <c r="E182" s="701" t="s">
        <v>8061</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5588</v>
      </c>
      <c r="C183" s="566">
        <f t="shared" si="2"/>
        <v>877</v>
      </c>
      <c r="D183" s="700" t="s">
        <v>2218</v>
      </c>
      <c r="E183" s="701" t="s">
        <v>8062</v>
      </c>
      <c r="F183" s="566">
        <v>1</v>
      </c>
      <c r="G183" s="662">
        <v>0</v>
      </c>
      <c r="H183" s="662">
        <v>0</v>
      </c>
      <c r="I183" s="662">
        <v>0</v>
      </c>
      <c r="J183" s="662">
        <v>118875.08277790147</v>
      </c>
      <c r="K183" s="566" t="s">
        <v>4611</v>
      </c>
      <c r="L183" s="549"/>
      <c r="M183" s="706"/>
      <c r="O183" s="716"/>
      <c r="S183" s="654"/>
      <c r="T183" s="547"/>
      <c r="U183" s="547"/>
      <c r="V183" s="547"/>
      <c r="W183" s="549"/>
    </row>
    <row r="184" spans="1:23">
      <c r="A184" s="565">
        <v>878</v>
      </c>
      <c r="B184" s="696" t="s">
        <v>5589</v>
      </c>
      <c r="C184" s="566">
        <f t="shared" si="2"/>
        <v>878</v>
      </c>
      <c r="D184" s="700" t="s">
        <v>2218</v>
      </c>
      <c r="E184" s="701" t="s">
        <v>8063</v>
      </c>
      <c r="F184" s="566">
        <v>1</v>
      </c>
      <c r="G184" s="662">
        <v>51002.52468661125</v>
      </c>
      <c r="H184" s="662">
        <v>52176.986943396398</v>
      </c>
      <c r="I184" s="662">
        <v>53413.265066243592</v>
      </c>
      <c r="J184" s="662">
        <v>54714.612521787611</v>
      </c>
      <c r="K184" s="566" t="s">
        <v>4612</v>
      </c>
      <c r="L184" s="549"/>
      <c r="M184" s="706"/>
      <c r="O184" s="716"/>
      <c r="S184" s="654"/>
      <c r="T184" s="547"/>
      <c r="U184" s="547"/>
      <c r="V184" s="547"/>
      <c r="W184" s="549"/>
    </row>
    <row r="185" spans="1:23">
      <c r="A185" s="565">
        <v>879</v>
      </c>
      <c r="B185" s="696" t="s">
        <v>5590</v>
      </c>
      <c r="C185" s="566">
        <f t="shared" si="2"/>
        <v>879</v>
      </c>
      <c r="D185" s="700" t="s">
        <v>2218</v>
      </c>
      <c r="E185" s="701" t="s">
        <v>8064</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5591</v>
      </c>
      <c r="C186" s="566">
        <f t="shared" si="2"/>
        <v>880</v>
      </c>
      <c r="D186" s="700" t="s">
        <v>2218</v>
      </c>
      <c r="E186" s="701" t="s">
        <v>8065</v>
      </c>
      <c r="F186" s="566">
        <v>1</v>
      </c>
      <c r="G186" s="662">
        <v>0</v>
      </c>
      <c r="H186" s="662">
        <v>0</v>
      </c>
      <c r="I186" s="662">
        <v>42568.653350436325</v>
      </c>
      <c r="J186" s="662">
        <v>43921.297130407154</v>
      </c>
      <c r="K186" s="566" t="s">
        <v>3898</v>
      </c>
      <c r="L186" s="549"/>
      <c r="M186" s="706"/>
      <c r="O186" s="716"/>
      <c r="S186" s="654"/>
      <c r="T186" s="547"/>
      <c r="U186" s="547"/>
      <c r="V186" s="547"/>
      <c r="W186" s="549"/>
    </row>
    <row r="187" spans="1:23">
      <c r="A187" s="565">
        <v>881</v>
      </c>
      <c r="B187" s="696" t="s">
        <v>5592</v>
      </c>
      <c r="C187" s="566">
        <f t="shared" si="2"/>
        <v>881</v>
      </c>
      <c r="D187" s="700" t="s">
        <v>2218</v>
      </c>
      <c r="E187" s="701" t="s">
        <v>8066</v>
      </c>
      <c r="F187" s="566">
        <v>1</v>
      </c>
      <c r="G187" s="662">
        <v>0</v>
      </c>
      <c r="H187" s="662">
        <v>41633.023284004586</v>
      </c>
      <c r="I187" s="662">
        <v>42554.557908725568</v>
      </c>
      <c r="J187" s="662">
        <v>43524.580945823691</v>
      </c>
      <c r="K187" s="566" t="s">
        <v>3899</v>
      </c>
      <c r="L187" s="549"/>
      <c r="M187" s="706"/>
      <c r="O187" s="716"/>
      <c r="S187" s="654"/>
      <c r="T187" s="547"/>
      <c r="U187" s="547"/>
      <c r="V187" s="547"/>
      <c r="W187" s="549"/>
    </row>
    <row r="188" spans="1:23">
      <c r="A188" s="565">
        <v>882</v>
      </c>
      <c r="B188" s="696" t="s">
        <v>5593</v>
      </c>
      <c r="C188" s="566">
        <f t="shared" si="2"/>
        <v>882</v>
      </c>
      <c r="D188" s="700" t="s">
        <v>2218</v>
      </c>
      <c r="E188" s="701" t="s">
        <v>8067</v>
      </c>
      <c r="F188" s="566">
        <v>1</v>
      </c>
      <c r="G188" s="662">
        <v>41115.405458017391</v>
      </c>
      <c r="H188" s="662">
        <v>0</v>
      </c>
      <c r="I188" s="662">
        <v>0</v>
      </c>
      <c r="J188" s="662">
        <v>0</v>
      </c>
      <c r="K188" s="566" t="s">
        <v>5195</v>
      </c>
      <c r="L188" s="549"/>
      <c r="M188" s="706"/>
      <c r="O188" s="716"/>
      <c r="S188" s="654"/>
      <c r="T188" s="547"/>
      <c r="U188" s="547"/>
      <c r="V188" s="547"/>
      <c r="W188" s="549"/>
    </row>
    <row r="189" spans="1:23">
      <c r="A189" s="565">
        <v>883</v>
      </c>
      <c r="B189" s="696" t="s">
        <v>5594</v>
      </c>
      <c r="C189" s="566">
        <f t="shared" si="2"/>
        <v>883</v>
      </c>
      <c r="D189" s="700" t="s">
        <v>2218</v>
      </c>
      <c r="E189" s="701" t="s">
        <v>8068</v>
      </c>
      <c r="F189" s="566">
        <v>1</v>
      </c>
      <c r="G189" s="662">
        <v>41957.787220447601</v>
      </c>
      <c r="H189" s="662">
        <v>0</v>
      </c>
      <c r="I189" s="662">
        <v>0</v>
      </c>
      <c r="J189" s="662">
        <v>0</v>
      </c>
      <c r="K189" s="566" t="s">
        <v>5196</v>
      </c>
      <c r="L189" s="549"/>
      <c r="M189" s="706"/>
      <c r="O189" s="716"/>
      <c r="S189" s="654"/>
      <c r="T189" s="547"/>
      <c r="U189" s="547"/>
      <c r="V189" s="547"/>
      <c r="W189" s="549"/>
    </row>
    <row r="190" spans="1:23">
      <c r="A190" s="565">
        <v>884</v>
      </c>
      <c r="B190" s="696" t="s">
        <v>5595</v>
      </c>
      <c r="C190" s="566">
        <f t="shared" si="2"/>
        <v>884</v>
      </c>
      <c r="D190" s="700" t="s">
        <v>2218</v>
      </c>
      <c r="E190" s="701" t="s">
        <v>8069</v>
      </c>
      <c r="F190" s="566">
        <v>1</v>
      </c>
      <c r="G190" s="662">
        <v>0</v>
      </c>
      <c r="H190" s="662">
        <v>0</v>
      </c>
      <c r="I190" s="662">
        <v>40945.54616117206</v>
      </c>
      <c r="J190" s="662">
        <v>41876.801987404397</v>
      </c>
      <c r="K190" s="566" t="s">
        <v>3900</v>
      </c>
      <c r="L190" s="549"/>
      <c r="M190" s="706"/>
      <c r="O190" s="712"/>
      <c r="S190" s="654"/>
      <c r="T190" s="547"/>
      <c r="U190" s="547"/>
      <c r="V190" s="547"/>
      <c r="W190" s="549"/>
    </row>
    <row r="191" spans="1:23">
      <c r="A191" s="565">
        <v>885</v>
      </c>
      <c r="B191" s="696" t="s">
        <v>5596</v>
      </c>
      <c r="C191" s="566">
        <f t="shared" si="2"/>
        <v>885</v>
      </c>
      <c r="D191" s="700" t="s">
        <v>2218</v>
      </c>
      <c r="E191" s="701" t="s">
        <v>8070</v>
      </c>
      <c r="F191" s="566">
        <v>1</v>
      </c>
      <c r="G191" s="662">
        <v>0</v>
      </c>
      <c r="H191" s="662">
        <v>0</v>
      </c>
      <c r="I191" s="662">
        <v>65698.969807500005</v>
      </c>
      <c r="J191" s="662">
        <v>67258.170879305922</v>
      </c>
      <c r="K191" s="566" t="s">
        <v>3901</v>
      </c>
      <c r="L191" s="549"/>
      <c r="M191" s="706"/>
      <c r="O191" s="712"/>
      <c r="S191" s="654"/>
      <c r="T191" s="547"/>
      <c r="U191" s="547"/>
      <c r="V191" s="547"/>
      <c r="W191" s="549"/>
    </row>
    <row r="192" spans="1:23">
      <c r="A192" s="565">
        <v>886</v>
      </c>
      <c r="B192" s="696" t="s">
        <v>5597</v>
      </c>
      <c r="C192" s="566">
        <f t="shared" si="2"/>
        <v>886</v>
      </c>
      <c r="D192" s="700" t="s">
        <v>2218</v>
      </c>
      <c r="E192" s="701" t="s">
        <v>8071</v>
      </c>
      <c r="F192" s="566">
        <v>1</v>
      </c>
      <c r="G192" s="662">
        <v>0</v>
      </c>
      <c r="H192" s="662">
        <v>0</v>
      </c>
      <c r="I192" s="662">
        <v>73528.02617493931</v>
      </c>
      <c r="J192" s="662">
        <v>75231.939609625013</v>
      </c>
      <c r="K192" s="566" t="s">
        <v>4613</v>
      </c>
      <c r="L192" s="549"/>
      <c r="M192" s="706"/>
      <c r="O192" s="712"/>
      <c r="S192" s="654"/>
      <c r="T192" s="547"/>
      <c r="U192" s="547"/>
      <c r="V192" s="547"/>
      <c r="W192" s="549"/>
    </row>
    <row r="193" spans="1:23">
      <c r="A193" s="565">
        <v>887</v>
      </c>
      <c r="B193" s="696" t="s">
        <v>5598</v>
      </c>
      <c r="C193" s="566">
        <f t="shared" si="2"/>
        <v>887</v>
      </c>
      <c r="D193" s="700" t="s">
        <v>2218</v>
      </c>
      <c r="E193" s="701" t="s">
        <v>8072</v>
      </c>
      <c r="F193" s="566">
        <v>1</v>
      </c>
      <c r="G193" s="662">
        <v>0</v>
      </c>
      <c r="H193" s="662">
        <v>0</v>
      </c>
      <c r="I193" s="662">
        <v>74789.209777821845</v>
      </c>
      <c r="J193" s="662">
        <v>76694.105623719763</v>
      </c>
      <c r="K193" s="566" t="s">
        <v>4614</v>
      </c>
      <c r="L193" s="549"/>
      <c r="M193" s="706"/>
      <c r="O193" s="712"/>
      <c r="S193" s="654"/>
      <c r="T193" s="547"/>
      <c r="U193" s="547"/>
      <c r="V193" s="547"/>
      <c r="W193" s="549"/>
    </row>
    <row r="194" spans="1:23">
      <c r="A194" s="565">
        <v>888</v>
      </c>
      <c r="B194" s="696" t="s">
        <v>5599</v>
      </c>
      <c r="C194" s="566">
        <f t="shared" si="2"/>
        <v>888</v>
      </c>
      <c r="D194" s="700" t="s">
        <v>2218</v>
      </c>
      <c r="E194" s="701" t="s">
        <v>8073</v>
      </c>
      <c r="F194" s="566">
        <v>1</v>
      </c>
      <c r="G194" s="662">
        <v>0</v>
      </c>
      <c r="H194" s="662">
        <v>0</v>
      </c>
      <c r="I194" s="662">
        <v>0</v>
      </c>
      <c r="J194" s="662">
        <v>57406.074056580292</v>
      </c>
      <c r="K194" s="566" t="s">
        <v>4615</v>
      </c>
      <c r="L194" s="549"/>
      <c r="M194" s="706"/>
      <c r="O194" s="712"/>
      <c r="S194" s="654"/>
      <c r="T194" s="547"/>
      <c r="U194" s="547"/>
      <c r="V194" s="547"/>
      <c r="W194" s="549"/>
    </row>
    <row r="195" spans="1:23">
      <c r="A195" s="565">
        <v>889</v>
      </c>
      <c r="B195" s="696" t="s">
        <v>5600</v>
      </c>
      <c r="C195" s="566">
        <f t="shared" si="2"/>
        <v>889</v>
      </c>
      <c r="D195" s="700" t="s">
        <v>2218</v>
      </c>
      <c r="E195" s="701" t="s">
        <v>8074</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5601</v>
      </c>
      <c r="C196" s="566">
        <f t="shared" si="2"/>
        <v>890</v>
      </c>
      <c r="D196" s="700" t="s">
        <v>2218</v>
      </c>
      <c r="E196" s="701" t="s">
        <v>8075</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5602</v>
      </c>
      <c r="C197" s="566">
        <f t="shared" si="2"/>
        <v>891</v>
      </c>
      <c r="D197" s="700" t="s">
        <v>2218</v>
      </c>
      <c r="E197" s="701" t="s">
        <v>8076</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5603</v>
      </c>
      <c r="C198" s="566">
        <f t="shared" si="2"/>
        <v>892</v>
      </c>
      <c r="D198" s="700" t="s">
        <v>2218</v>
      </c>
      <c r="E198" s="701" t="s">
        <v>8077</v>
      </c>
      <c r="F198" s="566">
        <v>1</v>
      </c>
      <c r="G198" s="662">
        <v>0</v>
      </c>
      <c r="H198" s="662">
        <v>0</v>
      </c>
      <c r="I198" s="662">
        <v>44647.939884754262</v>
      </c>
      <c r="J198" s="662">
        <v>45765.562202630041</v>
      </c>
      <c r="K198" s="566" t="s">
        <v>3902</v>
      </c>
      <c r="L198" s="549"/>
      <c r="M198" s="706"/>
      <c r="O198" s="712"/>
      <c r="S198" s="654"/>
      <c r="T198" s="547"/>
      <c r="U198" s="547"/>
      <c r="V198" s="547"/>
      <c r="W198" s="549"/>
    </row>
    <row r="199" spans="1:23">
      <c r="A199" s="565">
        <v>893</v>
      </c>
      <c r="B199" s="696" t="s">
        <v>5604</v>
      </c>
      <c r="C199" s="566">
        <f t="shared" si="2"/>
        <v>893</v>
      </c>
      <c r="D199" s="700" t="s">
        <v>2218</v>
      </c>
      <c r="E199" s="701" t="s">
        <v>8078</v>
      </c>
      <c r="F199" s="566">
        <v>1</v>
      </c>
      <c r="G199" s="662">
        <v>0</v>
      </c>
      <c r="H199" s="662">
        <v>0</v>
      </c>
      <c r="I199" s="662">
        <v>45617.503398482149</v>
      </c>
      <c r="J199" s="662">
        <v>46760.624332175867</v>
      </c>
      <c r="K199" s="566" t="s">
        <v>3903</v>
      </c>
      <c r="L199" s="549"/>
      <c r="M199" s="706"/>
      <c r="O199" s="712"/>
      <c r="S199" s="654"/>
      <c r="T199" s="547"/>
      <c r="U199" s="547"/>
      <c r="V199" s="547"/>
      <c r="W199" s="549"/>
    </row>
    <row r="200" spans="1:23">
      <c r="A200" s="565">
        <v>894</v>
      </c>
      <c r="B200" s="696" t="s">
        <v>5605</v>
      </c>
      <c r="C200" s="566">
        <f t="shared" si="2"/>
        <v>894</v>
      </c>
      <c r="D200" s="700" t="s">
        <v>2218</v>
      </c>
      <c r="E200" s="701" t="s">
        <v>8079</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5606</v>
      </c>
      <c r="C201" s="566">
        <f t="shared" ref="C201:C264" si="3">A201</f>
        <v>895</v>
      </c>
      <c r="D201" s="700" t="s">
        <v>2218</v>
      </c>
      <c r="E201" s="701" t="s">
        <v>8080</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5607</v>
      </c>
      <c r="C202" s="566">
        <f t="shared" si="3"/>
        <v>896</v>
      </c>
      <c r="D202" s="700" t="s">
        <v>2218</v>
      </c>
      <c r="E202" s="701" t="s">
        <v>8081</v>
      </c>
      <c r="F202" s="566">
        <v>1</v>
      </c>
      <c r="G202" s="662">
        <v>0</v>
      </c>
      <c r="H202" s="662">
        <v>0</v>
      </c>
      <c r="I202" s="662">
        <v>46295.626406118943</v>
      </c>
      <c r="J202" s="662">
        <v>47456.585790546706</v>
      </c>
      <c r="K202" s="566" t="s">
        <v>3904</v>
      </c>
      <c r="L202" s="549"/>
      <c r="M202" s="703"/>
      <c r="O202" s="712"/>
      <c r="S202" s="654"/>
      <c r="T202" s="547"/>
      <c r="U202" s="547"/>
      <c r="V202" s="547"/>
      <c r="W202" s="549"/>
    </row>
    <row r="203" spans="1:23">
      <c r="A203" s="565">
        <v>897</v>
      </c>
      <c r="B203" s="696" t="s">
        <v>5608</v>
      </c>
      <c r="C203" s="566">
        <f t="shared" si="3"/>
        <v>897</v>
      </c>
      <c r="D203" s="700" t="s">
        <v>2219</v>
      </c>
      <c r="E203" s="701" t="s">
        <v>8082</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5609</v>
      </c>
      <c r="C204" s="566">
        <f t="shared" si="3"/>
        <v>898</v>
      </c>
      <c r="D204" s="700" t="s">
        <v>2219</v>
      </c>
      <c r="E204" s="701" t="s">
        <v>8083</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5610</v>
      </c>
      <c r="C205" s="566">
        <f t="shared" si="3"/>
        <v>899</v>
      </c>
      <c r="D205" s="700" t="s">
        <v>2219</v>
      </c>
      <c r="E205" s="701" t="s">
        <v>8084</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5611</v>
      </c>
      <c r="C206" s="566">
        <f t="shared" si="3"/>
        <v>900</v>
      </c>
      <c r="D206" s="700" t="s">
        <v>2219</v>
      </c>
      <c r="E206" s="701" t="s">
        <v>8085</v>
      </c>
      <c r="F206" s="566">
        <v>1</v>
      </c>
      <c r="G206" s="662">
        <v>0</v>
      </c>
      <c r="H206" s="662">
        <v>0</v>
      </c>
      <c r="I206" s="662">
        <v>23203.943218242028</v>
      </c>
      <c r="J206" s="662">
        <v>23953.128957415887</v>
      </c>
      <c r="K206" s="566" t="s">
        <v>3905</v>
      </c>
      <c r="L206" s="549"/>
      <c r="M206" s="702"/>
      <c r="O206" s="708"/>
      <c r="S206" s="654"/>
      <c r="T206" s="547"/>
      <c r="U206" s="547"/>
      <c r="V206" s="547"/>
      <c r="W206" s="549"/>
    </row>
    <row r="207" spans="1:23">
      <c r="A207" s="565">
        <v>901</v>
      </c>
      <c r="B207" s="696" t="s">
        <v>5612</v>
      </c>
      <c r="C207" s="566">
        <f t="shared" si="3"/>
        <v>901</v>
      </c>
      <c r="D207" s="700" t="s">
        <v>2219</v>
      </c>
      <c r="E207" s="701" t="s">
        <v>8086</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5613</v>
      </c>
      <c r="C208" s="566">
        <f t="shared" si="3"/>
        <v>902</v>
      </c>
      <c r="D208" s="700" t="s">
        <v>2219</v>
      </c>
      <c r="E208" s="701" t="s">
        <v>8087</v>
      </c>
      <c r="F208" s="566">
        <v>1</v>
      </c>
      <c r="G208" s="662">
        <v>0</v>
      </c>
      <c r="H208" s="662">
        <v>0</v>
      </c>
      <c r="I208" s="662">
        <v>27053.653273792854</v>
      </c>
      <c r="J208" s="662">
        <v>27926.089066600995</v>
      </c>
      <c r="K208" s="566" t="s">
        <v>4616</v>
      </c>
      <c r="L208" s="549"/>
      <c r="M208" s="690"/>
      <c r="O208" s="708"/>
      <c r="S208" s="654"/>
      <c r="T208" s="547"/>
      <c r="U208" s="547"/>
      <c r="V208" s="547"/>
      <c r="W208" s="549"/>
    </row>
    <row r="209" spans="1:23">
      <c r="A209" s="565">
        <v>903</v>
      </c>
      <c r="B209" s="696" t="s">
        <v>5614</v>
      </c>
      <c r="C209" s="566">
        <f t="shared" si="3"/>
        <v>903</v>
      </c>
      <c r="D209" s="700" t="s">
        <v>2219</v>
      </c>
      <c r="E209" s="701" t="s">
        <v>8088</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5615</v>
      </c>
      <c r="C210" s="566">
        <f t="shared" si="3"/>
        <v>904</v>
      </c>
      <c r="D210" s="700" t="s">
        <v>2219</v>
      </c>
      <c r="E210" s="701" t="s">
        <v>8089</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5616</v>
      </c>
      <c r="C211" s="566">
        <f t="shared" si="3"/>
        <v>905</v>
      </c>
      <c r="D211" s="700" t="s">
        <v>2219</v>
      </c>
      <c r="E211" s="701" t="s">
        <v>8090</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5617</v>
      </c>
      <c r="C212" s="566">
        <f t="shared" si="3"/>
        <v>906</v>
      </c>
      <c r="D212" s="700" t="s">
        <v>2219</v>
      </c>
      <c r="E212" s="701" t="s">
        <v>8091</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5618</v>
      </c>
      <c r="C213" s="566">
        <f t="shared" si="3"/>
        <v>907</v>
      </c>
      <c r="D213" s="700" t="s">
        <v>2219</v>
      </c>
      <c r="E213" s="701" t="s">
        <v>8092</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5619</v>
      </c>
      <c r="C214" s="566">
        <f t="shared" si="3"/>
        <v>908</v>
      </c>
      <c r="D214" s="700" t="s">
        <v>2219</v>
      </c>
      <c r="E214" s="701" t="s">
        <v>8093</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5620</v>
      </c>
      <c r="C215" s="566">
        <f t="shared" si="3"/>
        <v>909</v>
      </c>
      <c r="D215" s="700" t="s">
        <v>2219</v>
      </c>
      <c r="E215" s="701" t="s">
        <v>8094</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5621</v>
      </c>
      <c r="C216" s="566">
        <f t="shared" si="3"/>
        <v>910</v>
      </c>
      <c r="D216" s="700" t="s">
        <v>2219</v>
      </c>
      <c r="E216" s="701" t="s">
        <v>8095</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5622</v>
      </c>
      <c r="C217" s="566">
        <f t="shared" si="3"/>
        <v>911</v>
      </c>
      <c r="D217" s="700" t="s">
        <v>2219</v>
      </c>
      <c r="E217" s="701" t="s">
        <v>8096</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5623</v>
      </c>
      <c r="C218" s="566">
        <f t="shared" si="3"/>
        <v>912</v>
      </c>
      <c r="D218" s="700" t="s">
        <v>2219</v>
      </c>
      <c r="E218" s="701" t="s">
        <v>8097</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5624</v>
      </c>
      <c r="C219" s="566">
        <f t="shared" si="3"/>
        <v>913</v>
      </c>
      <c r="D219" s="700" t="s">
        <v>2219</v>
      </c>
      <c r="E219" s="701" t="s">
        <v>8098</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5625</v>
      </c>
      <c r="C220" s="566">
        <f t="shared" si="3"/>
        <v>914</v>
      </c>
      <c r="D220" s="700" t="s">
        <v>2219</v>
      </c>
      <c r="E220" s="701" t="s">
        <v>8099</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5626</v>
      </c>
      <c r="C221" s="566">
        <f t="shared" si="3"/>
        <v>915</v>
      </c>
      <c r="D221" s="700" t="s">
        <v>2219</v>
      </c>
      <c r="E221" s="701" t="s">
        <v>8100</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5627</v>
      </c>
      <c r="C222" s="566">
        <f t="shared" si="3"/>
        <v>916</v>
      </c>
      <c r="D222" s="700" t="s">
        <v>2219</v>
      </c>
      <c r="E222" s="701" t="s">
        <v>8101</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5628</v>
      </c>
      <c r="C223" s="566">
        <f t="shared" si="3"/>
        <v>917</v>
      </c>
      <c r="D223" s="700" t="s">
        <v>2219</v>
      </c>
      <c r="E223" s="701" t="s">
        <v>8102</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5629</v>
      </c>
      <c r="C224" s="566">
        <f t="shared" si="3"/>
        <v>918</v>
      </c>
      <c r="D224" s="700" t="s">
        <v>2219</v>
      </c>
      <c r="E224" s="701" t="s">
        <v>8103</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5630</v>
      </c>
      <c r="C225" s="566">
        <f t="shared" si="3"/>
        <v>919</v>
      </c>
      <c r="D225" s="700" t="s">
        <v>2219</v>
      </c>
      <c r="E225" s="701" t="s">
        <v>8104</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5631</v>
      </c>
      <c r="C226" s="566">
        <f t="shared" si="3"/>
        <v>920</v>
      </c>
      <c r="D226" s="700" t="s">
        <v>2219</v>
      </c>
      <c r="E226" s="701" t="s">
        <v>8105</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5632</v>
      </c>
      <c r="C227" s="566">
        <f t="shared" si="3"/>
        <v>921</v>
      </c>
      <c r="D227" s="700" t="s">
        <v>2219</v>
      </c>
      <c r="E227" s="701" t="s">
        <v>8106</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5633</v>
      </c>
      <c r="C228" s="566">
        <f t="shared" si="3"/>
        <v>922</v>
      </c>
      <c r="D228" s="700" t="s">
        <v>2219</v>
      </c>
      <c r="E228" s="701" t="s">
        <v>8107</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5634</v>
      </c>
      <c r="C229" s="566">
        <f t="shared" si="3"/>
        <v>923</v>
      </c>
      <c r="D229" s="700" t="s">
        <v>2219</v>
      </c>
      <c r="E229" s="701" t="s">
        <v>8108</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5635</v>
      </c>
      <c r="C230" s="566">
        <f t="shared" si="3"/>
        <v>924</v>
      </c>
      <c r="D230" s="700" t="s">
        <v>2219</v>
      </c>
      <c r="E230" s="701" t="s">
        <v>8109</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5636</v>
      </c>
      <c r="C231" s="566">
        <f t="shared" si="3"/>
        <v>925</v>
      </c>
      <c r="D231" s="700" t="s">
        <v>2219</v>
      </c>
      <c r="E231" s="701" t="s">
        <v>8110</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5637</v>
      </c>
      <c r="C232" s="566">
        <f t="shared" si="3"/>
        <v>926</v>
      </c>
      <c r="D232" s="700" t="s">
        <v>2219</v>
      </c>
      <c r="E232" s="701" t="s">
        <v>8111</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5638</v>
      </c>
      <c r="C233" s="566">
        <f t="shared" si="3"/>
        <v>927</v>
      </c>
      <c r="D233" s="700" t="s">
        <v>2219</v>
      </c>
      <c r="E233" s="701" t="s">
        <v>8112</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5639</v>
      </c>
      <c r="C234" s="566">
        <f t="shared" si="3"/>
        <v>928</v>
      </c>
      <c r="D234" s="700" t="s">
        <v>2219</v>
      </c>
      <c r="E234" s="701" t="s">
        <v>8113</v>
      </c>
      <c r="F234" s="566">
        <v>1</v>
      </c>
      <c r="G234" s="662">
        <v>29699.272880699013</v>
      </c>
      <c r="H234" s="662">
        <v>0</v>
      </c>
      <c r="I234" s="662">
        <v>0</v>
      </c>
      <c r="J234" s="662">
        <v>0</v>
      </c>
      <c r="K234" s="566" t="s">
        <v>5197</v>
      </c>
      <c r="L234" s="549"/>
      <c r="M234" s="690"/>
      <c r="O234" s="708"/>
      <c r="S234" s="654"/>
      <c r="T234" s="547"/>
      <c r="U234" s="547"/>
      <c r="V234" s="547"/>
      <c r="W234" s="549"/>
    </row>
    <row r="235" spans="1:23">
      <c r="A235" s="565">
        <v>929</v>
      </c>
      <c r="B235" s="696" t="s">
        <v>5640</v>
      </c>
      <c r="C235" s="566">
        <f t="shared" si="3"/>
        <v>929</v>
      </c>
      <c r="D235" s="700" t="s">
        <v>2219</v>
      </c>
      <c r="E235" s="701" t="s">
        <v>8114</v>
      </c>
      <c r="F235" s="566">
        <v>1</v>
      </c>
      <c r="G235" s="662">
        <v>30438.390702762728</v>
      </c>
      <c r="H235" s="662">
        <v>0</v>
      </c>
      <c r="I235" s="662">
        <v>0</v>
      </c>
      <c r="J235" s="662">
        <v>0</v>
      </c>
      <c r="K235" s="566" t="s">
        <v>5198</v>
      </c>
      <c r="L235" s="549"/>
      <c r="M235" s="690"/>
      <c r="O235" s="708"/>
      <c r="S235" s="654"/>
      <c r="T235" s="547"/>
      <c r="U235" s="547"/>
      <c r="V235" s="547"/>
      <c r="W235" s="549"/>
    </row>
    <row r="236" spans="1:23">
      <c r="A236" s="565">
        <v>930</v>
      </c>
      <c r="B236" s="696" t="s">
        <v>5641</v>
      </c>
      <c r="C236" s="566">
        <f t="shared" si="3"/>
        <v>930</v>
      </c>
      <c r="D236" s="700" t="s">
        <v>2219</v>
      </c>
      <c r="E236" s="701" t="s">
        <v>8115</v>
      </c>
      <c r="F236" s="566">
        <v>1</v>
      </c>
      <c r="G236" s="662">
        <v>31822.754276335305</v>
      </c>
      <c r="H236" s="662">
        <v>0</v>
      </c>
      <c r="I236" s="662">
        <v>0</v>
      </c>
      <c r="J236" s="662">
        <v>0</v>
      </c>
      <c r="K236" s="566" t="s">
        <v>5199</v>
      </c>
      <c r="L236" s="549"/>
      <c r="M236" s="690"/>
      <c r="O236" s="708"/>
      <c r="S236" s="654"/>
      <c r="T236" s="547"/>
      <c r="U236" s="547"/>
      <c r="V236" s="547"/>
      <c r="W236" s="549"/>
    </row>
    <row r="237" spans="1:23">
      <c r="A237" s="565">
        <v>931</v>
      </c>
      <c r="B237" s="696" t="s">
        <v>5642</v>
      </c>
      <c r="C237" s="566">
        <f t="shared" si="3"/>
        <v>931</v>
      </c>
      <c r="D237" s="700" t="s">
        <v>2219</v>
      </c>
      <c r="E237" s="701" t="s">
        <v>8116</v>
      </c>
      <c r="F237" s="566">
        <v>1</v>
      </c>
      <c r="G237" s="662">
        <v>32342.358212398853</v>
      </c>
      <c r="H237" s="662">
        <v>0</v>
      </c>
      <c r="I237" s="662">
        <v>0</v>
      </c>
      <c r="J237" s="662">
        <v>0</v>
      </c>
      <c r="K237" s="566" t="s">
        <v>5200</v>
      </c>
      <c r="L237" s="549"/>
      <c r="M237" s="690"/>
      <c r="O237" s="708"/>
      <c r="S237" s="654"/>
      <c r="T237" s="547"/>
      <c r="U237" s="547"/>
      <c r="V237" s="547"/>
      <c r="W237" s="549"/>
    </row>
    <row r="238" spans="1:23">
      <c r="A238" s="565">
        <v>932</v>
      </c>
      <c r="B238" s="696" t="s">
        <v>5643</v>
      </c>
      <c r="C238" s="566">
        <f t="shared" si="3"/>
        <v>932</v>
      </c>
      <c r="D238" s="700" t="s">
        <v>2219</v>
      </c>
      <c r="E238" s="701" t="s">
        <v>8117</v>
      </c>
      <c r="F238" s="566">
        <v>1</v>
      </c>
      <c r="G238" s="662">
        <v>30938.769361147111</v>
      </c>
      <c r="H238" s="662">
        <v>0</v>
      </c>
      <c r="I238" s="662">
        <v>0</v>
      </c>
      <c r="J238" s="662">
        <v>0</v>
      </c>
      <c r="K238" s="566" t="s">
        <v>5201</v>
      </c>
      <c r="L238" s="549"/>
      <c r="M238" s="686"/>
      <c r="O238" s="708"/>
      <c r="S238" s="654"/>
      <c r="T238" s="547"/>
      <c r="U238" s="547"/>
      <c r="V238" s="547"/>
      <c r="W238" s="549"/>
    </row>
    <row r="239" spans="1:23">
      <c r="A239" s="565">
        <v>933</v>
      </c>
      <c r="B239" s="696" t="s">
        <v>5644</v>
      </c>
      <c r="C239" s="566">
        <f t="shared" si="3"/>
        <v>933</v>
      </c>
      <c r="D239" s="700" t="s">
        <v>2219</v>
      </c>
      <c r="E239" s="701" t="s">
        <v>8118</v>
      </c>
      <c r="F239" s="566">
        <v>1</v>
      </c>
      <c r="G239" s="662">
        <v>31458.373297210648</v>
      </c>
      <c r="H239" s="662">
        <v>0</v>
      </c>
      <c r="I239" s="662">
        <v>0</v>
      </c>
      <c r="J239" s="662">
        <v>0</v>
      </c>
      <c r="K239" s="566" t="s">
        <v>5202</v>
      </c>
      <c r="L239" s="549"/>
      <c r="M239" s="686"/>
      <c r="O239" s="708"/>
      <c r="S239" s="654"/>
      <c r="T239" s="547"/>
      <c r="U239" s="547"/>
      <c r="V239" s="547"/>
      <c r="W239" s="549"/>
    </row>
    <row r="240" spans="1:23">
      <c r="A240" s="565">
        <v>934</v>
      </c>
      <c r="B240" s="696" t="s">
        <v>5645</v>
      </c>
      <c r="C240" s="566">
        <f t="shared" si="3"/>
        <v>934</v>
      </c>
      <c r="D240" s="700" t="s">
        <v>2219</v>
      </c>
      <c r="E240" s="701" t="s">
        <v>8119</v>
      </c>
      <c r="F240" s="566">
        <v>1</v>
      </c>
      <c r="G240" s="662">
        <v>32842.736870783236</v>
      </c>
      <c r="H240" s="662">
        <v>0</v>
      </c>
      <c r="I240" s="662">
        <v>0</v>
      </c>
      <c r="J240" s="662">
        <v>0</v>
      </c>
      <c r="K240" s="566" t="s">
        <v>5203</v>
      </c>
      <c r="L240" s="549"/>
      <c r="M240" s="683"/>
      <c r="O240" s="708"/>
      <c r="S240" s="654"/>
      <c r="T240" s="547"/>
      <c r="U240" s="547"/>
      <c r="V240" s="547"/>
      <c r="W240" s="549"/>
    </row>
    <row r="241" spans="1:23">
      <c r="A241" s="565">
        <v>935</v>
      </c>
      <c r="B241" s="696" t="s">
        <v>5646</v>
      </c>
      <c r="C241" s="566">
        <f t="shared" si="3"/>
        <v>935</v>
      </c>
      <c r="D241" s="700" t="s">
        <v>2219</v>
      </c>
      <c r="E241" s="701" t="s">
        <v>8120</v>
      </c>
      <c r="F241" s="566">
        <v>1</v>
      </c>
      <c r="G241" s="662">
        <v>33362.340806846783</v>
      </c>
      <c r="H241" s="662">
        <v>0</v>
      </c>
      <c r="I241" s="662">
        <v>0</v>
      </c>
      <c r="J241" s="662">
        <v>0</v>
      </c>
      <c r="K241" s="566" t="s">
        <v>5204</v>
      </c>
      <c r="L241" s="549"/>
      <c r="M241" s="683"/>
      <c r="O241" s="708"/>
      <c r="S241" s="654"/>
      <c r="T241" s="547"/>
      <c r="U241" s="547"/>
      <c r="V241" s="547"/>
      <c r="W241" s="549"/>
    </row>
    <row r="242" spans="1:23">
      <c r="A242" s="565">
        <v>936</v>
      </c>
      <c r="B242" s="696" t="s">
        <v>5647</v>
      </c>
      <c r="C242" s="566">
        <f t="shared" si="3"/>
        <v>936</v>
      </c>
      <c r="D242" s="700" t="s">
        <v>2219</v>
      </c>
      <c r="E242" s="701" t="s">
        <v>8121</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5648</v>
      </c>
      <c r="C243" s="566">
        <f t="shared" si="3"/>
        <v>937</v>
      </c>
      <c r="D243" s="700" t="s">
        <v>2219</v>
      </c>
      <c r="E243" s="701" t="s">
        <v>8122</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5649</v>
      </c>
      <c r="C244" s="566">
        <f t="shared" si="3"/>
        <v>938</v>
      </c>
      <c r="D244" s="700" t="s">
        <v>2219</v>
      </c>
      <c r="E244" s="701" t="s">
        <v>8123</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5650</v>
      </c>
      <c r="C245" s="566">
        <f t="shared" si="3"/>
        <v>939</v>
      </c>
      <c r="D245" s="700" t="s">
        <v>2219</v>
      </c>
      <c r="E245" s="701" t="s">
        <v>8124</v>
      </c>
      <c r="F245" s="566">
        <v>1</v>
      </c>
      <c r="G245" s="662">
        <v>0</v>
      </c>
      <c r="H245" s="662">
        <v>0</v>
      </c>
      <c r="I245" s="662">
        <v>0</v>
      </c>
      <c r="J245" s="662">
        <v>39463.417869237797</v>
      </c>
      <c r="K245" s="566" t="s">
        <v>4617</v>
      </c>
      <c r="L245" s="549"/>
      <c r="M245" s="681"/>
      <c r="O245" s="708"/>
      <c r="S245" s="654"/>
      <c r="T245" s="547"/>
      <c r="U245" s="547"/>
      <c r="V245" s="547"/>
      <c r="W245" s="549"/>
    </row>
    <row r="246" spans="1:23">
      <c r="A246" s="565">
        <v>940</v>
      </c>
      <c r="B246" s="696" t="s">
        <v>5651</v>
      </c>
      <c r="C246" s="566">
        <f t="shared" si="3"/>
        <v>940</v>
      </c>
      <c r="D246" s="700" t="s">
        <v>2219</v>
      </c>
      <c r="E246" s="701" t="s">
        <v>8125</v>
      </c>
      <c r="F246" s="566">
        <v>1</v>
      </c>
      <c r="G246" s="662">
        <v>0</v>
      </c>
      <c r="H246" s="662">
        <v>0</v>
      </c>
      <c r="I246" s="662">
        <v>0</v>
      </c>
      <c r="J246" s="662">
        <v>38363.965983706017</v>
      </c>
      <c r="K246" s="566" t="s">
        <v>4618</v>
      </c>
      <c r="L246" s="549"/>
      <c r="M246" s="681"/>
      <c r="O246" s="708"/>
      <c r="S246" s="654"/>
      <c r="T246" s="547"/>
      <c r="U246" s="547"/>
      <c r="V246" s="547"/>
      <c r="W246" s="549"/>
    </row>
    <row r="247" spans="1:23">
      <c r="A247" s="565">
        <v>941</v>
      </c>
      <c r="B247" s="696" t="s">
        <v>5652</v>
      </c>
      <c r="C247" s="566">
        <f t="shared" si="3"/>
        <v>941</v>
      </c>
      <c r="D247" s="700" t="s">
        <v>2219</v>
      </c>
      <c r="E247" s="701" t="s">
        <v>8126</v>
      </c>
      <c r="F247" s="566">
        <v>1</v>
      </c>
      <c r="G247" s="662">
        <v>0</v>
      </c>
      <c r="H247" s="662">
        <v>0</v>
      </c>
      <c r="I247" s="662">
        <v>0</v>
      </c>
      <c r="J247" s="662">
        <v>40573.864273624888</v>
      </c>
      <c r="K247" s="566" t="s">
        <v>4619</v>
      </c>
      <c r="L247" s="549"/>
      <c r="M247" s="681"/>
      <c r="O247" s="708"/>
      <c r="S247" s="654"/>
      <c r="T247" s="547"/>
      <c r="U247" s="547"/>
      <c r="V247" s="547"/>
      <c r="W247" s="549"/>
    </row>
    <row r="248" spans="1:23">
      <c r="A248" s="565">
        <v>942</v>
      </c>
      <c r="B248" s="696" t="s">
        <v>5653</v>
      </c>
      <c r="C248" s="566">
        <f t="shared" si="3"/>
        <v>942</v>
      </c>
      <c r="D248" s="700" t="s">
        <v>2219</v>
      </c>
      <c r="E248" s="701" t="s">
        <v>8127</v>
      </c>
      <c r="F248" s="566">
        <v>1</v>
      </c>
      <c r="G248" s="662">
        <v>0</v>
      </c>
      <c r="H248" s="662">
        <v>0</v>
      </c>
      <c r="I248" s="662">
        <v>0</v>
      </c>
      <c r="J248" s="662">
        <v>39474.412388093107</v>
      </c>
      <c r="K248" s="566" t="s">
        <v>4620</v>
      </c>
      <c r="L248" s="549"/>
      <c r="M248" s="681"/>
      <c r="O248" s="708"/>
      <c r="S248" s="654"/>
      <c r="T248" s="547"/>
      <c r="U248" s="547"/>
      <c r="V248" s="547"/>
      <c r="W248" s="549"/>
    </row>
    <row r="249" spans="1:23">
      <c r="A249" s="565">
        <v>943</v>
      </c>
      <c r="B249" s="696" t="s">
        <v>5654</v>
      </c>
      <c r="C249" s="566">
        <f t="shared" si="3"/>
        <v>943</v>
      </c>
      <c r="D249" s="700" t="s">
        <v>2219</v>
      </c>
      <c r="E249" s="701" t="s">
        <v>8128</v>
      </c>
      <c r="F249" s="566">
        <v>1</v>
      </c>
      <c r="G249" s="662">
        <v>0</v>
      </c>
      <c r="H249" s="662">
        <v>0</v>
      </c>
      <c r="I249" s="662">
        <v>0</v>
      </c>
      <c r="J249" s="662">
        <v>41926.190092828976</v>
      </c>
      <c r="K249" s="566" t="s">
        <v>4621</v>
      </c>
      <c r="L249" s="549"/>
      <c r="M249" s="681"/>
      <c r="O249" s="708"/>
      <c r="S249" s="654"/>
      <c r="T249" s="547"/>
      <c r="U249" s="547"/>
      <c r="V249" s="547"/>
      <c r="W249" s="549"/>
    </row>
    <row r="250" spans="1:23">
      <c r="A250" s="565">
        <v>944</v>
      </c>
      <c r="B250" s="696" t="s">
        <v>5655</v>
      </c>
      <c r="C250" s="566">
        <f t="shared" si="3"/>
        <v>944</v>
      </c>
      <c r="D250" s="700" t="s">
        <v>2219</v>
      </c>
      <c r="E250" s="701" t="s">
        <v>8129</v>
      </c>
      <c r="F250" s="566">
        <v>1</v>
      </c>
      <c r="G250" s="662">
        <v>0</v>
      </c>
      <c r="H250" s="662">
        <v>0</v>
      </c>
      <c r="I250" s="662">
        <v>0</v>
      </c>
      <c r="J250" s="662">
        <v>40826.738207297203</v>
      </c>
      <c r="K250" s="566" t="s">
        <v>4622</v>
      </c>
      <c r="L250" s="549"/>
      <c r="M250" s="681"/>
      <c r="O250" s="708"/>
      <c r="S250" s="654"/>
      <c r="T250" s="547"/>
      <c r="U250" s="547"/>
      <c r="V250" s="547"/>
      <c r="W250" s="549"/>
    </row>
    <row r="251" spans="1:23">
      <c r="A251" s="565">
        <v>945</v>
      </c>
      <c r="B251" s="696" t="s">
        <v>5656</v>
      </c>
      <c r="C251" s="566">
        <f t="shared" si="3"/>
        <v>945</v>
      </c>
      <c r="D251" s="700" t="s">
        <v>2219</v>
      </c>
      <c r="E251" s="701" t="s">
        <v>8130</v>
      </c>
      <c r="F251" s="566">
        <v>1</v>
      </c>
      <c r="G251" s="662">
        <v>0</v>
      </c>
      <c r="H251" s="662">
        <v>0</v>
      </c>
      <c r="I251" s="662">
        <v>0</v>
      </c>
      <c r="J251" s="662">
        <v>31680.717255691998</v>
      </c>
      <c r="K251" s="566" t="s">
        <v>4623</v>
      </c>
      <c r="L251" s="549"/>
      <c r="M251" s="681"/>
      <c r="O251" s="708"/>
      <c r="S251" s="654"/>
      <c r="T251" s="547"/>
      <c r="U251" s="547"/>
      <c r="V251" s="547"/>
      <c r="W251" s="549"/>
    </row>
    <row r="252" spans="1:23">
      <c r="A252" s="565">
        <v>946</v>
      </c>
      <c r="B252" s="696" t="s">
        <v>5657</v>
      </c>
      <c r="C252" s="566">
        <f t="shared" si="3"/>
        <v>946</v>
      </c>
      <c r="D252" s="700" t="s">
        <v>2219</v>
      </c>
      <c r="E252" s="701" t="s">
        <v>8131</v>
      </c>
      <c r="F252" s="566">
        <v>1</v>
      </c>
      <c r="G252" s="662">
        <v>0</v>
      </c>
      <c r="H252" s="662">
        <v>0</v>
      </c>
      <c r="I252" s="662">
        <v>0</v>
      </c>
      <c r="J252" s="662">
        <v>25950.675974268535</v>
      </c>
      <c r="K252" s="566" t="s">
        <v>4624</v>
      </c>
      <c r="L252" s="549"/>
      <c r="M252" s="681"/>
      <c r="O252" s="708"/>
      <c r="S252" s="654"/>
      <c r="T252" s="547"/>
      <c r="U252" s="547"/>
      <c r="V252" s="547"/>
      <c r="W252" s="549"/>
    </row>
    <row r="253" spans="1:23">
      <c r="A253" s="565">
        <v>947</v>
      </c>
      <c r="B253" s="696" t="s">
        <v>5658</v>
      </c>
      <c r="C253" s="566">
        <f t="shared" si="3"/>
        <v>947</v>
      </c>
      <c r="D253" s="700" t="s">
        <v>2219</v>
      </c>
      <c r="E253" s="701" t="s">
        <v>8132</v>
      </c>
      <c r="F253" s="566">
        <v>1</v>
      </c>
      <c r="G253" s="662">
        <v>0</v>
      </c>
      <c r="H253" s="662">
        <v>0</v>
      </c>
      <c r="I253" s="662">
        <v>28954.0765795732</v>
      </c>
      <c r="J253" s="662">
        <v>29909.25082145102</v>
      </c>
      <c r="K253" s="566" t="s">
        <v>3906</v>
      </c>
      <c r="L253" s="549"/>
      <c r="M253" s="681"/>
      <c r="O253" s="708"/>
      <c r="S253" s="654"/>
      <c r="T253" s="547"/>
      <c r="U253" s="547"/>
      <c r="V253" s="547"/>
      <c r="W253" s="549"/>
    </row>
    <row r="254" spans="1:23">
      <c r="A254" s="565">
        <v>948</v>
      </c>
      <c r="B254" s="696" t="s">
        <v>5659</v>
      </c>
      <c r="C254" s="566">
        <f t="shared" si="3"/>
        <v>948</v>
      </c>
      <c r="D254" s="700" t="s">
        <v>2219</v>
      </c>
      <c r="E254" s="701" t="s">
        <v>8133</v>
      </c>
      <c r="F254" s="566">
        <v>1</v>
      </c>
      <c r="G254" s="662">
        <v>0</v>
      </c>
      <c r="H254" s="662">
        <v>0</v>
      </c>
      <c r="I254" s="662">
        <v>32488.814391557858</v>
      </c>
      <c r="J254" s="662">
        <v>33570.596969351456</v>
      </c>
      <c r="K254" s="566" t="s">
        <v>3907</v>
      </c>
      <c r="L254" s="549"/>
      <c r="M254" s="681"/>
      <c r="O254" s="708"/>
      <c r="S254" s="654"/>
      <c r="T254" s="547"/>
      <c r="U254" s="547"/>
      <c r="V254" s="547"/>
      <c r="W254" s="549"/>
    </row>
    <row r="255" spans="1:23">
      <c r="A255" s="565">
        <v>949</v>
      </c>
      <c r="B255" s="696" t="s">
        <v>5660</v>
      </c>
      <c r="C255" s="566">
        <f t="shared" si="3"/>
        <v>949</v>
      </c>
      <c r="D255" s="700" t="s">
        <v>2219</v>
      </c>
      <c r="E255" s="701" t="s">
        <v>8134</v>
      </c>
      <c r="F255" s="566">
        <v>1</v>
      </c>
      <c r="G255" s="662">
        <v>0</v>
      </c>
      <c r="H255" s="662">
        <v>0</v>
      </c>
      <c r="I255" s="662">
        <v>28954.0765795732</v>
      </c>
      <c r="J255" s="662">
        <v>29909.233319002644</v>
      </c>
      <c r="K255" s="566" t="s">
        <v>3908</v>
      </c>
      <c r="L255" s="549"/>
      <c r="M255" s="681"/>
      <c r="O255" s="708"/>
      <c r="S255" s="654"/>
      <c r="T255" s="547"/>
      <c r="U255" s="547"/>
      <c r="V255" s="547"/>
      <c r="W255" s="549"/>
    </row>
    <row r="256" spans="1:23">
      <c r="A256" s="565">
        <v>950</v>
      </c>
      <c r="B256" s="696" t="s">
        <v>5661</v>
      </c>
      <c r="C256" s="566">
        <f t="shared" si="3"/>
        <v>950</v>
      </c>
      <c r="D256" s="700" t="s">
        <v>2219</v>
      </c>
      <c r="E256" s="701" t="s">
        <v>8135</v>
      </c>
      <c r="F256" s="566">
        <v>1</v>
      </c>
      <c r="G256" s="662">
        <v>0</v>
      </c>
      <c r="H256" s="662">
        <v>0</v>
      </c>
      <c r="I256" s="662">
        <v>29855.627125709245</v>
      </c>
      <c r="J256" s="662">
        <v>30843.09338483465</v>
      </c>
      <c r="K256" s="566" t="s">
        <v>3909</v>
      </c>
      <c r="L256" s="549"/>
      <c r="M256" s="681"/>
      <c r="O256" s="708"/>
      <c r="S256" s="654"/>
      <c r="T256" s="547"/>
      <c r="U256" s="547"/>
      <c r="V256" s="547"/>
      <c r="W256" s="549"/>
    </row>
    <row r="257" spans="1:23">
      <c r="A257" s="565">
        <v>951</v>
      </c>
      <c r="B257" s="696" t="s">
        <v>5662</v>
      </c>
      <c r="C257" s="566">
        <f t="shared" si="3"/>
        <v>951</v>
      </c>
      <c r="D257" s="700" t="s">
        <v>2219</v>
      </c>
      <c r="E257" s="701" t="s">
        <v>8136</v>
      </c>
      <c r="F257" s="566">
        <v>1</v>
      </c>
      <c r="G257" s="662">
        <v>0</v>
      </c>
      <c r="H257" s="662">
        <v>0</v>
      </c>
      <c r="I257" s="662">
        <v>54878.430202951415</v>
      </c>
      <c r="J257" s="662">
        <v>57213.202120713991</v>
      </c>
      <c r="K257" s="566" t="s">
        <v>3910</v>
      </c>
      <c r="L257" s="549"/>
      <c r="M257" s="681"/>
      <c r="O257" s="708"/>
      <c r="S257" s="654"/>
      <c r="T257" s="547"/>
      <c r="U257" s="547"/>
      <c r="V257" s="547"/>
      <c r="W257" s="549"/>
    </row>
    <row r="258" spans="1:23">
      <c r="A258" s="565">
        <v>952</v>
      </c>
      <c r="B258" s="696" t="s">
        <v>5663</v>
      </c>
      <c r="C258" s="566">
        <f t="shared" si="3"/>
        <v>952</v>
      </c>
      <c r="D258" s="700" t="s">
        <v>2219</v>
      </c>
      <c r="E258" s="701" t="s">
        <v>8137</v>
      </c>
      <c r="F258" s="566">
        <v>1</v>
      </c>
      <c r="G258" s="662">
        <v>0</v>
      </c>
      <c r="H258" s="662">
        <v>0</v>
      </c>
      <c r="I258" s="662">
        <v>24847.623787112032</v>
      </c>
      <c r="J258" s="662">
        <v>25655.711828478052</v>
      </c>
      <c r="K258" s="566" t="s">
        <v>3911</v>
      </c>
      <c r="L258" s="549"/>
      <c r="M258" s="681"/>
      <c r="O258" s="708"/>
      <c r="S258" s="654"/>
      <c r="T258" s="547"/>
      <c r="U258" s="547"/>
      <c r="V258" s="547"/>
      <c r="W258" s="549"/>
    </row>
    <row r="259" spans="1:23">
      <c r="A259" s="565">
        <v>953</v>
      </c>
      <c r="B259" s="696" t="s">
        <v>5664</v>
      </c>
      <c r="C259" s="566">
        <f t="shared" si="3"/>
        <v>953</v>
      </c>
      <c r="D259" s="700" t="s">
        <v>2219</v>
      </c>
      <c r="E259" s="701" t="s">
        <v>7894</v>
      </c>
      <c r="F259" s="566">
        <v>1</v>
      </c>
      <c r="G259" s="662">
        <v>0</v>
      </c>
      <c r="H259" s="662">
        <v>0</v>
      </c>
      <c r="I259" s="662">
        <v>28801.307219029306</v>
      </c>
      <c r="J259" s="662">
        <v>29767.249842268415</v>
      </c>
      <c r="K259" s="566" t="s">
        <v>3912</v>
      </c>
      <c r="L259" s="549"/>
      <c r="M259" s="681"/>
      <c r="O259" s="708"/>
      <c r="S259" s="654"/>
      <c r="T259" s="547"/>
      <c r="U259" s="547"/>
      <c r="V259" s="547"/>
      <c r="W259" s="549"/>
    </row>
    <row r="260" spans="1:23">
      <c r="A260" s="565">
        <v>954</v>
      </c>
      <c r="B260" s="696" t="s">
        <v>5665</v>
      </c>
      <c r="C260" s="566">
        <f t="shared" si="3"/>
        <v>954</v>
      </c>
      <c r="D260" s="700" t="s">
        <v>2219</v>
      </c>
      <c r="E260" s="701" t="s">
        <v>8138</v>
      </c>
      <c r="F260" s="566">
        <v>1</v>
      </c>
      <c r="G260" s="662">
        <v>0</v>
      </c>
      <c r="H260" s="662">
        <v>0</v>
      </c>
      <c r="I260" s="662">
        <v>31873.121335660057</v>
      </c>
      <c r="J260" s="662">
        <v>32932.822387025488</v>
      </c>
      <c r="K260" s="566" t="s">
        <v>3913</v>
      </c>
      <c r="L260" s="549"/>
      <c r="M260" s="681"/>
      <c r="O260" s="708"/>
      <c r="S260" s="654"/>
      <c r="T260" s="547"/>
      <c r="U260" s="547"/>
      <c r="V260" s="547"/>
      <c r="W260" s="549"/>
    </row>
    <row r="261" spans="1:23">
      <c r="A261" s="565">
        <v>955</v>
      </c>
      <c r="B261" s="696" t="s">
        <v>5666</v>
      </c>
      <c r="C261" s="566">
        <f t="shared" si="3"/>
        <v>955</v>
      </c>
      <c r="D261" s="700" t="s">
        <v>2219</v>
      </c>
      <c r="E261" s="701" t="s">
        <v>8139</v>
      </c>
      <c r="F261" s="566">
        <v>1</v>
      </c>
      <c r="G261" s="662">
        <v>0</v>
      </c>
      <c r="H261" s="662">
        <v>0</v>
      </c>
      <c r="I261" s="662">
        <v>30053.52846510497</v>
      </c>
      <c r="J261" s="662">
        <v>31048.083215821291</v>
      </c>
      <c r="K261" s="566" t="s">
        <v>3914</v>
      </c>
      <c r="L261" s="549"/>
      <c r="M261" s="681"/>
      <c r="O261" s="708"/>
      <c r="S261" s="654"/>
      <c r="T261" s="547"/>
      <c r="U261" s="547"/>
      <c r="V261" s="547"/>
      <c r="W261" s="549"/>
    </row>
    <row r="262" spans="1:23">
      <c r="A262" s="565">
        <v>956</v>
      </c>
      <c r="B262" s="696" t="s">
        <v>5667</v>
      </c>
      <c r="C262" s="566">
        <f t="shared" si="3"/>
        <v>956</v>
      </c>
      <c r="D262" s="700" t="s">
        <v>2219</v>
      </c>
      <c r="E262" s="701" t="s">
        <v>8140</v>
      </c>
      <c r="F262" s="566">
        <v>1</v>
      </c>
      <c r="G262" s="662">
        <v>0</v>
      </c>
      <c r="H262" s="662">
        <v>0</v>
      </c>
      <c r="I262" s="662">
        <v>27656.723354645714</v>
      </c>
      <c r="J262" s="662">
        <v>28565.428596094102</v>
      </c>
      <c r="K262" s="566" t="s">
        <v>3915</v>
      </c>
      <c r="L262" s="549"/>
      <c r="M262" s="681"/>
      <c r="O262" s="708"/>
      <c r="S262" s="654"/>
      <c r="T262" s="547"/>
      <c r="U262" s="547"/>
      <c r="V262" s="547"/>
      <c r="W262" s="549"/>
    </row>
    <row r="263" spans="1:23">
      <c r="A263" s="565">
        <v>957</v>
      </c>
      <c r="B263" s="696" t="s">
        <v>5668</v>
      </c>
      <c r="C263" s="566">
        <f t="shared" si="3"/>
        <v>957</v>
      </c>
      <c r="D263" s="700" t="s">
        <v>2219</v>
      </c>
      <c r="E263" s="701" t="s">
        <v>8141</v>
      </c>
      <c r="F263" s="566">
        <v>1</v>
      </c>
      <c r="G263" s="662">
        <v>0</v>
      </c>
      <c r="H263" s="662">
        <v>0</v>
      </c>
      <c r="I263" s="662">
        <v>31990.45867919442</v>
      </c>
      <c r="J263" s="662">
        <v>33072.584742537336</v>
      </c>
      <c r="K263" s="566" t="s">
        <v>3916</v>
      </c>
      <c r="L263" s="549"/>
      <c r="M263" s="681"/>
      <c r="O263" s="708"/>
      <c r="S263" s="654"/>
      <c r="T263" s="547"/>
      <c r="U263" s="547"/>
      <c r="V263" s="547"/>
      <c r="W263" s="549"/>
    </row>
    <row r="264" spans="1:23">
      <c r="A264" s="565">
        <v>958</v>
      </c>
      <c r="B264" s="696" t="s">
        <v>5669</v>
      </c>
      <c r="C264" s="566">
        <f t="shared" si="3"/>
        <v>958</v>
      </c>
      <c r="D264" s="700" t="s">
        <v>2219</v>
      </c>
      <c r="E264" s="701" t="s">
        <v>8142</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5670</v>
      </c>
      <c r="C265" s="566">
        <f t="shared" ref="C265:C328" si="4">A265</f>
        <v>959</v>
      </c>
      <c r="D265" s="700" t="s">
        <v>2219</v>
      </c>
      <c r="E265" s="701" t="s">
        <v>8143</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5671</v>
      </c>
      <c r="C266" s="566">
        <f t="shared" si="4"/>
        <v>960</v>
      </c>
      <c r="D266" s="700" t="s">
        <v>2219</v>
      </c>
      <c r="E266" s="701" t="s">
        <v>8144</v>
      </c>
      <c r="F266" s="566">
        <v>1</v>
      </c>
      <c r="G266" s="662">
        <v>0</v>
      </c>
      <c r="H266" s="662">
        <v>0</v>
      </c>
      <c r="I266" s="662">
        <v>42088.814851145391</v>
      </c>
      <c r="J266" s="662">
        <v>43064.396060103543</v>
      </c>
      <c r="K266" s="566" t="s">
        <v>3917</v>
      </c>
      <c r="L266" s="549"/>
      <c r="M266" s="681"/>
      <c r="O266" s="708"/>
      <c r="S266" s="654"/>
      <c r="T266" s="547"/>
      <c r="U266" s="547"/>
      <c r="V266" s="547"/>
      <c r="W266" s="549"/>
    </row>
    <row r="267" spans="1:23">
      <c r="A267" s="565">
        <v>961</v>
      </c>
      <c r="B267" s="696" t="s">
        <v>5672</v>
      </c>
      <c r="C267" s="566">
        <f t="shared" si="4"/>
        <v>961</v>
      </c>
      <c r="D267" s="700" t="s">
        <v>2219</v>
      </c>
      <c r="E267" s="701" t="s">
        <v>8145</v>
      </c>
      <c r="F267" s="566">
        <v>1</v>
      </c>
      <c r="G267" s="662">
        <v>0</v>
      </c>
      <c r="H267" s="662">
        <v>0</v>
      </c>
      <c r="I267" s="662">
        <v>41514.040391857576</v>
      </c>
      <c r="J267" s="662">
        <v>42475.537246249522</v>
      </c>
      <c r="K267" s="566" t="s">
        <v>3918</v>
      </c>
      <c r="L267" s="549"/>
      <c r="M267" s="681"/>
      <c r="O267" s="708"/>
      <c r="S267" s="654"/>
      <c r="T267" s="547"/>
      <c r="U267" s="547"/>
      <c r="V267" s="547"/>
      <c r="W267" s="549"/>
    </row>
    <row r="268" spans="1:23">
      <c r="A268" s="565">
        <v>962</v>
      </c>
      <c r="B268" s="696" t="s">
        <v>5673</v>
      </c>
      <c r="C268" s="566">
        <f t="shared" si="4"/>
        <v>962</v>
      </c>
      <c r="D268" s="700" t="s">
        <v>2219</v>
      </c>
      <c r="E268" s="701" t="s">
        <v>8146</v>
      </c>
      <c r="F268" s="566">
        <v>1</v>
      </c>
      <c r="G268" s="662">
        <v>41877.908578038667</v>
      </c>
      <c r="H268" s="662">
        <v>42795.358026876223</v>
      </c>
      <c r="I268" s="662">
        <v>43760.88600543722</v>
      </c>
      <c r="J268" s="662">
        <v>44777.442116772108</v>
      </c>
      <c r="K268" s="566" t="s">
        <v>3919</v>
      </c>
      <c r="L268" s="549"/>
      <c r="M268" s="681"/>
      <c r="O268" s="708"/>
      <c r="S268" s="654"/>
      <c r="T268" s="547"/>
      <c r="U268" s="547"/>
      <c r="V268" s="547"/>
      <c r="W268" s="549"/>
    </row>
    <row r="269" spans="1:23">
      <c r="A269" s="565">
        <v>963</v>
      </c>
      <c r="B269" s="696" t="s">
        <v>5674</v>
      </c>
      <c r="C269" s="566">
        <f t="shared" si="4"/>
        <v>963</v>
      </c>
      <c r="D269" s="700" t="s">
        <v>2219</v>
      </c>
      <c r="E269" s="701" t="s">
        <v>8147</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5675</v>
      </c>
      <c r="C270" s="566">
        <f t="shared" si="4"/>
        <v>964</v>
      </c>
      <c r="D270" s="700" t="s">
        <v>2219</v>
      </c>
      <c r="E270" s="701" t="s">
        <v>8148</v>
      </c>
      <c r="F270" s="566">
        <v>1</v>
      </c>
      <c r="G270" s="662">
        <v>0</v>
      </c>
      <c r="H270" s="662">
        <v>0</v>
      </c>
      <c r="I270" s="662">
        <v>35733.044383979315</v>
      </c>
      <c r="J270" s="662">
        <v>36552.83739181939</v>
      </c>
      <c r="K270" s="566" t="s">
        <v>3920</v>
      </c>
      <c r="L270" s="549"/>
      <c r="M270" s="681"/>
      <c r="O270" s="708"/>
      <c r="S270" s="654"/>
      <c r="T270" s="547"/>
      <c r="U270" s="547"/>
      <c r="V270" s="547"/>
      <c r="W270" s="549"/>
    </row>
    <row r="271" spans="1:23">
      <c r="A271" s="565">
        <v>965</v>
      </c>
      <c r="B271" s="696" t="s">
        <v>5676</v>
      </c>
      <c r="C271" s="566">
        <f t="shared" si="4"/>
        <v>965</v>
      </c>
      <c r="D271" s="700" t="s">
        <v>2219</v>
      </c>
      <c r="E271" s="701" t="s">
        <v>8149</v>
      </c>
      <c r="F271" s="566">
        <v>1</v>
      </c>
      <c r="G271" s="662">
        <v>0</v>
      </c>
      <c r="H271" s="662">
        <v>0</v>
      </c>
      <c r="I271" s="662">
        <v>38108.145455416576</v>
      </c>
      <c r="J271" s="662">
        <v>38986.168543478903</v>
      </c>
      <c r="K271" s="566" t="s">
        <v>3921</v>
      </c>
      <c r="L271" s="549"/>
      <c r="M271" s="681"/>
      <c r="O271" s="708"/>
      <c r="S271" s="654"/>
      <c r="T271" s="547"/>
      <c r="U271" s="547"/>
      <c r="V271" s="547"/>
      <c r="W271" s="549"/>
    </row>
    <row r="272" spans="1:23">
      <c r="A272" s="565">
        <v>966</v>
      </c>
      <c r="B272" s="696" t="s">
        <v>5677</v>
      </c>
      <c r="C272" s="566">
        <f t="shared" si="4"/>
        <v>966</v>
      </c>
      <c r="D272" s="700" t="s">
        <v>2219</v>
      </c>
      <c r="E272" s="701" t="s">
        <v>8150</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5678</v>
      </c>
      <c r="C273" s="566">
        <f t="shared" si="4"/>
        <v>967</v>
      </c>
      <c r="D273" s="700" t="s">
        <v>2219</v>
      </c>
      <c r="E273" s="701" t="s">
        <v>8151</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5679</v>
      </c>
      <c r="C274" s="566">
        <f t="shared" si="4"/>
        <v>968</v>
      </c>
      <c r="D274" s="700" t="s">
        <v>2219</v>
      </c>
      <c r="E274" s="701" t="s">
        <v>8152</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5680</v>
      </c>
      <c r="C275" s="566">
        <f t="shared" si="4"/>
        <v>969</v>
      </c>
      <c r="D275" s="700" t="s">
        <v>2219</v>
      </c>
      <c r="E275" s="701" t="s">
        <v>8153</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5681</v>
      </c>
      <c r="C276" s="566">
        <f t="shared" si="4"/>
        <v>970</v>
      </c>
      <c r="D276" s="700" t="s">
        <v>2219</v>
      </c>
      <c r="E276" s="701" t="s">
        <v>8154</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5682</v>
      </c>
      <c r="C277" s="566">
        <f t="shared" si="4"/>
        <v>971</v>
      </c>
      <c r="D277" s="700" t="s">
        <v>2219</v>
      </c>
      <c r="E277" s="701" t="s">
        <v>8155</v>
      </c>
      <c r="F277" s="566">
        <v>1</v>
      </c>
      <c r="G277" s="662">
        <v>0</v>
      </c>
      <c r="H277" s="662">
        <v>0</v>
      </c>
      <c r="I277" s="662">
        <v>43038.855279720294</v>
      </c>
      <c r="J277" s="662">
        <v>44037.713772752097</v>
      </c>
      <c r="K277" s="566" t="s">
        <v>3922</v>
      </c>
      <c r="L277" s="549"/>
      <c r="M277" s="681"/>
      <c r="O277" s="708"/>
      <c r="S277" s="654"/>
      <c r="T277" s="547"/>
      <c r="U277" s="547"/>
      <c r="V277" s="547"/>
      <c r="W277" s="549"/>
    </row>
    <row r="278" spans="1:23">
      <c r="A278" s="565">
        <v>972</v>
      </c>
      <c r="B278" s="696" t="s">
        <v>5683</v>
      </c>
      <c r="C278" s="566">
        <f t="shared" si="4"/>
        <v>972</v>
      </c>
      <c r="D278" s="700" t="s">
        <v>2219</v>
      </c>
      <c r="E278" s="701" t="s">
        <v>8156</v>
      </c>
      <c r="F278" s="566">
        <v>1</v>
      </c>
      <c r="G278" s="662">
        <v>0</v>
      </c>
      <c r="H278" s="662">
        <v>0</v>
      </c>
      <c r="I278" s="662">
        <v>42464.080820432479</v>
      </c>
      <c r="J278" s="662">
        <v>43448.854958898075</v>
      </c>
      <c r="K278" s="566" t="s">
        <v>3923</v>
      </c>
      <c r="L278" s="549"/>
      <c r="M278" s="681"/>
      <c r="O278" s="708"/>
      <c r="S278" s="654"/>
      <c r="T278" s="547"/>
      <c r="U278" s="547"/>
      <c r="V278" s="547"/>
      <c r="W278" s="549"/>
    </row>
    <row r="279" spans="1:23">
      <c r="A279" s="565">
        <v>973</v>
      </c>
      <c r="B279" s="696" t="s">
        <v>5684</v>
      </c>
      <c r="C279" s="566">
        <f t="shared" si="4"/>
        <v>973</v>
      </c>
      <c r="D279" s="700" t="s">
        <v>2219</v>
      </c>
      <c r="E279" s="701" t="s">
        <v>8157</v>
      </c>
      <c r="F279" s="566">
        <v>1</v>
      </c>
      <c r="G279" s="662">
        <v>42784.589841770976</v>
      </c>
      <c r="H279" s="662">
        <v>43723.055212343475</v>
      </c>
      <c r="I279" s="662">
        <v>44710.926434012115</v>
      </c>
      <c r="J279" s="662">
        <v>45750.784409446103</v>
      </c>
      <c r="K279" s="566" t="s">
        <v>3924</v>
      </c>
      <c r="L279" s="549"/>
      <c r="M279" s="681"/>
      <c r="O279" s="708"/>
      <c r="S279" s="654"/>
      <c r="T279" s="547"/>
      <c r="U279" s="547"/>
      <c r="V279" s="547"/>
      <c r="W279" s="549"/>
    </row>
    <row r="280" spans="1:23">
      <c r="A280" s="565">
        <v>974</v>
      </c>
      <c r="B280" s="696" t="s">
        <v>5685</v>
      </c>
      <c r="C280" s="566">
        <f t="shared" si="4"/>
        <v>974</v>
      </c>
      <c r="D280" s="700" t="s">
        <v>2219</v>
      </c>
      <c r="E280" s="701" t="s">
        <v>8158</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5686</v>
      </c>
      <c r="C281" s="566">
        <f t="shared" si="4"/>
        <v>975</v>
      </c>
      <c r="D281" s="700" t="s">
        <v>2219</v>
      </c>
      <c r="E281" s="701" t="s">
        <v>8159</v>
      </c>
      <c r="F281" s="566">
        <v>1</v>
      </c>
      <c r="G281" s="662">
        <v>0</v>
      </c>
      <c r="H281" s="662">
        <v>0</v>
      </c>
      <c r="I281" s="662">
        <v>36683.084812554211</v>
      </c>
      <c r="J281" s="662">
        <v>37526.155104467944</v>
      </c>
      <c r="K281" s="566" t="s">
        <v>3925</v>
      </c>
      <c r="L281" s="549"/>
      <c r="M281" s="681"/>
      <c r="O281" s="708"/>
      <c r="S281" s="654"/>
      <c r="T281" s="547"/>
      <c r="U281" s="547"/>
      <c r="V281" s="547"/>
      <c r="W281" s="549"/>
    </row>
    <row r="282" spans="1:23">
      <c r="A282" s="565">
        <v>976</v>
      </c>
      <c r="B282" s="696" t="s">
        <v>5687</v>
      </c>
      <c r="C282" s="566">
        <f t="shared" si="4"/>
        <v>976</v>
      </c>
      <c r="D282" s="700" t="s">
        <v>2219</v>
      </c>
      <c r="E282" s="701" t="s">
        <v>8160</v>
      </c>
      <c r="F282" s="566">
        <v>1</v>
      </c>
      <c r="G282" s="662">
        <v>0</v>
      </c>
      <c r="H282" s="662">
        <v>0</v>
      </c>
      <c r="I282" s="662">
        <v>39058.185883991457</v>
      </c>
      <c r="J282" s="662">
        <v>39959.486256127464</v>
      </c>
      <c r="K282" s="566" t="s">
        <v>3926</v>
      </c>
      <c r="L282" s="549"/>
      <c r="M282" s="681"/>
      <c r="O282" s="708"/>
      <c r="S282" s="654"/>
      <c r="T282" s="547"/>
      <c r="U282" s="547"/>
      <c r="V282" s="547"/>
      <c r="W282" s="549"/>
    </row>
    <row r="283" spans="1:23">
      <c r="A283" s="565">
        <v>977</v>
      </c>
      <c r="B283" s="696" t="s">
        <v>5688</v>
      </c>
      <c r="C283" s="566">
        <f t="shared" si="4"/>
        <v>977</v>
      </c>
      <c r="D283" s="700" t="s">
        <v>2219</v>
      </c>
      <c r="E283" s="701" t="s">
        <v>8161</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5689</v>
      </c>
      <c r="C284" s="566">
        <f t="shared" si="4"/>
        <v>978</v>
      </c>
      <c r="D284" s="700" t="s">
        <v>2219</v>
      </c>
      <c r="E284" s="701" t="s">
        <v>8162</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5690</v>
      </c>
      <c r="C285" s="566">
        <f t="shared" si="4"/>
        <v>979</v>
      </c>
      <c r="D285" s="700" t="s">
        <v>2219</v>
      </c>
      <c r="E285" s="701" t="s">
        <v>8163</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5691</v>
      </c>
      <c r="C286" s="566">
        <f t="shared" si="4"/>
        <v>980</v>
      </c>
      <c r="D286" s="700" t="s">
        <v>2219</v>
      </c>
      <c r="E286" s="701" t="s">
        <v>8164</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5692</v>
      </c>
      <c r="C287" s="566">
        <f t="shared" si="4"/>
        <v>981</v>
      </c>
      <c r="D287" s="700" t="s">
        <v>2219</v>
      </c>
      <c r="E287" s="701" t="s">
        <v>8165</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5693</v>
      </c>
      <c r="C288" s="566">
        <f t="shared" si="4"/>
        <v>982</v>
      </c>
      <c r="D288" s="700" t="s">
        <v>2219</v>
      </c>
      <c r="E288" s="701" t="s">
        <v>8166</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5694</v>
      </c>
      <c r="C289" s="566">
        <f t="shared" si="4"/>
        <v>983</v>
      </c>
      <c r="D289" s="700" t="s">
        <v>2219</v>
      </c>
      <c r="E289" s="701" t="s">
        <v>8167</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5695</v>
      </c>
      <c r="C290" s="566">
        <f t="shared" si="4"/>
        <v>984</v>
      </c>
      <c r="D290" s="700" t="s">
        <v>2219</v>
      </c>
      <c r="E290" s="701" t="s">
        <v>8168</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5696</v>
      </c>
      <c r="C291" s="566">
        <f t="shared" si="4"/>
        <v>985</v>
      </c>
      <c r="D291" s="700" t="s">
        <v>2219</v>
      </c>
      <c r="E291" s="701" t="s">
        <v>8169</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5697</v>
      </c>
      <c r="C292" s="566">
        <f t="shared" si="4"/>
        <v>986</v>
      </c>
      <c r="D292" s="700" t="s">
        <v>2219</v>
      </c>
      <c r="E292" s="701" t="s">
        <v>8170</v>
      </c>
      <c r="F292" s="566">
        <v>1</v>
      </c>
      <c r="G292" s="662">
        <v>0</v>
      </c>
      <c r="H292" s="662">
        <v>0</v>
      </c>
      <c r="I292" s="662">
        <v>37854.13959295291</v>
      </c>
      <c r="J292" s="662">
        <v>39128.083739236063</v>
      </c>
      <c r="K292" s="566" t="s">
        <v>3927</v>
      </c>
      <c r="L292" s="549"/>
      <c r="M292" s="681"/>
      <c r="O292" s="708"/>
      <c r="S292" s="654"/>
      <c r="T292" s="547"/>
      <c r="U292" s="547"/>
      <c r="V292" s="547"/>
      <c r="W292" s="549"/>
    </row>
    <row r="293" spans="1:23">
      <c r="A293" s="565">
        <v>987</v>
      </c>
      <c r="B293" s="696" t="s">
        <v>5698</v>
      </c>
      <c r="C293" s="566">
        <f t="shared" si="4"/>
        <v>987</v>
      </c>
      <c r="D293" s="700" t="s">
        <v>2219</v>
      </c>
      <c r="E293" s="701" t="s">
        <v>8171</v>
      </c>
      <c r="F293" s="566">
        <v>1</v>
      </c>
      <c r="G293" s="662">
        <v>0</v>
      </c>
      <c r="H293" s="662">
        <v>0</v>
      </c>
      <c r="I293" s="662">
        <v>34847.138686023507</v>
      </c>
      <c r="J293" s="662">
        <v>36013.379328439412</v>
      </c>
      <c r="K293" s="566" t="s">
        <v>3928</v>
      </c>
      <c r="L293" s="549"/>
      <c r="M293" s="681"/>
      <c r="O293" s="708"/>
      <c r="S293" s="654"/>
      <c r="T293" s="547"/>
      <c r="U293" s="547"/>
      <c r="V293" s="547"/>
      <c r="W293" s="549"/>
    </row>
    <row r="294" spans="1:23">
      <c r="A294" s="565">
        <v>988</v>
      </c>
      <c r="B294" s="696" t="s">
        <v>5699</v>
      </c>
      <c r="C294" s="566">
        <f t="shared" si="4"/>
        <v>988</v>
      </c>
      <c r="D294" s="700" t="s">
        <v>2219</v>
      </c>
      <c r="E294" s="701" t="s">
        <v>8172</v>
      </c>
      <c r="F294" s="566">
        <v>1</v>
      </c>
      <c r="G294" s="662">
        <v>0</v>
      </c>
      <c r="H294" s="662">
        <v>0</v>
      </c>
      <c r="I294" s="662">
        <v>34847.138686023507</v>
      </c>
      <c r="J294" s="662">
        <v>36013.379328439412</v>
      </c>
      <c r="K294" s="566" t="s">
        <v>3929</v>
      </c>
      <c r="L294" s="549"/>
      <c r="M294" s="681"/>
      <c r="O294" s="708"/>
      <c r="S294" s="654"/>
      <c r="T294" s="547"/>
      <c r="U294" s="547"/>
      <c r="V294" s="547"/>
      <c r="W294" s="549"/>
    </row>
    <row r="295" spans="1:23">
      <c r="A295" s="565">
        <v>989</v>
      </c>
      <c r="B295" s="696" t="s">
        <v>5700</v>
      </c>
      <c r="C295" s="566">
        <f t="shared" si="4"/>
        <v>989</v>
      </c>
      <c r="D295" s="700" t="s">
        <v>2219</v>
      </c>
      <c r="E295" s="701" t="s">
        <v>8173</v>
      </c>
      <c r="F295" s="566">
        <v>1</v>
      </c>
      <c r="G295" s="662">
        <v>0</v>
      </c>
      <c r="H295" s="662">
        <v>0</v>
      </c>
      <c r="I295" s="662">
        <v>35517.8043361979</v>
      </c>
      <c r="J295" s="662">
        <v>36708.07146461738</v>
      </c>
      <c r="K295" s="566" t="s">
        <v>3930</v>
      </c>
      <c r="L295" s="549"/>
      <c r="M295" s="681"/>
      <c r="O295" s="708"/>
      <c r="S295" s="654"/>
      <c r="T295" s="547"/>
      <c r="U295" s="547"/>
      <c r="V295" s="547"/>
      <c r="W295" s="549"/>
    </row>
    <row r="296" spans="1:23">
      <c r="A296" s="565">
        <v>990</v>
      </c>
      <c r="B296" s="696" t="s">
        <v>5701</v>
      </c>
      <c r="C296" s="566">
        <f t="shared" si="4"/>
        <v>990</v>
      </c>
      <c r="D296" s="700" t="s">
        <v>2219</v>
      </c>
      <c r="E296" s="701" t="s">
        <v>8174</v>
      </c>
      <c r="F296" s="566">
        <v>1</v>
      </c>
      <c r="G296" s="662">
        <v>0</v>
      </c>
      <c r="H296" s="662">
        <v>0</v>
      </c>
      <c r="I296" s="662">
        <v>33725.697762781099</v>
      </c>
      <c r="J296" s="662">
        <v>34851.783413018013</v>
      </c>
      <c r="K296" s="566" t="s">
        <v>3931</v>
      </c>
      <c r="L296" s="549"/>
      <c r="M296" s="681"/>
      <c r="O296" s="708"/>
      <c r="S296" s="654"/>
      <c r="T296" s="547"/>
      <c r="U296" s="547"/>
      <c r="V296" s="547"/>
      <c r="W296" s="549"/>
    </row>
    <row r="297" spans="1:23">
      <c r="A297" s="565">
        <v>991</v>
      </c>
      <c r="B297" s="696" t="s">
        <v>5702</v>
      </c>
      <c r="C297" s="566">
        <f t="shared" si="4"/>
        <v>991</v>
      </c>
      <c r="D297" s="700" t="s">
        <v>2219</v>
      </c>
      <c r="E297" s="701" t="s">
        <v>8175</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5703</v>
      </c>
      <c r="C298" s="566">
        <f t="shared" si="4"/>
        <v>992</v>
      </c>
      <c r="D298" s="700" t="s">
        <v>2219</v>
      </c>
      <c r="E298" s="701" t="s">
        <v>8176</v>
      </c>
      <c r="F298" s="566">
        <v>1</v>
      </c>
      <c r="G298" s="662">
        <v>0</v>
      </c>
      <c r="H298" s="662">
        <v>0</v>
      </c>
      <c r="I298" s="662">
        <v>38953.59147848469</v>
      </c>
      <c r="J298" s="662">
        <v>40266.942387278905</v>
      </c>
      <c r="K298" s="566" t="s">
        <v>3932</v>
      </c>
      <c r="L298" s="549"/>
      <c r="M298" s="674"/>
      <c r="O298" s="708"/>
      <c r="S298" s="654"/>
      <c r="T298" s="547"/>
      <c r="U298" s="547"/>
      <c r="V298" s="547"/>
      <c r="W298" s="549"/>
    </row>
    <row r="299" spans="1:23">
      <c r="A299" s="565">
        <v>993</v>
      </c>
      <c r="B299" s="696" t="s">
        <v>5704</v>
      </c>
      <c r="C299" s="566">
        <f t="shared" si="4"/>
        <v>993</v>
      </c>
      <c r="D299" s="700" t="s">
        <v>2219</v>
      </c>
      <c r="E299" s="701" t="s">
        <v>8177</v>
      </c>
      <c r="F299" s="566">
        <v>1</v>
      </c>
      <c r="G299" s="662">
        <v>0</v>
      </c>
      <c r="H299" s="662">
        <v>33638.99778306701</v>
      </c>
      <c r="I299" s="662">
        <v>34825.149648312865</v>
      </c>
      <c r="J299" s="662">
        <v>35990.600492745965</v>
      </c>
      <c r="K299" s="566" t="s">
        <v>3933</v>
      </c>
      <c r="L299" s="549"/>
      <c r="M299" s="674"/>
      <c r="O299" s="708"/>
      <c r="S299" s="654"/>
      <c r="T299" s="547"/>
      <c r="U299" s="547"/>
      <c r="V299" s="547"/>
      <c r="W299" s="549"/>
    </row>
    <row r="300" spans="1:23">
      <c r="A300" s="565">
        <v>994</v>
      </c>
      <c r="B300" s="696" t="s">
        <v>5705</v>
      </c>
      <c r="C300" s="566">
        <f t="shared" si="4"/>
        <v>994</v>
      </c>
      <c r="D300" s="700" t="s">
        <v>2219</v>
      </c>
      <c r="E300" s="701" t="s">
        <v>8178</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5706</v>
      </c>
      <c r="C301" s="566">
        <f t="shared" si="4"/>
        <v>995</v>
      </c>
      <c r="D301" s="700" t="s">
        <v>2219</v>
      </c>
      <c r="E301" s="701" t="s">
        <v>8179</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5707</v>
      </c>
      <c r="C302" s="566">
        <f t="shared" si="4"/>
        <v>996</v>
      </c>
      <c r="D302" s="700" t="s">
        <v>2219</v>
      </c>
      <c r="E302" s="701" t="s">
        <v>8180</v>
      </c>
      <c r="F302" s="566">
        <v>1</v>
      </c>
      <c r="G302" s="662">
        <v>0</v>
      </c>
      <c r="H302" s="662">
        <v>0</v>
      </c>
      <c r="I302" s="662">
        <v>0</v>
      </c>
      <c r="J302" s="662">
        <v>44630.172997583257</v>
      </c>
      <c r="K302" s="566" t="s">
        <v>4625</v>
      </c>
      <c r="L302" s="549"/>
      <c r="M302" s="674"/>
      <c r="O302" s="708"/>
      <c r="S302" s="654"/>
      <c r="T302" s="547"/>
      <c r="U302" s="547"/>
      <c r="V302" s="547"/>
      <c r="W302" s="549"/>
    </row>
    <row r="303" spans="1:23">
      <c r="A303" s="565">
        <v>997</v>
      </c>
      <c r="B303" s="696" t="s">
        <v>5708</v>
      </c>
      <c r="C303" s="566">
        <f t="shared" si="4"/>
        <v>997</v>
      </c>
      <c r="D303" s="700" t="s">
        <v>2219</v>
      </c>
      <c r="E303" s="701" t="s">
        <v>8181</v>
      </c>
      <c r="F303" s="566">
        <v>1</v>
      </c>
      <c r="G303" s="662">
        <v>0</v>
      </c>
      <c r="H303" s="662">
        <v>0</v>
      </c>
      <c r="I303" s="662">
        <v>0</v>
      </c>
      <c r="J303" s="662">
        <v>43680.132569008354</v>
      </c>
      <c r="K303" s="566" t="s">
        <v>4626</v>
      </c>
      <c r="L303" s="549"/>
      <c r="M303" s="674"/>
      <c r="O303" s="708"/>
    </row>
    <row r="304" spans="1:23">
      <c r="A304" s="565">
        <v>998</v>
      </c>
      <c r="B304" s="695" t="s">
        <v>5709</v>
      </c>
      <c r="C304" s="566">
        <f t="shared" si="4"/>
        <v>998</v>
      </c>
      <c r="D304" s="699" t="s">
        <v>2219</v>
      </c>
      <c r="E304" s="701" t="s">
        <v>8182</v>
      </c>
      <c r="F304" s="567">
        <v>1</v>
      </c>
      <c r="G304" s="662">
        <v>0</v>
      </c>
      <c r="H304" s="662">
        <v>0</v>
      </c>
      <c r="I304" s="662">
        <v>0</v>
      </c>
      <c r="J304" s="662">
        <v>45865.225554730605</v>
      </c>
      <c r="K304" s="568" t="s">
        <v>4627</v>
      </c>
      <c r="L304" s="549"/>
      <c r="M304" s="674"/>
      <c r="O304" s="708"/>
    </row>
    <row r="305" spans="1:15">
      <c r="A305" s="565">
        <v>999</v>
      </c>
      <c r="B305" s="696" t="s">
        <v>5710</v>
      </c>
      <c r="C305" s="566">
        <f t="shared" si="4"/>
        <v>999</v>
      </c>
      <c r="D305" s="700" t="s">
        <v>2219</v>
      </c>
      <c r="E305" s="701" t="s">
        <v>8183</v>
      </c>
      <c r="F305" s="566">
        <v>1</v>
      </c>
      <c r="G305" s="662">
        <v>0</v>
      </c>
      <c r="H305" s="662">
        <v>0</v>
      </c>
      <c r="I305" s="662">
        <v>0</v>
      </c>
      <c r="J305" s="662">
        <v>44915.185126155717</v>
      </c>
      <c r="K305" s="566" t="s">
        <v>4628</v>
      </c>
      <c r="L305" s="549"/>
      <c r="M305" s="674"/>
      <c r="O305" s="708"/>
    </row>
    <row r="306" spans="1:15">
      <c r="A306" s="565">
        <v>1000</v>
      </c>
      <c r="B306" s="696" t="s">
        <v>5711</v>
      </c>
      <c r="C306" s="566">
        <f t="shared" si="4"/>
        <v>1000</v>
      </c>
      <c r="D306" s="700" t="s">
        <v>2219</v>
      </c>
      <c r="E306" s="701" t="s">
        <v>8184</v>
      </c>
      <c r="F306" s="566">
        <v>1</v>
      </c>
      <c r="G306" s="662">
        <v>42636.872920602495</v>
      </c>
      <c r="H306" s="662">
        <v>43708.955309363359</v>
      </c>
      <c r="I306" s="662">
        <v>0</v>
      </c>
      <c r="J306" s="662">
        <v>0</v>
      </c>
      <c r="K306" s="566" t="s">
        <v>977</v>
      </c>
      <c r="L306" s="549"/>
      <c r="M306" s="674"/>
      <c r="O306" s="708"/>
    </row>
    <row r="307" spans="1:15">
      <c r="A307" s="565">
        <v>1001</v>
      </c>
      <c r="B307" s="696" t="s">
        <v>5712</v>
      </c>
      <c r="C307" s="566">
        <f t="shared" si="4"/>
        <v>1001</v>
      </c>
      <c r="D307" s="700" t="s">
        <v>2219</v>
      </c>
      <c r="E307" s="701" t="s">
        <v>8185</v>
      </c>
      <c r="F307" s="566">
        <v>1</v>
      </c>
      <c r="G307" s="662">
        <v>34350.76025744561</v>
      </c>
      <c r="H307" s="662">
        <v>35224.309780881325</v>
      </c>
      <c r="I307" s="662">
        <v>0</v>
      </c>
      <c r="J307" s="662">
        <v>0</v>
      </c>
      <c r="K307" s="566" t="s">
        <v>978</v>
      </c>
      <c r="L307" s="549"/>
      <c r="M307" s="674"/>
      <c r="O307" s="708"/>
    </row>
    <row r="308" spans="1:15">
      <c r="A308" s="565">
        <v>1002</v>
      </c>
      <c r="B308" s="696" t="s">
        <v>5713</v>
      </c>
      <c r="C308" s="566">
        <f t="shared" si="4"/>
        <v>1002</v>
      </c>
      <c r="D308" s="700" t="s">
        <v>2219</v>
      </c>
      <c r="E308" s="701" t="s">
        <v>8186</v>
      </c>
      <c r="F308" s="566">
        <v>1</v>
      </c>
      <c r="G308" s="662">
        <v>0</v>
      </c>
      <c r="H308" s="662">
        <v>0</v>
      </c>
      <c r="I308" s="662">
        <v>38421.658796846292</v>
      </c>
      <c r="J308" s="662">
        <v>39307.350852839962</v>
      </c>
      <c r="K308" s="566" t="s">
        <v>4629</v>
      </c>
      <c r="L308" s="549"/>
      <c r="M308" s="674"/>
      <c r="O308" s="708"/>
    </row>
    <row r="309" spans="1:15">
      <c r="A309" s="565">
        <v>1003</v>
      </c>
      <c r="B309" s="695" t="s">
        <v>5714</v>
      </c>
      <c r="C309" s="566">
        <f t="shared" si="4"/>
        <v>1003</v>
      </c>
      <c r="D309" s="699" t="s">
        <v>2219</v>
      </c>
      <c r="E309" s="701" t="s">
        <v>8187</v>
      </c>
      <c r="F309" s="567">
        <v>1</v>
      </c>
      <c r="G309" s="662">
        <v>0</v>
      </c>
      <c r="H309" s="662">
        <v>39072.436490420092</v>
      </c>
      <c r="I309" s="662">
        <v>39974.080982911975</v>
      </c>
      <c r="J309" s="662">
        <v>40923.189504491747</v>
      </c>
      <c r="K309" s="568" t="s">
        <v>4630</v>
      </c>
      <c r="L309" s="549"/>
      <c r="M309" s="674"/>
      <c r="O309" s="708"/>
    </row>
    <row r="310" spans="1:15">
      <c r="A310" s="565">
        <v>1004</v>
      </c>
      <c r="B310" s="695" t="s">
        <v>5715</v>
      </c>
      <c r="C310" s="566">
        <f t="shared" si="4"/>
        <v>1004</v>
      </c>
      <c r="D310" s="699" t="s">
        <v>2219</v>
      </c>
      <c r="E310" s="701" t="s">
        <v>8188</v>
      </c>
      <c r="F310" s="567">
        <v>1</v>
      </c>
      <c r="G310" s="662">
        <v>32672.308145149684</v>
      </c>
      <c r="H310" s="662">
        <v>33500.114241276991</v>
      </c>
      <c r="I310" s="662">
        <v>0</v>
      </c>
      <c r="J310" s="662">
        <v>0</v>
      </c>
      <c r="K310" s="568" t="s">
        <v>979</v>
      </c>
      <c r="L310" s="549"/>
      <c r="M310" s="674"/>
      <c r="O310" s="708"/>
    </row>
    <row r="311" spans="1:15">
      <c r="A311" s="565">
        <v>1005</v>
      </c>
      <c r="B311" s="695" t="s">
        <v>5716</v>
      </c>
      <c r="C311" s="566">
        <f t="shared" si="4"/>
        <v>1005</v>
      </c>
      <c r="D311" s="699" t="s">
        <v>2219</v>
      </c>
      <c r="E311" s="701" t="s">
        <v>8189</v>
      </c>
      <c r="F311" s="567">
        <v>1</v>
      </c>
      <c r="G311" s="662">
        <v>47748.894188698781</v>
      </c>
      <c r="H311" s="662">
        <v>48926.105346185126</v>
      </c>
      <c r="I311" s="662">
        <v>0</v>
      </c>
      <c r="J311" s="662">
        <v>0</v>
      </c>
      <c r="K311" s="568" t="s">
        <v>980</v>
      </c>
      <c r="L311" s="549"/>
      <c r="M311" s="674"/>
      <c r="O311" s="708"/>
    </row>
    <row r="312" spans="1:15">
      <c r="A312" s="565">
        <v>1006</v>
      </c>
      <c r="B312" s="696" t="s">
        <v>5717</v>
      </c>
      <c r="C312" s="566">
        <f t="shared" si="4"/>
        <v>1006</v>
      </c>
      <c r="D312" s="700" t="s">
        <v>2219</v>
      </c>
      <c r="E312" s="701" t="s">
        <v>8190</v>
      </c>
      <c r="F312" s="566">
        <v>1</v>
      </c>
      <c r="G312" s="662">
        <v>41611.305243880881</v>
      </c>
      <c r="H312" s="662">
        <v>42629.581956995273</v>
      </c>
      <c r="I312" s="662">
        <v>0</v>
      </c>
      <c r="J312" s="662">
        <v>0</v>
      </c>
      <c r="K312" s="566" t="s">
        <v>981</v>
      </c>
      <c r="L312" s="549"/>
      <c r="M312" s="674"/>
      <c r="O312" s="708"/>
    </row>
    <row r="313" spans="1:15">
      <c r="A313" s="565">
        <v>1007</v>
      </c>
      <c r="B313" s="696" t="s">
        <v>5718</v>
      </c>
      <c r="C313" s="566">
        <f t="shared" si="4"/>
        <v>1007</v>
      </c>
      <c r="D313" s="700" t="s">
        <v>2219</v>
      </c>
      <c r="E313" s="701" t="s">
        <v>8191</v>
      </c>
      <c r="F313" s="566">
        <v>1</v>
      </c>
      <c r="G313" s="662">
        <v>0</v>
      </c>
      <c r="H313" s="662">
        <v>39984.475301851991</v>
      </c>
      <c r="I313" s="662">
        <v>40908.48761747696</v>
      </c>
      <c r="J313" s="662">
        <v>41881.119223384601</v>
      </c>
      <c r="K313" s="566" t="s">
        <v>4631</v>
      </c>
      <c r="L313" s="549"/>
      <c r="M313" s="674"/>
      <c r="O313" s="708"/>
    </row>
    <row r="314" spans="1:15">
      <c r="A314" s="565">
        <v>1008</v>
      </c>
      <c r="B314" s="696" t="s">
        <v>5719</v>
      </c>
      <c r="C314" s="566">
        <f t="shared" si="4"/>
        <v>1008</v>
      </c>
      <c r="D314" s="700" t="s">
        <v>2219</v>
      </c>
      <c r="E314" s="701" t="s">
        <v>8192</v>
      </c>
      <c r="F314" s="566">
        <v>1</v>
      </c>
      <c r="G314" s="662">
        <v>0</v>
      </c>
      <c r="H314" s="662">
        <v>0</v>
      </c>
      <c r="I314" s="662">
        <v>37884.885954701473</v>
      </c>
      <c r="J314" s="662">
        <v>38757.427697094936</v>
      </c>
      <c r="K314" s="566" t="s">
        <v>4632</v>
      </c>
      <c r="L314" s="549"/>
      <c r="M314" s="674"/>
      <c r="O314" s="708"/>
    </row>
    <row r="315" spans="1:15">
      <c r="A315" s="565">
        <v>1009</v>
      </c>
      <c r="B315" s="696" t="s">
        <v>5720</v>
      </c>
      <c r="C315" s="566">
        <f t="shared" si="4"/>
        <v>1009</v>
      </c>
      <c r="D315" s="700" t="s">
        <v>2219</v>
      </c>
      <c r="E315" s="701" t="s">
        <v>8193</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5721</v>
      </c>
      <c r="C316" s="566">
        <f t="shared" si="4"/>
        <v>1010</v>
      </c>
      <c r="D316" s="700" t="s">
        <v>2219</v>
      </c>
      <c r="E316" s="701" t="s">
        <v>8194</v>
      </c>
      <c r="F316" s="566">
        <v>1</v>
      </c>
      <c r="G316" s="662">
        <v>43559.430636151301</v>
      </c>
      <c r="H316" s="662">
        <v>44656.019310256859</v>
      </c>
      <c r="I316" s="662">
        <v>0</v>
      </c>
      <c r="J316" s="662">
        <v>0</v>
      </c>
      <c r="K316" s="566" t="s">
        <v>983</v>
      </c>
      <c r="L316" s="549"/>
      <c r="M316" s="674"/>
      <c r="O316" s="708"/>
    </row>
    <row r="317" spans="1:15">
      <c r="A317" s="565">
        <v>1011</v>
      </c>
      <c r="B317" s="696" t="s">
        <v>5722</v>
      </c>
      <c r="C317" s="566">
        <f t="shared" si="4"/>
        <v>1011</v>
      </c>
      <c r="D317" s="700" t="s">
        <v>2219</v>
      </c>
      <c r="E317" s="701" t="s">
        <v>8195</v>
      </c>
      <c r="F317" s="566">
        <v>1</v>
      </c>
      <c r="G317" s="662">
        <v>35218.902258264658</v>
      </c>
      <c r="H317" s="662">
        <v>36116.097766155348</v>
      </c>
      <c r="I317" s="662">
        <v>0</v>
      </c>
      <c r="J317" s="662">
        <v>0</v>
      </c>
      <c r="K317" s="566" t="s">
        <v>984</v>
      </c>
      <c r="L317" s="549"/>
      <c r="M317" s="674"/>
      <c r="O317" s="708"/>
    </row>
    <row r="318" spans="1:15">
      <c r="A318" s="565">
        <v>1012</v>
      </c>
      <c r="B318" s="696" t="s">
        <v>5723</v>
      </c>
      <c r="C318" s="566">
        <f t="shared" si="4"/>
        <v>1012</v>
      </c>
      <c r="D318" s="700" t="s">
        <v>2219</v>
      </c>
      <c r="E318" s="701" t="s">
        <v>8196</v>
      </c>
      <c r="F318" s="566">
        <v>1</v>
      </c>
      <c r="G318" s="662">
        <v>0</v>
      </c>
      <c r="H318" s="662">
        <v>36306.76001713096</v>
      </c>
      <c r="I318" s="662">
        <v>37047.749463471417</v>
      </c>
      <c r="J318" s="662">
        <v>39609.209332564904</v>
      </c>
      <c r="K318" s="566" t="s">
        <v>4633</v>
      </c>
      <c r="L318" s="549"/>
      <c r="M318" s="674"/>
      <c r="O318" s="708"/>
    </row>
    <row r="319" spans="1:15">
      <c r="A319" s="565">
        <v>1013</v>
      </c>
      <c r="B319" s="696" t="s">
        <v>5724</v>
      </c>
      <c r="C319" s="566">
        <f t="shared" si="4"/>
        <v>1013</v>
      </c>
      <c r="D319" s="700" t="s">
        <v>2219</v>
      </c>
      <c r="E319" s="701" t="s">
        <v>8197</v>
      </c>
      <c r="F319" s="566">
        <v>1</v>
      </c>
      <c r="G319" s="662">
        <v>0</v>
      </c>
      <c r="H319" s="662">
        <v>0</v>
      </c>
      <c r="I319" s="662">
        <v>36996.598153983927</v>
      </c>
      <c r="J319" s="662">
        <v>37847.361993854422</v>
      </c>
      <c r="K319" s="566" t="s">
        <v>4634</v>
      </c>
      <c r="L319" s="549"/>
      <c r="M319" s="674"/>
      <c r="O319" s="708"/>
    </row>
    <row r="320" spans="1:15">
      <c r="A320" s="565">
        <v>1014</v>
      </c>
      <c r="B320" s="696" t="s">
        <v>5725</v>
      </c>
      <c r="C320" s="566">
        <f t="shared" si="4"/>
        <v>1014</v>
      </c>
      <c r="D320" s="700" t="s">
        <v>2219</v>
      </c>
      <c r="E320" s="701" t="s">
        <v>8198</v>
      </c>
      <c r="F320" s="566">
        <v>1</v>
      </c>
      <c r="G320" s="662">
        <v>33540.474725994151</v>
      </c>
      <c r="H320" s="662">
        <v>34391.951386601853</v>
      </c>
      <c r="I320" s="662">
        <v>0</v>
      </c>
      <c r="J320" s="662">
        <v>0</v>
      </c>
      <c r="K320" s="566" t="s">
        <v>985</v>
      </c>
      <c r="L320" s="549"/>
      <c r="M320" s="674"/>
      <c r="O320" s="708"/>
    </row>
    <row r="321" spans="1:15">
      <c r="A321" s="565">
        <v>1015</v>
      </c>
      <c r="B321" s="696" t="s">
        <v>5726</v>
      </c>
      <c r="C321" s="566">
        <f t="shared" si="4"/>
        <v>1015</v>
      </c>
      <c r="D321" s="700" t="s">
        <v>2219</v>
      </c>
      <c r="E321" s="701" t="s">
        <v>8199</v>
      </c>
      <c r="F321" s="566">
        <v>1</v>
      </c>
      <c r="G321" s="662">
        <v>49097.8148359115</v>
      </c>
      <c r="H321" s="662">
        <v>50309.954209521034</v>
      </c>
      <c r="I321" s="662">
        <v>51585.878749097988</v>
      </c>
      <c r="J321" s="662">
        <v>0</v>
      </c>
      <c r="K321" s="566" t="s">
        <v>986</v>
      </c>
      <c r="L321" s="549"/>
      <c r="M321" s="674"/>
      <c r="O321" s="708"/>
    </row>
    <row r="322" spans="1:15">
      <c r="A322" s="565">
        <v>1016</v>
      </c>
      <c r="B322" s="696" t="s">
        <v>5727</v>
      </c>
      <c r="C322" s="566">
        <f t="shared" si="4"/>
        <v>1016</v>
      </c>
      <c r="D322" s="700" t="s">
        <v>2219</v>
      </c>
      <c r="E322" s="701" t="s">
        <v>8200</v>
      </c>
      <c r="F322" s="566">
        <v>1</v>
      </c>
      <c r="G322" s="662">
        <v>42960.225891093607</v>
      </c>
      <c r="H322" s="662">
        <v>44013.430820331188</v>
      </c>
      <c r="I322" s="662">
        <v>0</v>
      </c>
      <c r="J322" s="662">
        <v>0</v>
      </c>
      <c r="K322" s="566" t="s">
        <v>987</v>
      </c>
      <c r="L322" s="549"/>
      <c r="M322" s="674"/>
      <c r="O322" s="708"/>
    </row>
    <row r="323" spans="1:15">
      <c r="A323" s="565">
        <v>1017</v>
      </c>
      <c r="B323" s="695" t="s">
        <v>5728</v>
      </c>
      <c r="C323" s="566">
        <f t="shared" si="4"/>
        <v>1017</v>
      </c>
      <c r="D323" s="699" t="s">
        <v>2219</v>
      </c>
      <c r="E323" s="701" t="s">
        <v>8201</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5729</v>
      </c>
      <c r="C324" s="566">
        <f t="shared" si="4"/>
        <v>1018</v>
      </c>
      <c r="D324" s="699" t="s">
        <v>2219</v>
      </c>
      <c r="E324" s="701" t="s">
        <v>8202</v>
      </c>
      <c r="F324" s="567">
        <v>1</v>
      </c>
      <c r="G324" s="662">
        <v>0</v>
      </c>
      <c r="H324" s="662">
        <v>0</v>
      </c>
      <c r="I324" s="662">
        <v>0</v>
      </c>
      <c r="J324" s="662">
        <v>41207.46784382483</v>
      </c>
      <c r="K324" s="568" t="s">
        <v>4635</v>
      </c>
      <c r="L324" s="549"/>
      <c r="M324" s="674"/>
      <c r="O324" s="708"/>
    </row>
    <row r="325" spans="1:15">
      <c r="A325" s="565">
        <v>1019</v>
      </c>
      <c r="B325" s="695" t="s">
        <v>5730</v>
      </c>
      <c r="C325" s="566">
        <f t="shared" si="4"/>
        <v>1019</v>
      </c>
      <c r="D325" s="699" t="s">
        <v>2219</v>
      </c>
      <c r="E325" s="701" t="s">
        <v>8203</v>
      </c>
      <c r="F325" s="567">
        <v>1</v>
      </c>
      <c r="G325" s="662">
        <v>0</v>
      </c>
      <c r="H325" s="662">
        <v>0</v>
      </c>
      <c r="I325" s="662">
        <v>0</v>
      </c>
      <c r="J325" s="662">
        <v>40108.01595829305</v>
      </c>
      <c r="K325" s="568" t="s">
        <v>4636</v>
      </c>
      <c r="L325" s="549"/>
      <c r="M325" s="674"/>
      <c r="O325" s="708"/>
    </row>
    <row r="326" spans="1:15">
      <c r="A326" s="565">
        <v>1020</v>
      </c>
      <c r="B326" s="695" t="s">
        <v>5731</v>
      </c>
      <c r="C326" s="566">
        <f t="shared" si="4"/>
        <v>1020</v>
      </c>
      <c r="D326" s="699" t="s">
        <v>2219</v>
      </c>
      <c r="E326" s="701" t="s">
        <v>8204</v>
      </c>
      <c r="F326" s="567">
        <v>1</v>
      </c>
      <c r="G326" s="662">
        <v>0</v>
      </c>
      <c r="H326" s="662">
        <v>0</v>
      </c>
      <c r="I326" s="662">
        <v>0</v>
      </c>
      <c r="J326" s="662">
        <v>42142.001946526827</v>
      </c>
      <c r="K326" s="568" t="s">
        <v>4637</v>
      </c>
      <c r="L326" s="549"/>
      <c r="M326" s="674"/>
      <c r="O326" s="708"/>
    </row>
    <row r="327" spans="1:15">
      <c r="A327" s="565">
        <v>1021</v>
      </c>
      <c r="B327" s="695" t="s">
        <v>5732</v>
      </c>
      <c r="C327" s="566">
        <f t="shared" si="4"/>
        <v>1021</v>
      </c>
      <c r="D327" s="699" t="s">
        <v>2219</v>
      </c>
      <c r="E327" s="701" t="s">
        <v>8205</v>
      </c>
      <c r="F327" s="567">
        <v>1</v>
      </c>
      <c r="G327" s="662">
        <v>0</v>
      </c>
      <c r="H327" s="662">
        <v>0</v>
      </c>
      <c r="I327" s="662">
        <v>0</v>
      </c>
      <c r="J327" s="662">
        <v>41042.550060995054</v>
      </c>
      <c r="K327" s="568" t="s">
        <v>4638</v>
      </c>
      <c r="L327" s="549"/>
      <c r="M327" s="674"/>
      <c r="O327" s="708"/>
    </row>
    <row r="328" spans="1:15">
      <c r="A328" s="565">
        <v>1022</v>
      </c>
      <c r="B328" s="695" t="s">
        <v>5733</v>
      </c>
      <c r="C328" s="566">
        <f t="shared" si="4"/>
        <v>1022</v>
      </c>
      <c r="D328" s="699" t="s">
        <v>2219</v>
      </c>
      <c r="E328" s="701" t="s">
        <v>8206</v>
      </c>
      <c r="F328" s="567">
        <v>1</v>
      </c>
      <c r="G328" s="662">
        <v>0</v>
      </c>
      <c r="H328" s="662">
        <v>0</v>
      </c>
      <c r="I328" s="662">
        <v>0</v>
      </c>
      <c r="J328" s="662">
        <v>55383.601784906765</v>
      </c>
      <c r="K328" s="568" t="s">
        <v>4639</v>
      </c>
      <c r="L328" s="549"/>
      <c r="M328" s="674"/>
      <c r="O328" s="708"/>
    </row>
    <row r="329" spans="1:15">
      <c r="A329" s="565">
        <v>1023</v>
      </c>
      <c r="B329" s="695" t="s">
        <v>5734</v>
      </c>
      <c r="C329" s="566">
        <f t="shared" ref="C329:C392" si="5">A329</f>
        <v>1023</v>
      </c>
      <c r="D329" s="699" t="s">
        <v>2219</v>
      </c>
      <c r="E329" s="701" t="s">
        <v>8207</v>
      </c>
      <c r="F329" s="567">
        <v>1</v>
      </c>
      <c r="G329" s="662">
        <v>0</v>
      </c>
      <c r="H329" s="662">
        <v>0</v>
      </c>
      <c r="I329" s="662">
        <v>0</v>
      </c>
      <c r="J329" s="662">
        <v>54321.56138277155</v>
      </c>
      <c r="K329" s="568" t="s">
        <v>4640</v>
      </c>
      <c r="L329" s="549"/>
      <c r="M329" s="674"/>
      <c r="O329" s="708"/>
    </row>
    <row r="330" spans="1:15">
      <c r="A330" s="565">
        <v>1024</v>
      </c>
      <c r="B330" s="695" t="s">
        <v>5735</v>
      </c>
      <c r="C330" s="566">
        <f t="shared" si="5"/>
        <v>1024</v>
      </c>
      <c r="D330" s="699" t="s">
        <v>2219</v>
      </c>
      <c r="E330" s="701" t="s">
        <v>8208</v>
      </c>
      <c r="F330" s="567">
        <v>1</v>
      </c>
      <c r="G330" s="662">
        <v>0</v>
      </c>
      <c r="H330" s="662">
        <v>0</v>
      </c>
      <c r="I330" s="662">
        <v>0</v>
      </c>
      <c r="J330" s="662">
        <v>50563.803389700231</v>
      </c>
      <c r="K330" s="568" t="s">
        <v>4641</v>
      </c>
      <c r="L330" s="549"/>
      <c r="M330" s="674"/>
      <c r="O330" s="708"/>
    </row>
    <row r="331" spans="1:15">
      <c r="A331" s="565">
        <v>1025</v>
      </c>
      <c r="B331" s="695" t="s">
        <v>5736</v>
      </c>
      <c r="C331" s="566">
        <f t="shared" si="5"/>
        <v>1025</v>
      </c>
      <c r="D331" s="699" t="s">
        <v>2219</v>
      </c>
      <c r="E331" s="701" t="s">
        <v>8209</v>
      </c>
      <c r="F331" s="567">
        <v>1</v>
      </c>
      <c r="G331" s="662">
        <v>0</v>
      </c>
      <c r="H331" s="662">
        <v>0</v>
      </c>
      <c r="I331" s="662">
        <v>0</v>
      </c>
      <c r="J331" s="662">
        <v>45408.608233229046</v>
      </c>
      <c r="K331" s="568" t="s">
        <v>4642</v>
      </c>
      <c r="L331" s="549"/>
      <c r="M331" s="674"/>
      <c r="O331" s="708"/>
    </row>
    <row r="332" spans="1:15">
      <c r="A332" s="565">
        <v>1026</v>
      </c>
      <c r="B332" s="696" t="s">
        <v>5737</v>
      </c>
      <c r="C332" s="566">
        <f t="shared" si="5"/>
        <v>1026</v>
      </c>
      <c r="D332" s="700" t="s">
        <v>2219</v>
      </c>
      <c r="E332" s="701" t="s">
        <v>8210</v>
      </c>
      <c r="F332" s="566">
        <v>1</v>
      </c>
      <c r="G332" s="662">
        <v>0</v>
      </c>
      <c r="H332" s="662">
        <v>0</v>
      </c>
      <c r="I332" s="662">
        <v>0</v>
      </c>
      <c r="J332" s="662">
        <v>39387.874973269732</v>
      </c>
      <c r="K332" s="566" t="s">
        <v>4643</v>
      </c>
      <c r="L332" s="549"/>
      <c r="M332" s="674"/>
      <c r="O332" s="708"/>
    </row>
    <row r="333" spans="1:15">
      <c r="A333" s="565">
        <v>1027</v>
      </c>
      <c r="B333" s="696" t="s">
        <v>5738</v>
      </c>
      <c r="C333" s="566">
        <f t="shared" si="5"/>
        <v>1027</v>
      </c>
      <c r="D333" s="700" t="s">
        <v>2219</v>
      </c>
      <c r="E333" s="701" t="s">
        <v>8211</v>
      </c>
      <c r="F333" s="566">
        <v>1</v>
      </c>
      <c r="G333" s="662">
        <v>0</v>
      </c>
      <c r="H333" s="662">
        <v>0</v>
      </c>
      <c r="I333" s="662">
        <v>0</v>
      </c>
      <c r="J333" s="662">
        <v>42774.186780707598</v>
      </c>
      <c r="K333" s="566" t="s">
        <v>4644</v>
      </c>
      <c r="L333" s="549"/>
      <c r="M333" s="674"/>
      <c r="O333" s="708"/>
    </row>
    <row r="334" spans="1:15">
      <c r="A334" s="565">
        <v>1028</v>
      </c>
      <c r="B334" s="696" t="s">
        <v>5739</v>
      </c>
      <c r="C334" s="566">
        <f t="shared" si="5"/>
        <v>1028</v>
      </c>
      <c r="D334" s="700" t="s">
        <v>2219</v>
      </c>
      <c r="E334" s="701" t="s">
        <v>8212</v>
      </c>
      <c r="F334" s="566">
        <v>1</v>
      </c>
      <c r="G334" s="662">
        <v>0</v>
      </c>
      <c r="H334" s="662">
        <v>0</v>
      </c>
      <c r="I334" s="662">
        <v>0</v>
      </c>
      <c r="J334" s="662">
        <v>38563.286059120903</v>
      </c>
      <c r="K334" s="566" t="s">
        <v>4645</v>
      </c>
      <c r="L334" s="549"/>
      <c r="M334" s="674"/>
      <c r="O334" s="708"/>
    </row>
    <row r="335" spans="1:15">
      <c r="A335" s="565">
        <v>1029</v>
      </c>
      <c r="B335" s="696" t="s">
        <v>5740</v>
      </c>
      <c r="C335" s="566">
        <f t="shared" si="5"/>
        <v>1029</v>
      </c>
      <c r="D335" s="700" t="s">
        <v>2219</v>
      </c>
      <c r="E335" s="701" t="s">
        <v>8213</v>
      </c>
      <c r="F335" s="566">
        <v>1</v>
      </c>
      <c r="G335" s="662">
        <v>40286.67688969196</v>
      </c>
      <c r="H335" s="662">
        <v>41723.402557065114</v>
      </c>
      <c r="I335" s="662">
        <v>0</v>
      </c>
      <c r="J335" s="662">
        <v>0</v>
      </c>
      <c r="K335" s="566" t="s">
        <v>989</v>
      </c>
      <c r="L335" s="549"/>
      <c r="M335" s="674"/>
      <c r="O335" s="708"/>
    </row>
    <row r="336" spans="1:15">
      <c r="A336" s="565">
        <v>1030</v>
      </c>
      <c r="B336" s="696" t="s">
        <v>5741</v>
      </c>
      <c r="C336" s="566">
        <f t="shared" si="5"/>
        <v>1030</v>
      </c>
      <c r="D336" s="700" t="s">
        <v>2219</v>
      </c>
      <c r="E336" s="701" t="s">
        <v>8214</v>
      </c>
      <c r="F336" s="566">
        <v>1</v>
      </c>
      <c r="G336" s="662">
        <v>0</v>
      </c>
      <c r="H336" s="662">
        <v>0</v>
      </c>
      <c r="I336" s="662">
        <v>0</v>
      </c>
      <c r="J336" s="662">
        <v>44060.545486779789</v>
      </c>
      <c r="K336" s="566" t="s">
        <v>4646</v>
      </c>
      <c r="L336" s="549"/>
      <c r="M336" s="664"/>
      <c r="O336" s="708"/>
    </row>
    <row r="337" spans="1:15">
      <c r="A337" s="565">
        <v>1031</v>
      </c>
      <c r="B337" s="696" t="s">
        <v>5742</v>
      </c>
      <c r="C337" s="566">
        <f t="shared" si="5"/>
        <v>1031</v>
      </c>
      <c r="D337" s="700" t="s">
        <v>2219</v>
      </c>
      <c r="E337" s="701" t="s">
        <v>8215</v>
      </c>
      <c r="F337" s="566">
        <v>1</v>
      </c>
      <c r="G337" s="662">
        <v>0</v>
      </c>
      <c r="H337" s="662">
        <v>43859.895517670237</v>
      </c>
      <c r="I337" s="662">
        <v>0</v>
      </c>
      <c r="J337" s="662">
        <v>46916.413711170426</v>
      </c>
      <c r="K337" s="566" t="s">
        <v>4647</v>
      </c>
      <c r="L337" s="549"/>
      <c r="M337" s="664"/>
      <c r="O337" s="708"/>
    </row>
    <row r="338" spans="1:15">
      <c r="A338" s="565">
        <v>1032</v>
      </c>
      <c r="B338" s="696" t="s">
        <v>5743</v>
      </c>
      <c r="C338" s="566">
        <f t="shared" si="5"/>
        <v>1032</v>
      </c>
      <c r="D338" s="700" t="s">
        <v>2219</v>
      </c>
      <c r="E338" s="701" t="s">
        <v>8216</v>
      </c>
      <c r="F338" s="566">
        <v>1</v>
      </c>
      <c r="G338" s="662">
        <v>44066.042746207437</v>
      </c>
      <c r="H338" s="662">
        <v>45645.638711840606</v>
      </c>
      <c r="I338" s="662">
        <v>0</v>
      </c>
      <c r="J338" s="662">
        <v>0</v>
      </c>
      <c r="K338" s="566" t="s">
        <v>990</v>
      </c>
      <c r="L338" s="549"/>
      <c r="M338" s="664"/>
      <c r="O338" s="708"/>
    </row>
    <row r="339" spans="1:15">
      <c r="A339" s="565">
        <v>1033</v>
      </c>
      <c r="B339" s="696" t="s">
        <v>5744</v>
      </c>
      <c r="C339" s="566">
        <f t="shared" si="5"/>
        <v>1033</v>
      </c>
      <c r="D339" s="700" t="s">
        <v>2219</v>
      </c>
      <c r="E339" s="701" t="s">
        <v>8217</v>
      </c>
      <c r="F339" s="566">
        <v>1</v>
      </c>
      <c r="G339" s="662">
        <v>0</v>
      </c>
      <c r="H339" s="662">
        <v>45186.588111988814</v>
      </c>
      <c r="I339" s="662">
        <v>46961.61527539025</v>
      </c>
      <c r="J339" s="662">
        <v>48830.057542510083</v>
      </c>
      <c r="K339" s="566" t="s">
        <v>991</v>
      </c>
      <c r="L339" s="549"/>
      <c r="M339" s="664"/>
      <c r="O339" s="708"/>
    </row>
    <row r="340" spans="1:15">
      <c r="A340" s="565">
        <v>1034</v>
      </c>
      <c r="B340" s="696" t="s">
        <v>5745</v>
      </c>
      <c r="C340" s="566">
        <f t="shared" si="5"/>
        <v>1034</v>
      </c>
      <c r="D340" s="700" t="s">
        <v>2219</v>
      </c>
      <c r="E340" s="701" t="s">
        <v>8218</v>
      </c>
      <c r="F340" s="566">
        <v>1</v>
      </c>
      <c r="G340" s="662">
        <v>0</v>
      </c>
      <c r="H340" s="662">
        <v>50349.410264354512</v>
      </c>
      <c r="I340" s="662">
        <v>52338.044450815883</v>
      </c>
      <c r="J340" s="662">
        <v>54431.355892069238</v>
      </c>
      <c r="K340" s="566" t="s">
        <v>992</v>
      </c>
      <c r="L340" s="549"/>
      <c r="M340" s="664"/>
      <c r="O340" s="708"/>
    </row>
    <row r="341" spans="1:15">
      <c r="A341" s="565">
        <v>1035</v>
      </c>
      <c r="B341" s="696" t="s">
        <v>5746</v>
      </c>
      <c r="C341" s="566">
        <f t="shared" si="5"/>
        <v>1035</v>
      </c>
      <c r="D341" s="700" t="s">
        <v>2219</v>
      </c>
      <c r="E341" s="701" t="s">
        <v>8219</v>
      </c>
      <c r="F341" s="566">
        <v>1</v>
      </c>
      <c r="G341" s="662">
        <v>0</v>
      </c>
      <c r="H341" s="662">
        <v>0</v>
      </c>
      <c r="I341" s="662">
        <v>0</v>
      </c>
      <c r="J341" s="662">
        <v>63251.478148736911</v>
      </c>
      <c r="K341" s="566" t="s">
        <v>4648</v>
      </c>
      <c r="L341" s="549"/>
      <c r="M341" s="664"/>
      <c r="O341" s="708"/>
    </row>
    <row r="342" spans="1:15">
      <c r="A342" s="565">
        <v>1036</v>
      </c>
      <c r="B342" s="696" t="s">
        <v>5747</v>
      </c>
      <c r="C342" s="566">
        <f t="shared" si="5"/>
        <v>1036</v>
      </c>
      <c r="D342" s="700" t="s">
        <v>2219</v>
      </c>
      <c r="E342" s="701" t="s">
        <v>8220</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5748</v>
      </c>
      <c r="C343" s="566">
        <f t="shared" si="5"/>
        <v>1037</v>
      </c>
      <c r="D343" s="700" t="s">
        <v>2219</v>
      </c>
      <c r="E343" s="701" t="s">
        <v>8221</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5749</v>
      </c>
      <c r="C344" s="566">
        <f t="shared" si="5"/>
        <v>1038</v>
      </c>
      <c r="D344" s="700" t="s">
        <v>2219</v>
      </c>
      <c r="E344" s="701" t="s">
        <v>8222</v>
      </c>
      <c r="F344" s="566">
        <v>1</v>
      </c>
      <c r="G344" s="662">
        <v>45004.209678713392</v>
      </c>
      <c r="H344" s="662">
        <v>46682.738233773067</v>
      </c>
      <c r="I344" s="662">
        <v>0</v>
      </c>
      <c r="J344" s="662">
        <v>0</v>
      </c>
      <c r="K344" s="566" t="s">
        <v>995</v>
      </c>
      <c r="L344" s="549"/>
      <c r="M344" s="664"/>
      <c r="O344" s="681"/>
    </row>
    <row r="345" spans="1:15">
      <c r="A345" s="565">
        <v>1039</v>
      </c>
      <c r="B345" s="696" t="s">
        <v>5750</v>
      </c>
      <c r="C345" s="566">
        <f t="shared" si="5"/>
        <v>1039</v>
      </c>
      <c r="D345" s="700" t="s">
        <v>2219</v>
      </c>
      <c r="E345" s="701" t="s">
        <v>8223</v>
      </c>
      <c r="F345" s="566">
        <v>1</v>
      </c>
      <c r="G345" s="662">
        <v>0</v>
      </c>
      <c r="H345" s="662">
        <v>0</v>
      </c>
      <c r="I345" s="662">
        <v>0</v>
      </c>
      <c r="J345" s="662">
        <v>55351.916351191139</v>
      </c>
      <c r="K345" s="566" t="s">
        <v>4649</v>
      </c>
      <c r="L345" s="549"/>
      <c r="M345" s="664"/>
      <c r="O345" s="681"/>
    </row>
    <row r="346" spans="1:15">
      <c r="A346" s="565">
        <v>1040</v>
      </c>
      <c r="B346" s="696" t="s">
        <v>5751</v>
      </c>
      <c r="C346" s="566">
        <f t="shared" si="5"/>
        <v>1040</v>
      </c>
      <c r="D346" s="700" t="s">
        <v>2219</v>
      </c>
      <c r="E346" s="701" t="s">
        <v>8224</v>
      </c>
      <c r="F346" s="566">
        <v>1</v>
      </c>
      <c r="G346" s="662">
        <v>0</v>
      </c>
      <c r="H346" s="662">
        <v>49651.258324708855</v>
      </c>
      <c r="I346" s="662">
        <v>51347.785960113775</v>
      </c>
      <c r="J346" s="662">
        <v>53133.560767576957</v>
      </c>
      <c r="K346" s="566" t="s">
        <v>3014</v>
      </c>
      <c r="L346" s="549"/>
      <c r="M346" s="664"/>
      <c r="O346" s="681"/>
    </row>
    <row r="347" spans="1:15">
      <c r="A347" s="565">
        <v>1041</v>
      </c>
      <c r="B347" s="696" t="s">
        <v>5752</v>
      </c>
      <c r="C347" s="566">
        <f t="shared" si="5"/>
        <v>1041</v>
      </c>
      <c r="D347" s="700" t="s">
        <v>2219</v>
      </c>
      <c r="E347" s="701" t="s">
        <v>8225</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5753</v>
      </c>
      <c r="C348" s="566">
        <f t="shared" si="5"/>
        <v>1042</v>
      </c>
      <c r="D348" s="700" t="s">
        <v>2219</v>
      </c>
      <c r="E348" s="701" t="s">
        <v>8226</v>
      </c>
      <c r="F348" s="566">
        <v>1</v>
      </c>
      <c r="G348" s="662">
        <v>46588.88305945976</v>
      </c>
      <c r="H348" s="662">
        <v>0</v>
      </c>
      <c r="I348" s="662">
        <v>0</v>
      </c>
      <c r="J348" s="662">
        <v>0</v>
      </c>
      <c r="K348" s="566" t="s">
        <v>5205</v>
      </c>
      <c r="L348" s="549"/>
      <c r="M348" s="664"/>
      <c r="O348" s="681"/>
    </row>
    <row r="349" spans="1:15">
      <c r="A349" s="565">
        <v>1043</v>
      </c>
      <c r="B349" s="696" t="s">
        <v>5754</v>
      </c>
      <c r="C349" s="566">
        <f t="shared" si="5"/>
        <v>1043</v>
      </c>
      <c r="D349" s="700" t="s">
        <v>2219</v>
      </c>
      <c r="E349" s="701" t="s">
        <v>8227</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5755</v>
      </c>
      <c r="C350" s="566">
        <f t="shared" si="5"/>
        <v>1044</v>
      </c>
      <c r="D350" s="700" t="s">
        <v>2219</v>
      </c>
      <c r="E350" s="701" t="s">
        <v>8228</v>
      </c>
      <c r="F350" s="566">
        <v>1</v>
      </c>
      <c r="G350" s="662">
        <v>0</v>
      </c>
      <c r="H350" s="662">
        <v>0</v>
      </c>
      <c r="I350" s="662">
        <v>0</v>
      </c>
      <c r="J350" s="662">
        <v>67145.114038586456</v>
      </c>
      <c r="K350" s="566" t="s">
        <v>4650</v>
      </c>
      <c r="L350" s="549"/>
      <c r="M350" s="664"/>
      <c r="O350" s="681"/>
    </row>
    <row r="351" spans="1:15">
      <c r="A351" s="565">
        <v>1045</v>
      </c>
      <c r="B351" s="696" t="s">
        <v>5756</v>
      </c>
      <c r="C351" s="566">
        <f t="shared" si="5"/>
        <v>1045</v>
      </c>
      <c r="D351" s="700" t="s">
        <v>2219</v>
      </c>
      <c r="E351" s="701" t="s">
        <v>8229</v>
      </c>
      <c r="F351" s="566">
        <v>1</v>
      </c>
      <c r="G351" s="662">
        <v>0</v>
      </c>
      <c r="H351" s="662">
        <v>61875.974205935192</v>
      </c>
      <c r="I351" s="662">
        <v>63465.120901461632</v>
      </c>
      <c r="J351" s="662">
        <v>65137.89637759819</v>
      </c>
      <c r="K351" s="566" t="s">
        <v>4651</v>
      </c>
      <c r="L351" s="549"/>
      <c r="M351" s="664"/>
      <c r="O351" s="681"/>
    </row>
    <row r="352" spans="1:15">
      <c r="A352" s="565">
        <v>1046</v>
      </c>
      <c r="B352" s="695" t="s">
        <v>5757</v>
      </c>
      <c r="C352" s="566">
        <f t="shared" si="5"/>
        <v>1046</v>
      </c>
      <c r="D352" s="699" t="s">
        <v>2219</v>
      </c>
      <c r="E352" s="701" t="s">
        <v>8230</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5758</v>
      </c>
      <c r="C353" s="566">
        <f t="shared" si="5"/>
        <v>1047</v>
      </c>
      <c r="D353" s="700" t="s">
        <v>2219</v>
      </c>
      <c r="E353" s="701" t="s">
        <v>8231</v>
      </c>
      <c r="F353" s="566">
        <v>1</v>
      </c>
      <c r="G353" s="662">
        <v>65795.294002535811</v>
      </c>
      <c r="H353" s="662">
        <v>68100.797451007194</v>
      </c>
      <c r="I353" s="662">
        <v>70527.680378943027</v>
      </c>
      <c r="J353" s="662">
        <v>73082.261170205849</v>
      </c>
      <c r="K353" s="566" t="s">
        <v>4652</v>
      </c>
      <c r="L353" s="549"/>
      <c r="M353" s="664"/>
      <c r="O353" s="681"/>
    </row>
    <row r="354" spans="1:23">
      <c r="A354" s="565">
        <v>1048</v>
      </c>
      <c r="B354" s="696" t="s">
        <v>5759</v>
      </c>
      <c r="C354" s="566">
        <f t="shared" si="5"/>
        <v>1048</v>
      </c>
      <c r="D354" s="700" t="s">
        <v>2219</v>
      </c>
      <c r="E354" s="701" t="s">
        <v>8232</v>
      </c>
      <c r="F354" s="566">
        <v>1</v>
      </c>
      <c r="G354" s="662">
        <v>0</v>
      </c>
      <c r="H354" s="662">
        <v>0</v>
      </c>
      <c r="I354" s="662">
        <v>93194.577339188443</v>
      </c>
      <c r="J354" s="662">
        <v>96451.995198528253</v>
      </c>
      <c r="K354" s="566" t="s">
        <v>4653</v>
      </c>
      <c r="L354" s="549"/>
      <c r="M354" s="664"/>
      <c r="O354" s="681"/>
    </row>
    <row r="355" spans="1:23">
      <c r="A355" s="565">
        <v>1049</v>
      </c>
      <c r="B355" s="695" t="s">
        <v>5760</v>
      </c>
      <c r="C355" s="566">
        <f t="shared" si="5"/>
        <v>1049</v>
      </c>
      <c r="D355" s="699" t="s">
        <v>2219</v>
      </c>
      <c r="E355" s="701" t="s">
        <v>8233</v>
      </c>
      <c r="F355" s="567">
        <v>1</v>
      </c>
      <c r="G355" s="662">
        <v>0</v>
      </c>
      <c r="H355" s="662">
        <v>67090.406255227179</v>
      </c>
      <c r="I355" s="662">
        <v>69559.688864345793</v>
      </c>
      <c r="J355" s="662">
        <v>72158.914025795195</v>
      </c>
      <c r="K355" s="568" t="s">
        <v>3016</v>
      </c>
      <c r="L355" s="549"/>
      <c r="M355" s="664"/>
      <c r="O355" s="681"/>
    </row>
    <row r="356" spans="1:23">
      <c r="A356" s="565">
        <v>1050</v>
      </c>
      <c r="B356" s="695" t="s">
        <v>5761</v>
      </c>
      <c r="C356" s="566">
        <f t="shared" si="5"/>
        <v>1050</v>
      </c>
      <c r="D356" s="699" t="s">
        <v>2219</v>
      </c>
      <c r="E356" s="701" t="s">
        <v>8234</v>
      </c>
      <c r="F356" s="567">
        <v>1</v>
      </c>
      <c r="G356" s="662">
        <v>0</v>
      </c>
      <c r="H356" s="662">
        <v>0</v>
      </c>
      <c r="I356" s="662">
        <v>83607.356897351376</v>
      </c>
      <c r="J356" s="662">
        <v>86521.503612370128</v>
      </c>
      <c r="K356" s="568" t="s">
        <v>4654</v>
      </c>
      <c r="L356" s="549"/>
      <c r="M356" s="664"/>
      <c r="O356" s="681"/>
    </row>
    <row r="357" spans="1:23">
      <c r="A357" s="565">
        <v>1051</v>
      </c>
      <c r="B357" s="696" t="s">
        <v>5762</v>
      </c>
      <c r="C357" s="566">
        <f t="shared" si="5"/>
        <v>1051</v>
      </c>
      <c r="D357" s="700" t="s">
        <v>2219</v>
      </c>
      <c r="E357" s="701" t="s">
        <v>8235</v>
      </c>
      <c r="F357" s="566">
        <v>1</v>
      </c>
      <c r="G357" s="662">
        <v>0</v>
      </c>
      <c r="H357" s="662">
        <v>0</v>
      </c>
      <c r="I357" s="662">
        <v>93634.831005407526</v>
      </c>
      <c r="J357" s="662">
        <v>96906.75620664224</v>
      </c>
      <c r="K357" s="566" t="s">
        <v>4655</v>
      </c>
      <c r="L357" s="549"/>
      <c r="M357" s="664"/>
      <c r="O357" s="681"/>
      <c r="S357" s="550"/>
      <c r="T357" s="547"/>
      <c r="U357" s="547"/>
      <c r="V357" s="547"/>
      <c r="W357" s="549"/>
    </row>
    <row r="358" spans="1:23">
      <c r="A358" s="565">
        <v>1052</v>
      </c>
      <c r="B358" s="696" t="s">
        <v>5763</v>
      </c>
      <c r="C358" s="566">
        <f t="shared" si="5"/>
        <v>1052</v>
      </c>
      <c r="D358" s="700" t="s">
        <v>2219</v>
      </c>
      <c r="E358" s="701" t="s">
        <v>8236</v>
      </c>
      <c r="F358" s="566">
        <v>1</v>
      </c>
      <c r="G358" s="662">
        <v>0</v>
      </c>
      <c r="H358" s="662">
        <v>0</v>
      </c>
      <c r="I358" s="662">
        <v>74773.733909109942</v>
      </c>
      <c r="J358" s="662">
        <v>0</v>
      </c>
      <c r="K358" s="566" t="s">
        <v>4656</v>
      </c>
      <c r="L358" s="549"/>
      <c r="M358" s="664"/>
      <c r="O358" s="681"/>
      <c r="S358" s="550"/>
      <c r="T358" s="547"/>
      <c r="U358" s="547"/>
      <c r="V358" s="547"/>
      <c r="W358" s="549"/>
    </row>
    <row r="359" spans="1:23">
      <c r="A359" s="565">
        <v>1053</v>
      </c>
      <c r="B359" s="696" t="s">
        <v>5764</v>
      </c>
      <c r="C359" s="566">
        <f t="shared" si="5"/>
        <v>1053</v>
      </c>
      <c r="D359" s="700" t="s">
        <v>2219</v>
      </c>
      <c r="E359" s="701" t="s">
        <v>8237</v>
      </c>
      <c r="F359" s="566">
        <v>1</v>
      </c>
      <c r="G359" s="662">
        <v>63650.029457242199</v>
      </c>
      <c r="H359" s="662">
        <v>0</v>
      </c>
      <c r="I359" s="662">
        <v>0</v>
      </c>
      <c r="J359" s="662">
        <v>0</v>
      </c>
      <c r="K359" s="566" t="s">
        <v>5206</v>
      </c>
      <c r="L359" s="549"/>
      <c r="M359" s="664"/>
      <c r="O359" s="681"/>
      <c r="S359" s="550"/>
      <c r="T359" s="547"/>
      <c r="U359" s="547"/>
      <c r="V359" s="547"/>
      <c r="W359" s="549"/>
    </row>
    <row r="360" spans="1:23">
      <c r="A360" s="565">
        <v>1054</v>
      </c>
      <c r="B360" s="696" t="s">
        <v>5765</v>
      </c>
      <c r="C360" s="566">
        <f t="shared" si="5"/>
        <v>1054</v>
      </c>
      <c r="D360" s="700" t="s">
        <v>2219</v>
      </c>
      <c r="E360" s="701" t="s">
        <v>8238</v>
      </c>
      <c r="F360" s="566">
        <v>1</v>
      </c>
      <c r="G360" s="662">
        <v>0</v>
      </c>
      <c r="H360" s="662">
        <v>0</v>
      </c>
      <c r="I360" s="662">
        <v>72577.089655507079</v>
      </c>
      <c r="J360" s="662">
        <v>77736.756740618075</v>
      </c>
      <c r="K360" s="566" t="s">
        <v>4657</v>
      </c>
      <c r="L360" s="549"/>
      <c r="M360" s="664"/>
      <c r="O360" s="681"/>
      <c r="S360" s="550"/>
      <c r="T360" s="547"/>
      <c r="U360" s="547"/>
      <c r="V360" s="547"/>
      <c r="W360" s="549"/>
    </row>
    <row r="361" spans="1:23">
      <c r="A361" s="565">
        <v>1055</v>
      </c>
      <c r="B361" s="696" t="s">
        <v>5766</v>
      </c>
      <c r="C361" s="566">
        <f t="shared" si="5"/>
        <v>1055</v>
      </c>
      <c r="D361" s="700" t="s">
        <v>2219</v>
      </c>
      <c r="E361" s="701" t="s">
        <v>8239</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5767</v>
      </c>
      <c r="C362" s="566">
        <f t="shared" si="5"/>
        <v>1056</v>
      </c>
      <c r="D362" s="700" t="s">
        <v>2219</v>
      </c>
      <c r="E362" s="701" t="s">
        <v>8240</v>
      </c>
      <c r="F362" s="566">
        <v>1</v>
      </c>
      <c r="G362" s="662">
        <v>71197.553660642923</v>
      </c>
      <c r="H362" s="662">
        <v>0</v>
      </c>
      <c r="I362" s="662">
        <v>0</v>
      </c>
      <c r="J362" s="662">
        <v>0</v>
      </c>
      <c r="K362" s="566" t="s">
        <v>5207</v>
      </c>
      <c r="L362" s="549"/>
      <c r="M362" s="664"/>
      <c r="O362" s="681"/>
      <c r="S362" s="550"/>
      <c r="T362" s="547"/>
      <c r="U362" s="547"/>
      <c r="V362" s="547"/>
      <c r="W362" s="549"/>
    </row>
    <row r="363" spans="1:23">
      <c r="A363" s="565">
        <v>1057</v>
      </c>
      <c r="B363" s="696" t="s">
        <v>5768</v>
      </c>
      <c r="C363" s="566">
        <f t="shared" si="5"/>
        <v>1057</v>
      </c>
      <c r="D363" s="700" t="s">
        <v>2219</v>
      </c>
      <c r="E363" s="701" t="s">
        <v>8241</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5769</v>
      </c>
      <c r="C364" s="566">
        <f t="shared" si="5"/>
        <v>1058</v>
      </c>
      <c r="D364" s="700" t="s">
        <v>2219</v>
      </c>
      <c r="E364" s="701" t="s">
        <v>8242</v>
      </c>
      <c r="F364" s="566">
        <v>1</v>
      </c>
      <c r="G364" s="662">
        <v>0</v>
      </c>
      <c r="H364" s="662">
        <v>0</v>
      </c>
      <c r="I364" s="662">
        <v>37161.484905067889</v>
      </c>
      <c r="J364" s="662">
        <v>38410.612767364648</v>
      </c>
      <c r="K364" s="566" t="s">
        <v>3934</v>
      </c>
      <c r="L364" s="549"/>
      <c r="M364" s="664"/>
      <c r="O364" s="681"/>
      <c r="S364" s="550"/>
      <c r="T364" s="547"/>
      <c r="U364" s="547"/>
      <c r="V364" s="547"/>
      <c r="W364" s="549"/>
    </row>
    <row r="365" spans="1:23">
      <c r="A365" s="565">
        <v>1059</v>
      </c>
      <c r="B365" s="696" t="s">
        <v>5770</v>
      </c>
      <c r="C365" s="566">
        <f t="shared" si="5"/>
        <v>1059</v>
      </c>
      <c r="D365" s="700" t="s">
        <v>2219</v>
      </c>
      <c r="E365" s="701" t="s">
        <v>8243</v>
      </c>
      <c r="F365" s="566">
        <v>1</v>
      </c>
      <c r="G365" s="662">
        <v>0</v>
      </c>
      <c r="H365" s="662">
        <v>0</v>
      </c>
      <c r="I365" s="662">
        <v>37876.128630663545</v>
      </c>
      <c r="J365" s="662">
        <v>39150.862574929517</v>
      </c>
      <c r="K365" s="566" t="s">
        <v>3935</v>
      </c>
      <c r="L365" s="549"/>
      <c r="M365" s="664"/>
      <c r="O365" s="681"/>
      <c r="S365" s="550"/>
      <c r="T365" s="547"/>
      <c r="U365" s="547"/>
      <c r="V365" s="547"/>
      <c r="W365" s="549"/>
    </row>
    <row r="366" spans="1:23">
      <c r="A366" s="565">
        <v>1060</v>
      </c>
      <c r="B366" s="696" t="s">
        <v>5771</v>
      </c>
      <c r="C366" s="566">
        <f t="shared" si="5"/>
        <v>1060</v>
      </c>
      <c r="D366" s="700" t="s">
        <v>2219</v>
      </c>
      <c r="E366" s="701" t="s">
        <v>8244</v>
      </c>
      <c r="F366" s="566">
        <v>1</v>
      </c>
      <c r="G366" s="662">
        <v>0</v>
      </c>
      <c r="H366" s="662">
        <v>0</v>
      </c>
      <c r="I366" s="662">
        <v>0</v>
      </c>
      <c r="J366" s="662">
        <v>42411.36765848213</v>
      </c>
      <c r="K366" s="566" t="s">
        <v>4658</v>
      </c>
      <c r="L366" s="549"/>
      <c r="M366" s="664"/>
      <c r="O366" s="681"/>
      <c r="S366" s="550"/>
      <c r="T366" s="547"/>
      <c r="U366" s="547"/>
      <c r="V366" s="547"/>
      <c r="W366" s="549"/>
    </row>
    <row r="367" spans="1:23">
      <c r="A367" s="565">
        <v>1061</v>
      </c>
      <c r="B367" s="695" t="s">
        <v>5772</v>
      </c>
      <c r="C367" s="566">
        <f t="shared" si="5"/>
        <v>1061</v>
      </c>
      <c r="D367" s="699" t="s">
        <v>2219</v>
      </c>
      <c r="E367" s="701" t="s">
        <v>8245</v>
      </c>
      <c r="F367" s="567">
        <v>1</v>
      </c>
      <c r="G367" s="662">
        <v>0</v>
      </c>
      <c r="H367" s="662">
        <v>0</v>
      </c>
      <c r="I367" s="662">
        <v>0</v>
      </c>
      <c r="J367" s="662">
        <v>41311.915772950349</v>
      </c>
      <c r="K367" s="568" t="s">
        <v>4659</v>
      </c>
      <c r="L367" s="549"/>
      <c r="M367" s="664"/>
      <c r="O367" s="681"/>
      <c r="S367" s="550"/>
      <c r="T367" s="547"/>
      <c r="U367" s="547"/>
      <c r="V367" s="547"/>
      <c r="W367" s="549"/>
    </row>
    <row r="368" spans="1:23">
      <c r="A368" s="565">
        <v>1062</v>
      </c>
      <c r="B368" s="695" t="s">
        <v>5773</v>
      </c>
      <c r="C368" s="566">
        <f t="shared" si="5"/>
        <v>1062</v>
      </c>
      <c r="D368" s="699" t="s">
        <v>2219</v>
      </c>
      <c r="E368" s="701" t="s">
        <v>8246</v>
      </c>
      <c r="F368" s="567">
        <v>1</v>
      </c>
      <c r="G368" s="662">
        <v>0</v>
      </c>
      <c r="H368" s="662">
        <v>0</v>
      </c>
      <c r="I368" s="662">
        <v>37198.554909237871</v>
      </c>
      <c r="J368" s="662">
        <v>38132.053050141192</v>
      </c>
      <c r="K368" s="568" t="s">
        <v>3936</v>
      </c>
      <c r="L368" s="549"/>
      <c r="M368" s="664"/>
      <c r="O368" s="681"/>
      <c r="S368" s="550"/>
      <c r="T368" s="547"/>
      <c r="U368" s="547"/>
      <c r="V368" s="547"/>
      <c r="W368" s="549"/>
    </row>
    <row r="369" spans="1:23">
      <c r="A369" s="565">
        <v>1063</v>
      </c>
      <c r="B369" s="696" t="s">
        <v>5774</v>
      </c>
      <c r="C369" s="566">
        <f t="shared" si="5"/>
        <v>1063</v>
      </c>
      <c r="D369" s="700" t="s">
        <v>2219</v>
      </c>
      <c r="E369" s="701" t="s">
        <v>8247</v>
      </c>
      <c r="F369" s="566">
        <v>1</v>
      </c>
      <c r="G369" s="662">
        <v>0</v>
      </c>
      <c r="H369" s="662">
        <v>0</v>
      </c>
      <c r="I369" s="662">
        <v>53612.538742564953</v>
      </c>
      <c r="J369" s="662">
        <v>54911.37615911365</v>
      </c>
      <c r="K369" s="566" t="s">
        <v>3937</v>
      </c>
      <c r="L369" s="549"/>
      <c r="M369" s="664"/>
      <c r="O369" s="681"/>
      <c r="S369" s="550"/>
      <c r="T369" s="547"/>
      <c r="U369" s="547"/>
      <c r="V369" s="547"/>
      <c r="W369" s="549"/>
    </row>
    <row r="370" spans="1:23">
      <c r="A370" s="565">
        <v>1064</v>
      </c>
      <c r="B370" s="696" t="s">
        <v>5775</v>
      </c>
      <c r="C370" s="566">
        <f t="shared" si="5"/>
        <v>1064</v>
      </c>
      <c r="D370" s="700" t="s">
        <v>2219</v>
      </c>
      <c r="E370" s="701" t="s">
        <v>8248</v>
      </c>
      <c r="F370" s="566">
        <v>1</v>
      </c>
      <c r="G370" s="662">
        <v>49779.621673004891</v>
      </c>
      <c r="H370" s="662">
        <v>0</v>
      </c>
      <c r="I370" s="662">
        <v>0</v>
      </c>
      <c r="J370" s="662">
        <v>0</v>
      </c>
      <c r="K370" s="566" t="s">
        <v>5208</v>
      </c>
      <c r="L370" s="549"/>
      <c r="M370" s="664"/>
      <c r="O370" s="681"/>
      <c r="S370" s="550"/>
      <c r="T370" s="547"/>
      <c r="U370" s="547"/>
      <c r="V370" s="547"/>
      <c r="W370" s="549"/>
    </row>
    <row r="371" spans="1:23">
      <c r="A371" s="565">
        <v>1065</v>
      </c>
      <c r="B371" s="696" t="s">
        <v>5776</v>
      </c>
      <c r="C371" s="566">
        <f t="shared" si="5"/>
        <v>1065</v>
      </c>
      <c r="D371" s="700" t="s">
        <v>2219</v>
      </c>
      <c r="E371" s="701" t="s">
        <v>8249</v>
      </c>
      <c r="F371" s="566">
        <v>1</v>
      </c>
      <c r="G371" s="662">
        <v>48126.345001526468</v>
      </c>
      <c r="H371" s="662">
        <v>0</v>
      </c>
      <c r="I371" s="662">
        <v>0</v>
      </c>
      <c r="J371" s="662">
        <v>0</v>
      </c>
      <c r="K371" s="566" t="s">
        <v>5209</v>
      </c>
      <c r="L371" s="549"/>
      <c r="M371" s="664"/>
      <c r="O371" s="681"/>
      <c r="S371" s="550"/>
      <c r="T371" s="547"/>
      <c r="U371" s="547"/>
      <c r="V371" s="547"/>
      <c r="W371" s="549"/>
    </row>
    <row r="372" spans="1:23">
      <c r="A372" s="565">
        <v>1066</v>
      </c>
      <c r="B372" s="695" t="s">
        <v>5777</v>
      </c>
      <c r="C372" s="566">
        <f t="shared" si="5"/>
        <v>1066</v>
      </c>
      <c r="D372" s="699" t="s">
        <v>2219</v>
      </c>
      <c r="E372" s="701" t="s">
        <v>8250</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5778</v>
      </c>
      <c r="C373" s="566">
        <f t="shared" si="5"/>
        <v>1067</v>
      </c>
      <c r="D373" s="700" t="s">
        <v>2219</v>
      </c>
      <c r="E373" s="701" t="s">
        <v>8251</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5779</v>
      </c>
      <c r="C374" s="566">
        <f t="shared" si="5"/>
        <v>1068</v>
      </c>
      <c r="D374" s="700" t="s">
        <v>2219</v>
      </c>
      <c r="E374" s="701" t="s">
        <v>8252</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5780</v>
      </c>
      <c r="C375" s="566">
        <f t="shared" si="5"/>
        <v>1069</v>
      </c>
      <c r="D375" s="699" t="s">
        <v>2219</v>
      </c>
      <c r="E375" s="701" t="s">
        <v>8253</v>
      </c>
      <c r="F375" s="567">
        <v>1</v>
      </c>
      <c r="G375" s="662">
        <v>0</v>
      </c>
      <c r="H375" s="662">
        <v>0</v>
      </c>
      <c r="I375" s="662">
        <v>48931.598160632464</v>
      </c>
      <c r="J375" s="662">
        <v>50114.042968432732</v>
      </c>
      <c r="K375" s="568" t="s">
        <v>3938</v>
      </c>
      <c r="L375" s="549"/>
      <c r="M375" s="656"/>
      <c r="O375" s="681"/>
      <c r="S375" s="550"/>
      <c r="T375" s="547"/>
      <c r="U375" s="547"/>
      <c r="V375" s="547"/>
      <c r="W375" s="549"/>
    </row>
    <row r="376" spans="1:23">
      <c r="A376" s="565">
        <v>1070</v>
      </c>
      <c r="B376" s="696" t="s">
        <v>5781</v>
      </c>
      <c r="C376" s="566">
        <f t="shared" si="5"/>
        <v>1070</v>
      </c>
      <c r="D376" s="700" t="s">
        <v>2219</v>
      </c>
      <c r="E376" s="701" t="s">
        <v>8254</v>
      </c>
      <c r="F376" s="566">
        <v>1</v>
      </c>
      <c r="G376" s="662">
        <v>0</v>
      </c>
      <c r="H376" s="662">
        <v>0</v>
      </c>
      <c r="I376" s="662">
        <v>50768.572240052941</v>
      </c>
      <c r="J376" s="662">
        <v>51997.464713982081</v>
      </c>
      <c r="K376" s="566" t="s">
        <v>3939</v>
      </c>
      <c r="L376" s="549"/>
      <c r="M376" s="652"/>
      <c r="O376" s="681"/>
      <c r="S376" s="550"/>
      <c r="T376" s="547"/>
      <c r="U376" s="547"/>
      <c r="V376" s="547"/>
      <c r="W376" s="549"/>
    </row>
    <row r="377" spans="1:23">
      <c r="A377" s="565">
        <v>1071</v>
      </c>
      <c r="B377" s="696" t="s">
        <v>5782</v>
      </c>
      <c r="C377" s="566">
        <f t="shared" si="5"/>
        <v>1071</v>
      </c>
      <c r="D377" s="700" t="s">
        <v>2219</v>
      </c>
      <c r="E377" s="701" t="s">
        <v>8255</v>
      </c>
      <c r="F377" s="566">
        <v>1</v>
      </c>
      <c r="G377" s="662">
        <v>44904.669738555123</v>
      </c>
      <c r="H377" s="662">
        <v>0</v>
      </c>
      <c r="I377" s="662">
        <v>0</v>
      </c>
      <c r="J377" s="662">
        <v>0</v>
      </c>
      <c r="K377" s="566" t="s">
        <v>5210</v>
      </c>
      <c r="L377" s="549"/>
      <c r="M377" s="652"/>
      <c r="O377" s="681"/>
      <c r="S377" s="550"/>
      <c r="T377" s="547"/>
      <c r="U377" s="547"/>
      <c r="V377" s="547"/>
      <c r="W377" s="549"/>
    </row>
    <row r="378" spans="1:23">
      <c r="A378" s="565">
        <v>1072</v>
      </c>
      <c r="B378" s="696" t="s">
        <v>5783</v>
      </c>
      <c r="C378" s="566">
        <f t="shared" si="5"/>
        <v>1072</v>
      </c>
      <c r="D378" s="700" t="s">
        <v>2219</v>
      </c>
      <c r="E378" s="701" t="s">
        <v>8256</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5784</v>
      </c>
      <c r="C379" s="566">
        <f t="shared" si="5"/>
        <v>1073</v>
      </c>
      <c r="D379" s="700" t="s">
        <v>2219</v>
      </c>
      <c r="E379" s="701" t="s">
        <v>8257</v>
      </c>
      <c r="F379" s="566">
        <v>1</v>
      </c>
      <c r="G379" s="662">
        <v>0</v>
      </c>
      <c r="H379" s="662">
        <v>0</v>
      </c>
      <c r="I379" s="662">
        <v>48829.43551208618</v>
      </c>
      <c r="J379" s="662">
        <v>50006.336018692004</v>
      </c>
      <c r="K379" s="566" t="s">
        <v>3940</v>
      </c>
      <c r="L379" s="549"/>
      <c r="M379" s="652"/>
      <c r="O379" s="681"/>
      <c r="S379" s="550"/>
      <c r="T379" s="547"/>
      <c r="U379" s="547"/>
      <c r="V379" s="547"/>
      <c r="W379" s="549"/>
    </row>
    <row r="380" spans="1:23">
      <c r="A380" s="565">
        <v>1074</v>
      </c>
      <c r="B380" s="695" t="s">
        <v>5785</v>
      </c>
      <c r="C380" s="566">
        <f t="shared" si="5"/>
        <v>1074</v>
      </c>
      <c r="D380" s="699" t="s">
        <v>2219</v>
      </c>
      <c r="E380" s="701" t="s">
        <v>8258</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5786</v>
      </c>
      <c r="C381" s="566">
        <f t="shared" si="5"/>
        <v>1075</v>
      </c>
      <c r="D381" s="700" t="s">
        <v>2219</v>
      </c>
      <c r="E381" s="701" t="s">
        <v>8259</v>
      </c>
      <c r="F381" s="566">
        <v>1</v>
      </c>
      <c r="G381" s="662">
        <v>0</v>
      </c>
      <c r="H381" s="662">
        <v>0</v>
      </c>
      <c r="I381" s="662">
        <v>0</v>
      </c>
      <c r="J381" s="662">
        <v>112177.08705490091</v>
      </c>
      <c r="K381" s="566" t="s">
        <v>4660</v>
      </c>
      <c r="L381" s="549"/>
      <c r="M381" s="652"/>
      <c r="O381" s="681"/>
      <c r="S381" s="550"/>
      <c r="T381" s="547"/>
      <c r="U381" s="547"/>
      <c r="V381" s="547"/>
      <c r="W381" s="549"/>
    </row>
    <row r="382" spans="1:23">
      <c r="A382" s="565">
        <v>1076</v>
      </c>
      <c r="B382" s="695" t="s">
        <v>5787</v>
      </c>
      <c r="C382" s="566">
        <f t="shared" si="5"/>
        <v>1076</v>
      </c>
      <c r="D382" s="699" t="s">
        <v>2219</v>
      </c>
      <c r="E382" s="701" t="s">
        <v>8260</v>
      </c>
      <c r="F382" s="567">
        <v>1</v>
      </c>
      <c r="G382" s="662">
        <v>0</v>
      </c>
      <c r="H382" s="662">
        <v>0</v>
      </c>
      <c r="I382" s="662">
        <v>75822.293933399633</v>
      </c>
      <c r="J382" s="662">
        <v>0</v>
      </c>
      <c r="K382" s="568" t="s">
        <v>3941</v>
      </c>
      <c r="L382" s="549"/>
      <c r="M382" s="652"/>
      <c r="O382" s="681"/>
      <c r="S382" s="550"/>
      <c r="T382" s="547"/>
      <c r="U382" s="547"/>
      <c r="V382" s="547"/>
      <c r="W382" s="549"/>
    </row>
    <row r="383" spans="1:23">
      <c r="A383" s="565">
        <v>1077</v>
      </c>
      <c r="B383" s="695" t="s">
        <v>5788</v>
      </c>
      <c r="C383" s="566">
        <f t="shared" si="5"/>
        <v>1077</v>
      </c>
      <c r="D383" s="699" t="s">
        <v>2219</v>
      </c>
      <c r="E383" s="701" t="s">
        <v>8261</v>
      </c>
      <c r="F383" s="567">
        <v>1</v>
      </c>
      <c r="G383" s="662">
        <v>0</v>
      </c>
      <c r="H383" s="662">
        <v>0</v>
      </c>
      <c r="I383" s="662">
        <v>0</v>
      </c>
      <c r="J383" s="662">
        <v>120243.56074021968</v>
      </c>
      <c r="K383" s="568" t="s">
        <v>4661</v>
      </c>
      <c r="L383" s="549"/>
      <c r="M383" s="652"/>
      <c r="O383" s="681"/>
      <c r="S383" s="550"/>
      <c r="T383" s="547"/>
      <c r="U383" s="547"/>
      <c r="V383" s="547"/>
      <c r="W383" s="549"/>
    </row>
    <row r="384" spans="1:23">
      <c r="A384" s="565">
        <v>1078</v>
      </c>
      <c r="B384" s="695" t="s">
        <v>5789</v>
      </c>
      <c r="C384" s="566">
        <f t="shared" si="5"/>
        <v>1078</v>
      </c>
      <c r="D384" s="699" t="s">
        <v>2219</v>
      </c>
      <c r="E384" s="701" t="s">
        <v>8262</v>
      </c>
      <c r="F384" s="567">
        <v>1</v>
      </c>
      <c r="G384" s="662">
        <v>0</v>
      </c>
      <c r="H384" s="662">
        <v>0</v>
      </c>
      <c r="I384" s="662">
        <v>27092.941679916778</v>
      </c>
      <c r="J384" s="662">
        <v>0</v>
      </c>
      <c r="K384" s="568" t="s">
        <v>4662</v>
      </c>
      <c r="L384" s="549"/>
      <c r="M384" s="652"/>
      <c r="O384" s="677"/>
      <c r="S384" s="550"/>
      <c r="T384" s="547"/>
      <c r="U384" s="547"/>
      <c r="V384" s="547"/>
      <c r="W384" s="549"/>
    </row>
    <row r="385" spans="1:23">
      <c r="A385" s="565">
        <v>1079</v>
      </c>
      <c r="B385" s="696" t="s">
        <v>5790</v>
      </c>
      <c r="C385" s="566">
        <f t="shared" si="5"/>
        <v>1079</v>
      </c>
      <c r="D385" s="700" t="s">
        <v>2219</v>
      </c>
      <c r="E385" s="701" t="s">
        <v>8263</v>
      </c>
      <c r="F385" s="566">
        <v>1</v>
      </c>
      <c r="G385" s="662">
        <v>0</v>
      </c>
      <c r="H385" s="662">
        <v>0</v>
      </c>
      <c r="I385" s="662">
        <v>25818.837869049257</v>
      </c>
      <c r="J385" s="662">
        <v>0</v>
      </c>
      <c r="K385" s="566" t="s">
        <v>4663</v>
      </c>
      <c r="L385" s="549"/>
      <c r="M385" s="652"/>
      <c r="O385" s="677"/>
      <c r="S385" s="550"/>
      <c r="T385" s="547"/>
      <c r="U385" s="547"/>
      <c r="V385" s="547"/>
      <c r="W385" s="549"/>
    </row>
    <row r="386" spans="1:23">
      <c r="A386" s="565">
        <v>1080</v>
      </c>
      <c r="B386" s="696" t="s">
        <v>5791</v>
      </c>
      <c r="C386" s="566">
        <f t="shared" si="5"/>
        <v>1080</v>
      </c>
      <c r="D386" s="700" t="s">
        <v>2219</v>
      </c>
      <c r="E386" s="701" t="s">
        <v>8264</v>
      </c>
      <c r="F386" s="566">
        <v>1</v>
      </c>
      <c r="G386" s="662">
        <v>0</v>
      </c>
      <c r="H386" s="662">
        <v>31440.751351815008</v>
      </c>
      <c r="I386" s="662">
        <v>32410.006865604977</v>
      </c>
      <c r="J386" s="662">
        <v>0</v>
      </c>
      <c r="K386" s="566" t="s">
        <v>4664</v>
      </c>
      <c r="L386" s="549"/>
      <c r="M386" s="652"/>
      <c r="O386" s="677"/>
      <c r="S386" s="550"/>
      <c r="T386" s="547"/>
      <c r="U386" s="547"/>
      <c r="V386" s="547"/>
      <c r="W386" s="549"/>
    </row>
    <row r="387" spans="1:23">
      <c r="A387" s="565">
        <v>1081</v>
      </c>
      <c r="B387" s="695" t="s">
        <v>5792</v>
      </c>
      <c r="C387" s="566">
        <f t="shared" si="5"/>
        <v>1081</v>
      </c>
      <c r="D387" s="699" t="s">
        <v>2219</v>
      </c>
      <c r="E387" s="701" t="s">
        <v>8265</v>
      </c>
      <c r="F387" s="567">
        <v>1</v>
      </c>
      <c r="G387" s="662">
        <v>0</v>
      </c>
      <c r="H387" s="662">
        <v>32963.192337517656</v>
      </c>
      <c r="I387" s="662">
        <v>33982.997191425311</v>
      </c>
      <c r="J387" s="662">
        <v>0</v>
      </c>
      <c r="K387" s="568" t="s">
        <v>4665</v>
      </c>
      <c r="L387" s="549"/>
      <c r="M387" s="652"/>
      <c r="O387" s="677"/>
      <c r="S387" s="550"/>
      <c r="T387" s="547"/>
      <c r="U387" s="547"/>
      <c r="V387" s="547"/>
      <c r="W387" s="549"/>
    </row>
    <row r="388" spans="1:23">
      <c r="A388" s="565">
        <v>1082</v>
      </c>
      <c r="B388" s="695" t="s">
        <v>5793</v>
      </c>
      <c r="C388" s="566">
        <f t="shared" si="5"/>
        <v>1082</v>
      </c>
      <c r="D388" s="699" t="s">
        <v>2219</v>
      </c>
      <c r="E388" s="701" t="s">
        <v>8266</v>
      </c>
      <c r="F388" s="567">
        <v>1</v>
      </c>
      <c r="G388" s="662">
        <v>0</v>
      </c>
      <c r="H388" s="662">
        <v>0</v>
      </c>
      <c r="I388" s="662">
        <v>27911.25453375882</v>
      </c>
      <c r="J388" s="662">
        <v>28779.355201379938</v>
      </c>
      <c r="K388" s="568" t="s">
        <v>3942</v>
      </c>
      <c r="L388" s="549"/>
      <c r="M388" s="652"/>
      <c r="O388" s="677"/>
      <c r="S388" s="550"/>
      <c r="T388" s="547"/>
      <c r="U388" s="547"/>
      <c r="V388" s="547"/>
      <c r="W388" s="549"/>
    </row>
    <row r="389" spans="1:23">
      <c r="A389" s="565">
        <v>1083</v>
      </c>
      <c r="B389" s="695" t="s">
        <v>5794</v>
      </c>
      <c r="C389" s="566">
        <f t="shared" si="5"/>
        <v>1083</v>
      </c>
      <c r="D389" s="699" t="s">
        <v>2219</v>
      </c>
      <c r="E389" s="701" t="s">
        <v>8267</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5795</v>
      </c>
      <c r="C390" s="566">
        <f t="shared" si="5"/>
        <v>1084</v>
      </c>
      <c r="D390" s="699" t="s">
        <v>2219</v>
      </c>
      <c r="E390" s="701" t="s">
        <v>8268</v>
      </c>
      <c r="F390" s="567">
        <v>1</v>
      </c>
      <c r="G390" s="662">
        <v>0</v>
      </c>
      <c r="H390" s="662">
        <v>0</v>
      </c>
      <c r="I390" s="662">
        <v>24640.291843996794</v>
      </c>
      <c r="J390" s="662">
        <v>25423.272573701168</v>
      </c>
      <c r="K390" s="568" t="s">
        <v>3943</v>
      </c>
      <c r="L390" s="549"/>
      <c r="M390" s="652"/>
      <c r="O390" s="677"/>
      <c r="S390" s="550"/>
      <c r="T390" s="547"/>
      <c r="U390" s="547"/>
      <c r="V390" s="547"/>
      <c r="W390" s="549"/>
    </row>
    <row r="391" spans="1:23">
      <c r="A391" s="565">
        <v>1085</v>
      </c>
      <c r="B391" s="695" t="s">
        <v>5796</v>
      </c>
      <c r="C391" s="566">
        <f t="shared" si="5"/>
        <v>1085</v>
      </c>
      <c r="D391" s="699" t="s">
        <v>2219</v>
      </c>
      <c r="E391" s="701" t="s">
        <v>8269</v>
      </c>
      <c r="F391" s="567">
        <v>1</v>
      </c>
      <c r="G391" s="662">
        <v>0</v>
      </c>
      <c r="H391" s="662">
        <v>0</v>
      </c>
      <c r="I391" s="662">
        <v>23366.18803312926</v>
      </c>
      <c r="J391" s="662">
        <v>24104.635264273275</v>
      </c>
      <c r="K391" s="568" t="s">
        <v>3944</v>
      </c>
      <c r="L391" s="549"/>
      <c r="M391" s="652"/>
      <c r="O391" s="677"/>
      <c r="S391" s="550"/>
      <c r="T391" s="547"/>
      <c r="U391" s="547"/>
      <c r="V391" s="547"/>
      <c r="W391" s="549"/>
    </row>
    <row r="392" spans="1:23">
      <c r="A392" s="565">
        <v>1086</v>
      </c>
      <c r="B392" s="696" t="s">
        <v>5797</v>
      </c>
      <c r="C392" s="566">
        <f t="shared" si="5"/>
        <v>1086</v>
      </c>
      <c r="D392" s="700" t="s">
        <v>2219</v>
      </c>
      <c r="E392" s="701" t="s">
        <v>8270</v>
      </c>
      <c r="F392" s="566">
        <v>1</v>
      </c>
      <c r="G392" s="662">
        <v>0</v>
      </c>
      <c r="H392" s="662">
        <v>0</v>
      </c>
      <c r="I392" s="662">
        <v>28698.791185249225</v>
      </c>
      <c r="J392" s="662">
        <v>0</v>
      </c>
      <c r="K392" s="566" t="s">
        <v>4666</v>
      </c>
      <c r="L392" s="549"/>
      <c r="M392" s="577"/>
      <c r="O392" s="677"/>
      <c r="S392" s="550"/>
      <c r="T392" s="547"/>
      <c r="U392" s="547"/>
      <c r="V392" s="547"/>
      <c r="W392" s="549"/>
    </row>
    <row r="393" spans="1:23">
      <c r="A393" s="565">
        <v>1087</v>
      </c>
      <c r="B393" s="696" t="s">
        <v>5798</v>
      </c>
      <c r="C393" s="566">
        <f t="shared" ref="C393:C456" si="6">A393</f>
        <v>1087</v>
      </c>
      <c r="D393" s="700" t="s">
        <v>2219</v>
      </c>
      <c r="E393" s="701" t="s">
        <v>8271</v>
      </c>
      <c r="F393" s="566">
        <v>1</v>
      </c>
      <c r="G393" s="662">
        <v>0</v>
      </c>
      <c r="H393" s="662">
        <v>0</v>
      </c>
      <c r="I393" s="662">
        <v>0</v>
      </c>
      <c r="J393" s="662">
        <v>24544.734058181726</v>
      </c>
      <c r="K393" s="566" t="s">
        <v>4667</v>
      </c>
      <c r="L393" s="549"/>
      <c r="M393" s="577"/>
      <c r="O393" s="677"/>
      <c r="S393" s="550"/>
      <c r="T393" s="547"/>
      <c r="U393" s="547"/>
      <c r="V393" s="547"/>
      <c r="W393" s="549"/>
    </row>
    <row r="394" spans="1:23">
      <c r="A394" s="565">
        <v>1088</v>
      </c>
      <c r="B394" s="696" t="s">
        <v>5799</v>
      </c>
      <c r="C394" s="566">
        <f t="shared" si="6"/>
        <v>1088</v>
      </c>
      <c r="D394" s="700" t="s">
        <v>2219</v>
      </c>
      <c r="E394" s="701" t="s">
        <v>8272</v>
      </c>
      <c r="F394" s="566">
        <v>1</v>
      </c>
      <c r="G394" s="662">
        <v>0</v>
      </c>
      <c r="H394" s="662">
        <v>0</v>
      </c>
      <c r="I394" s="662">
        <v>0</v>
      </c>
      <c r="J394" s="662">
        <v>23270.630247314202</v>
      </c>
      <c r="K394" s="566" t="s">
        <v>4668</v>
      </c>
      <c r="L394" s="549"/>
      <c r="M394" s="577"/>
      <c r="O394" s="677"/>
      <c r="S394" s="550"/>
      <c r="T394" s="547"/>
      <c r="U394" s="547"/>
      <c r="V394" s="547"/>
      <c r="W394" s="549"/>
    </row>
    <row r="395" spans="1:23">
      <c r="A395" s="565">
        <v>1089</v>
      </c>
      <c r="B395" s="695" t="s">
        <v>5800</v>
      </c>
      <c r="C395" s="566">
        <f t="shared" si="6"/>
        <v>1089</v>
      </c>
      <c r="D395" s="699" t="s">
        <v>2219</v>
      </c>
      <c r="E395" s="701" t="s">
        <v>8273</v>
      </c>
      <c r="F395" s="567">
        <v>1</v>
      </c>
      <c r="G395" s="662">
        <v>0</v>
      </c>
      <c r="H395" s="662">
        <v>0</v>
      </c>
      <c r="I395" s="662">
        <v>0</v>
      </c>
      <c r="J395" s="662">
        <v>21295.769340469531</v>
      </c>
      <c r="K395" s="568" t="s">
        <v>4669</v>
      </c>
      <c r="L395" s="549"/>
      <c r="M395" s="577"/>
      <c r="O395" s="677"/>
      <c r="S395" s="550"/>
      <c r="T395" s="547"/>
      <c r="U395" s="547"/>
      <c r="V395" s="547"/>
      <c r="W395" s="549"/>
    </row>
    <row r="396" spans="1:23">
      <c r="A396" s="565">
        <v>1090</v>
      </c>
      <c r="B396" s="695" t="s">
        <v>5801</v>
      </c>
      <c r="C396" s="566">
        <f t="shared" si="6"/>
        <v>1090</v>
      </c>
      <c r="D396" s="699" t="s">
        <v>2219</v>
      </c>
      <c r="E396" s="701" t="s">
        <v>8274</v>
      </c>
      <c r="F396" s="567">
        <v>1</v>
      </c>
      <c r="G396" s="662">
        <v>0</v>
      </c>
      <c r="H396" s="662">
        <v>0</v>
      </c>
      <c r="I396" s="662">
        <v>0</v>
      </c>
      <c r="J396" s="662">
        <v>20021.665529602007</v>
      </c>
      <c r="K396" s="568" t="s">
        <v>4670</v>
      </c>
      <c r="L396" s="549"/>
      <c r="M396" s="577"/>
      <c r="O396" s="677"/>
      <c r="S396" s="550"/>
      <c r="T396" s="547"/>
      <c r="U396" s="547"/>
      <c r="V396" s="547"/>
      <c r="W396" s="549"/>
    </row>
    <row r="397" spans="1:23">
      <c r="A397" s="565">
        <v>1091</v>
      </c>
      <c r="B397" s="695" t="s">
        <v>5802</v>
      </c>
      <c r="C397" s="566">
        <f t="shared" si="6"/>
        <v>1091</v>
      </c>
      <c r="D397" s="699" t="s">
        <v>2219</v>
      </c>
      <c r="E397" s="701" t="s">
        <v>8275</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5803</v>
      </c>
      <c r="C398" s="566">
        <f t="shared" si="6"/>
        <v>1092</v>
      </c>
      <c r="D398" s="700" t="s">
        <v>2219</v>
      </c>
      <c r="E398" s="701" t="s">
        <v>8276</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5804</v>
      </c>
      <c r="C399" s="566">
        <f t="shared" si="6"/>
        <v>1093</v>
      </c>
      <c r="D399" s="700" t="s">
        <v>2219</v>
      </c>
      <c r="E399" s="701" t="s">
        <v>8277</v>
      </c>
      <c r="F399" s="566">
        <v>1</v>
      </c>
      <c r="G399" s="662">
        <v>0</v>
      </c>
      <c r="H399" s="662">
        <v>0</v>
      </c>
      <c r="I399" s="662">
        <v>32683.988080802799</v>
      </c>
      <c r="J399" s="662">
        <v>33713.565807133207</v>
      </c>
      <c r="K399" s="566" t="s">
        <v>3945</v>
      </c>
      <c r="L399" s="549"/>
      <c r="M399" s="577"/>
      <c r="O399" s="677"/>
      <c r="S399" s="550"/>
      <c r="T399" s="547"/>
      <c r="U399" s="547"/>
      <c r="V399" s="547"/>
      <c r="W399" s="549"/>
    </row>
    <row r="400" spans="1:23">
      <c r="A400" s="565">
        <v>1094</v>
      </c>
      <c r="B400" s="696" t="s">
        <v>5805</v>
      </c>
      <c r="C400" s="566">
        <f t="shared" si="6"/>
        <v>1094</v>
      </c>
      <c r="D400" s="700" t="s">
        <v>2219</v>
      </c>
      <c r="E400" s="701" t="s">
        <v>8278</v>
      </c>
      <c r="F400" s="566">
        <v>1</v>
      </c>
      <c r="G400" s="662">
        <v>0</v>
      </c>
      <c r="H400" s="662">
        <v>0</v>
      </c>
      <c r="I400" s="662">
        <v>31110.997754982462</v>
      </c>
      <c r="J400" s="662">
        <v>32087.330176388907</v>
      </c>
      <c r="K400" s="566" t="s">
        <v>3946</v>
      </c>
      <c r="L400" s="549"/>
      <c r="M400" s="654"/>
      <c r="O400" s="677"/>
      <c r="S400" s="550"/>
      <c r="T400" s="547"/>
      <c r="U400" s="547"/>
      <c r="V400" s="547"/>
      <c r="W400" s="549"/>
    </row>
    <row r="401" spans="1:23">
      <c r="A401" s="565">
        <v>1095</v>
      </c>
      <c r="B401" s="696" t="s">
        <v>5806</v>
      </c>
      <c r="C401" s="566">
        <f t="shared" si="6"/>
        <v>1095</v>
      </c>
      <c r="D401" s="700" t="s">
        <v>2219</v>
      </c>
      <c r="E401" s="701" t="s">
        <v>8279</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5807</v>
      </c>
      <c r="C402" s="566">
        <f t="shared" si="6"/>
        <v>1096</v>
      </c>
      <c r="D402" s="700" t="s">
        <v>2219</v>
      </c>
      <c r="E402" s="701" t="s">
        <v>8280</v>
      </c>
      <c r="F402" s="566">
        <v>1</v>
      </c>
      <c r="G402" s="662">
        <v>0</v>
      </c>
      <c r="H402" s="662">
        <v>17633.546838465943</v>
      </c>
      <c r="I402" s="662">
        <v>18728.450161571465</v>
      </c>
      <c r="J402" s="662">
        <v>19304.705168286022</v>
      </c>
      <c r="K402" s="566" t="s">
        <v>3947</v>
      </c>
      <c r="L402" s="549"/>
      <c r="M402" s="654"/>
      <c r="O402" s="677"/>
      <c r="S402" s="550"/>
      <c r="T402" s="547"/>
      <c r="U402" s="547"/>
      <c r="V402" s="547"/>
      <c r="W402" s="549"/>
    </row>
    <row r="403" spans="1:23">
      <c r="A403" s="565">
        <v>1097</v>
      </c>
      <c r="B403" s="696" t="s">
        <v>5808</v>
      </c>
      <c r="C403" s="566">
        <f t="shared" si="6"/>
        <v>1097</v>
      </c>
      <c r="D403" s="700" t="s">
        <v>2219</v>
      </c>
      <c r="E403" s="701" t="s">
        <v>8281</v>
      </c>
      <c r="F403" s="566">
        <v>1</v>
      </c>
      <c r="G403" s="662">
        <v>0</v>
      </c>
      <c r="H403" s="662">
        <v>0</v>
      </c>
      <c r="I403" s="662">
        <v>0</v>
      </c>
      <c r="J403" s="662">
        <v>27666.288394807165</v>
      </c>
      <c r="K403" s="566" t="s">
        <v>4671</v>
      </c>
      <c r="L403" s="549"/>
      <c r="M403" s="654"/>
      <c r="O403" s="674"/>
      <c r="S403" s="550"/>
      <c r="T403" s="547"/>
      <c r="U403" s="547"/>
      <c r="V403" s="547"/>
      <c r="W403" s="549"/>
    </row>
    <row r="404" spans="1:23">
      <c r="A404" s="565">
        <v>1098</v>
      </c>
      <c r="B404" s="696" t="s">
        <v>5809</v>
      </c>
      <c r="C404" s="566">
        <f t="shared" si="6"/>
        <v>1098</v>
      </c>
      <c r="D404" s="700" t="s">
        <v>2219</v>
      </c>
      <c r="E404" s="701" t="s">
        <v>8282</v>
      </c>
      <c r="F404" s="566">
        <v>1</v>
      </c>
      <c r="G404" s="662">
        <v>0</v>
      </c>
      <c r="H404" s="662">
        <v>0</v>
      </c>
      <c r="I404" s="662">
        <v>0</v>
      </c>
      <c r="J404" s="662">
        <v>26392.184583939641</v>
      </c>
      <c r="K404" s="566" t="s">
        <v>4672</v>
      </c>
      <c r="L404" s="549"/>
      <c r="M404" s="654"/>
      <c r="O404" s="674"/>
      <c r="S404" s="550"/>
      <c r="T404" s="547"/>
      <c r="U404" s="547"/>
      <c r="V404" s="547"/>
      <c r="W404" s="549"/>
    </row>
    <row r="405" spans="1:23">
      <c r="A405" s="565">
        <v>1099</v>
      </c>
      <c r="B405" s="695" t="s">
        <v>5810</v>
      </c>
      <c r="C405" s="566">
        <f t="shared" si="6"/>
        <v>1099</v>
      </c>
      <c r="D405" s="699" t="s">
        <v>2219</v>
      </c>
      <c r="E405" s="701" t="s">
        <v>8283</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5811</v>
      </c>
      <c r="C406" s="566">
        <f t="shared" si="6"/>
        <v>1100</v>
      </c>
      <c r="D406" s="700" t="s">
        <v>2219</v>
      </c>
      <c r="E406" s="701" t="s">
        <v>8284</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5812</v>
      </c>
      <c r="C407" s="566">
        <f t="shared" si="6"/>
        <v>1101</v>
      </c>
      <c r="D407" s="699" t="s">
        <v>2219</v>
      </c>
      <c r="E407" s="701" t="s">
        <v>8285</v>
      </c>
      <c r="F407" s="567">
        <v>1</v>
      </c>
      <c r="G407" s="662">
        <v>0</v>
      </c>
      <c r="H407" s="662">
        <v>26681.318684710332</v>
      </c>
      <c r="I407" s="662">
        <v>28359.556776617614</v>
      </c>
      <c r="J407" s="662">
        <v>0</v>
      </c>
      <c r="K407" s="568" t="s">
        <v>4673</v>
      </c>
      <c r="L407" s="549"/>
      <c r="M407" s="654"/>
      <c r="O407" s="674"/>
      <c r="S407" s="550"/>
      <c r="T407" s="547"/>
      <c r="U407" s="547"/>
      <c r="V407" s="547"/>
      <c r="W407" s="549"/>
    </row>
    <row r="408" spans="1:23">
      <c r="A408" s="565">
        <v>1102</v>
      </c>
      <c r="B408" s="696" t="s">
        <v>5813</v>
      </c>
      <c r="C408" s="566">
        <f t="shared" si="6"/>
        <v>1102</v>
      </c>
      <c r="D408" s="700" t="s">
        <v>2219</v>
      </c>
      <c r="E408" s="701" t="s">
        <v>8286</v>
      </c>
      <c r="F408" s="566">
        <v>1</v>
      </c>
      <c r="G408" s="662">
        <v>0</v>
      </c>
      <c r="H408" s="662">
        <v>25798.183697359349</v>
      </c>
      <c r="I408" s="662">
        <v>27415.762581125404</v>
      </c>
      <c r="J408" s="662">
        <v>0</v>
      </c>
      <c r="K408" s="566" t="s">
        <v>4674</v>
      </c>
      <c r="L408" s="549"/>
      <c r="M408" s="654"/>
      <c r="O408" s="674"/>
      <c r="S408" s="550"/>
      <c r="T408" s="547"/>
      <c r="U408" s="547"/>
      <c r="V408" s="547"/>
      <c r="W408" s="549"/>
    </row>
    <row r="409" spans="1:23">
      <c r="A409" s="565">
        <v>1103</v>
      </c>
      <c r="B409" s="695" t="s">
        <v>5814</v>
      </c>
      <c r="C409" s="566">
        <f t="shared" si="6"/>
        <v>1103</v>
      </c>
      <c r="D409" s="699" t="s">
        <v>2219</v>
      </c>
      <c r="E409" s="701" t="s">
        <v>8287</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5815</v>
      </c>
      <c r="C410" s="566">
        <f t="shared" si="6"/>
        <v>1104</v>
      </c>
      <c r="D410" s="699" t="s">
        <v>2219</v>
      </c>
      <c r="E410" s="701" t="s">
        <v>8288</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5816</v>
      </c>
      <c r="C411" s="566">
        <f t="shared" si="6"/>
        <v>1105</v>
      </c>
      <c r="D411" s="699" t="s">
        <v>2219</v>
      </c>
      <c r="E411" s="701" t="s">
        <v>8289</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5817</v>
      </c>
      <c r="C412" s="566">
        <f t="shared" si="6"/>
        <v>1106</v>
      </c>
      <c r="D412" s="699" t="s">
        <v>2219</v>
      </c>
      <c r="E412" s="701" t="s">
        <v>8290</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5818</v>
      </c>
      <c r="C413" s="566">
        <f t="shared" si="6"/>
        <v>1107</v>
      </c>
      <c r="D413" s="699" t="s">
        <v>2219</v>
      </c>
      <c r="E413" s="701" t="s">
        <v>8291</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5819</v>
      </c>
      <c r="C414" s="566">
        <f t="shared" si="6"/>
        <v>1108</v>
      </c>
      <c r="D414" s="699" t="s">
        <v>2219</v>
      </c>
      <c r="E414" s="701" t="s">
        <v>8292</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5820</v>
      </c>
      <c r="C415" s="566">
        <f t="shared" si="6"/>
        <v>1109</v>
      </c>
      <c r="D415" s="699" t="s">
        <v>2219</v>
      </c>
      <c r="E415" s="701" t="s">
        <v>8293</v>
      </c>
      <c r="F415" s="567">
        <v>1</v>
      </c>
      <c r="G415" s="662">
        <v>0</v>
      </c>
      <c r="H415" s="662">
        <v>0</v>
      </c>
      <c r="I415" s="662">
        <v>34724.453054841106</v>
      </c>
      <c r="J415" s="662">
        <v>35880.442982624467</v>
      </c>
      <c r="K415" s="568" t="s">
        <v>3948</v>
      </c>
      <c r="L415" s="549"/>
      <c r="M415" s="654"/>
      <c r="O415" s="674"/>
      <c r="S415" s="550"/>
      <c r="T415" s="547"/>
      <c r="U415" s="547"/>
      <c r="V415" s="547"/>
      <c r="W415" s="549"/>
    </row>
    <row r="416" spans="1:23">
      <c r="A416" s="565">
        <v>1110</v>
      </c>
      <c r="B416" s="695" t="s">
        <v>5821</v>
      </c>
      <c r="C416" s="566">
        <f t="shared" si="6"/>
        <v>1110</v>
      </c>
      <c r="D416" s="699" t="s">
        <v>2219</v>
      </c>
      <c r="E416" s="701" t="s">
        <v>8294</v>
      </c>
      <c r="F416" s="567">
        <v>1</v>
      </c>
      <c r="G416" s="662">
        <v>29998.628982368708</v>
      </c>
      <c r="H416" s="662">
        <v>0</v>
      </c>
      <c r="I416" s="662">
        <v>0</v>
      </c>
      <c r="J416" s="662">
        <v>0</v>
      </c>
      <c r="K416" s="568" t="s">
        <v>5211</v>
      </c>
      <c r="L416" s="549"/>
      <c r="M416" s="654"/>
      <c r="O416" s="674"/>
      <c r="S416" s="550"/>
      <c r="T416" s="547"/>
      <c r="U416" s="547"/>
      <c r="V416" s="547"/>
      <c r="W416" s="549"/>
    </row>
    <row r="417" spans="1:23">
      <c r="A417" s="565">
        <v>1111</v>
      </c>
      <c r="B417" s="695" t="s">
        <v>5822</v>
      </c>
      <c r="C417" s="566">
        <f t="shared" si="6"/>
        <v>1111</v>
      </c>
      <c r="D417" s="699" t="s">
        <v>2219</v>
      </c>
      <c r="E417" s="701" t="s">
        <v>8295</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5823</v>
      </c>
      <c r="C418" s="566">
        <f t="shared" si="6"/>
        <v>1112</v>
      </c>
      <c r="D418" s="699" t="s">
        <v>2219</v>
      </c>
      <c r="E418" s="701" t="s">
        <v>8296</v>
      </c>
      <c r="F418" s="567">
        <v>1</v>
      </c>
      <c r="G418" s="662">
        <v>27743.465237133187</v>
      </c>
      <c r="H418" s="662">
        <v>0</v>
      </c>
      <c r="I418" s="662">
        <v>0</v>
      </c>
      <c r="J418" s="662">
        <v>0</v>
      </c>
      <c r="K418" s="568" t="s">
        <v>5212</v>
      </c>
      <c r="L418" s="549"/>
      <c r="M418" s="654"/>
      <c r="O418" s="674"/>
      <c r="S418" s="550"/>
      <c r="T418" s="547"/>
      <c r="U418" s="547"/>
      <c r="V418" s="547"/>
      <c r="W418" s="549"/>
    </row>
    <row r="419" spans="1:23">
      <c r="A419" s="565">
        <v>1113</v>
      </c>
      <c r="B419" s="696" t="s">
        <v>5824</v>
      </c>
      <c r="C419" s="566">
        <f t="shared" si="6"/>
        <v>1113</v>
      </c>
      <c r="D419" s="700" t="s">
        <v>2219</v>
      </c>
      <c r="E419" s="701" t="s">
        <v>8297</v>
      </c>
      <c r="F419" s="566">
        <v>1</v>
      </c>
      <c r="G419" s="662">
        <v>31336.437983779604</v>
      </c>
      <c r="H419" s="662">
        <v>0</v>
      </c>
      <c r="I419" s="662">
        <v>0</v>
      </c>
      <c r="J419" s="662">
        <v>0</v>
      </c>
      <c r="K419" s="566" t="s">
        <v>5213</v>
      </c>
      <c r="L419" s="549"/>
      <c r="M419" s="654"/>
      <c r="O419" s="674"/>
      <c r="S419" s="550"/>
      <c r="T419" s="547"/>
      <c r="U419" s="547"/>
      <c r="V419" s="547"/>
      <c r="W419" s="549"/>
    </row>
    <row r="420" spans="1:23">
      <c r="A420" s="565">
        <v>1114</v>
      </c>
      <c r="B420" s="696" t="s">
        <v>5825</v>
      </c>
      <c r="C420" s="566">
        <f t="shared" si="6"/>
        <v>1114</v>
      </c>
      <c r="D420" s="700" t="s">
        <v>2219</v>
      </c>
      <c r="E420" s="701" t="s">
        <v>8298</v>
      </c>
      <c r="F420" s="566">
        <v>1</v>
      </c>
      <c r="G420" s="662">
        <v>30189.744553998826</v>
      </c>
      <c r="H420" s="662">
        <v>0</v>
      </c>
      <c r="I420" s="662">
        <v>0</v>
      </c>
      <c r="J420" s="662">
        <v>0</v>
      </c>
      <c r="K420" s="566" t="s">
        <v>5214</v>
      </c>
      <c r="L420" s="549"/>
      <c r="M420" s="654"/>
      <c r="O420" s="674"/>
      <c r="S420" s="550"/>
      <c r="T420" s="547"/>
      <c r="U420" s="547"/>
      <c r="V420" s="547"/>
      <c r="W420" s="549"/>
    </row>
    <row r="421" spans="1:23">
      <c r="A421" s="565">
        <v>1115</v>
      </c>
      <c r="B421" s="696" t="s">
        <v>5826</v>
      </c>
      <c r="C421" s="566">
        <f t="shared" si="6"/>
        <v>1115</v>
      </c>
      <c r="D421" s="700" t="s">
        <v>2219</v>
      </c>
      <c r="E421" s="701" t="s">
        <v>8299</v>
      </c>
      <c r="F421" s="566">
        <v>1</v>
      </c>
      <c r="G421" s="662">
        <v>30466.567181479673</v>
      </c>
      <c r="H421" s="662">
        <v>0</v>
      </c>
      <c r="I421" s="662">
        <v>0</v>
      </c>
      <c r="J421" s="662">
        <v>0</v>
      </c>
      <c r="K421" s="566" t="s">
        <v>5215</v>
      </c>
      <c r="L421" s="549"/>
      <c r="M421" s="654"/>
      <c r="O421" s="674"/>
      <c r="S421" s="550"/>
      <c r="T421" s="547"/>
      <c r="U421" s="547"/>
      <c r="V421" s="547"/>
      <c r="W421" s="549"/>
    </row>
    <row r="422" spans="1:23">
      <c r="A422" s="565">
        <v>1116</v>
      </c>
      <c r="B422" s="696" t="s">
        <v>5827</v>
      </c>
      <c r="C422" s="566">
        <f t="shared" si="6"/>
        <v>1116</v>
      </c>
      <c r="D422" s="700" t="s">
        <v>2219</v>
      </c>
      <c r="E422" s="701" t="s">
        <v>8300</v>
      </c>
      <c r="F422" s="566">
        <v>1</v>
      </c>
      <c r="G422" s="662">
        <v>31336.437983779604</v>
      </c>
      <c r="H422" s="662">
        <v>0</v>
      </c>
      <c r="I422" s="662">
        <v>0</v>
      </c>
      <c r="J422" s="662">
        <v>0</v>
      </c>
      <c r="K422" s="566" t="s">
        <v>5216</v>
      </c>
      <c r="L422" s="549"/>
      <c r="M422" s="654"/>
      <c r="O422" s="674"/>
      <c r="S422" s="550"/>
      <c r="T422" s="547"/>
      <c r="U422" s="547"/>
      <c r="V422" s="547"/>
      <c r="W422" s="549"/>
    </row>
    <row r="423" spans="1:23">
      <c r="A423" s="565">
        <v>1117</v>
      </c>
      <c r="B423" s="696" t="s">
        <v>5828</v>
      </c>
      <c r="C423" s="566">
        <f t="shared" si="6"/>
        <v>1117</v>
      </c>
      <c r="D423" s="700" t="s">
        <v>2219</v>
      </c>
      <c r="E423" s="701" t="s">
        <v>8301</v>
      </c>
      <c r="F423" s="566">
        <v>1</v>
      </c>
      <c r="G423" s="662">
        <v>25908.755749483957</v>
      </c>
      <c r="H423" s="662">
        <v>0</v>
      </c>
      <c r="I423" s="662">
        <v>0</v>
      </c>
      <c r="J423" s="662">
        <v>0</v>
      </c>
      <c r="K423" s="566" t="s">
        <v>5217</v>
      </c>
      <c r="L423" s="549"/>
      <c r="M423" s="654"/>
      <c r="O423" s="674"/>
      <c r="S423" s="550"/>
      <c r="T423" s="547"/>
      <c r="U423" s="547"/>
      <c r="V423" s="547"/>
      <c r="W423" s="549"/>
    </row>
    <row r="424" spans="1:23">
      <c r="A424" s="565">
        <v>1118</v>
      </c>
      <c r="B424" s="696" t="s">
        <v>5829</v>
      </c>
      <c r="C424" s="566">
        <f t="shared" si="6"/>
        <v>1118</v>
      </c>
      <c r="D424" s="700" t="s">
        <v>2219</v>
      </c>
      <c r="E424" s="701" t="s">
        <v>8302</v>
      </c>
      <c r="F424" s="566">
        <v>1</v>
      </c>
      <c r="G424" s="662">
        <v>24762.062319703178</v>
      </c>
      <c r="H424" s="662">
        <v>0</v>
      </c>
      <c r="I424" s="662">
        <v>0</v>
      </c>
      <c r="J424" s="662">
        <v>0</v>
      </c>
      <c r="K424" s="566" t="s">
        <v>5218</v>
      </c>
      <c r="L424" s="549"/>
      <c r="M424" s="654"/>
      <c r="O424" s="674"/>
      <c r="S424" s="550"/>
      <c r="T424" s="547"/>
      <c r="U424" s="547"/>
      <c r="V424" s="547"/>
      <c r="W424" s="549"/>
    </row>
    <row r="425" spans="1:23">
      <c r="A425" s="565">
        <v>1119</v>
      </c>
      <c r="B425" s="696" t="s">
        <v>5830</v>
      </c>
      <c r="C425" s="566">
        <f t="shared" si="6"/>
        <v>1119</v>
      </c>
      <c r="D425" s="700" t="s">
        <v>2219</v>
      </c>
      <c r="E425" s="701" t="s">
        <v>8303</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5831</v>
      </c>
      <c r="C426" s="566">
        <f t="shared" si="6"/>
        <v>1120</v>
      </c>
      <c r="D426" s="700" t="s">
        <v>2219</v>
      </c>
      <c r="E426" s="701" t="s">
        <v>8304</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5832</v>
      </c>
      <c r="C427" s="566">
        <f t="shared" si="6"/>
        <v>1121</v>
      </c>
      <c r="D427" s="700" t="s">
        <v>2219</v>
      </c>
      <c r="E427" s="701" t="s">
        <v>8305</v>
      </c>
      <c r="F427" s="566">
        <v>1</v>
      </c>
      <c r="G427" s="662">
        <v>0</v>
      </c>
      <c r="H427" s="662">
        <v>30278.201207085578</v>
      </c>
      <c r="I427" s="662">
        <v>31258.314382370769</v>
      </c>
      <c r="J427" s="662">
        <v>32290.014936664124</v>
      </c>
      <c r="K427" s="566" t="s">
        <v>4675</v>
      </c>
      <c r="L427" s="549"/>
      <c r="M427" s="654"/>
      <c r="O427" s="674"/>
      <c r="S427" s="550"/>
      <c r="T427" s="547"/>
      <c r="U427" s="547"/>
      <c r="V427" s="547"/>
      <c r="W427" s="549"/>
    </row>
    <row r="428" spans="1:23">
      <c r="A428" s="565">
        <v>1122</v>
      </c>
      <c r="B428" s="696" t="s">
        <v>5833</v>
      </c>
      <c r="C428" s="566">
        <f t="shared" si="6"/>
        <v>1122</v>
      </c>
      <c r="D428" s="700" t="s">
        <v>2219</v>
      </c>
      <c r="E428" s="701" t="s">
        <v>8306</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5834</v>
      </c>
      <c r="C429" s="566">
        <f t="shared" si="6"/>
        <v>1123</v>
      </c>
      <c r="D429" s="699" t="s">
        <v>2219</v>
      </c>
      <c r="E429" s="701" t="s">
        <v>8307</v>
      </c>
      <c r="F429" s="567">
        <v>1</v>
      </c>
      <c r="G429" s="662">
        <v>0</v>
      </c>
      <c r="H429" s="662">
        <v>0</v>
      </c>
      <c r="I429" s="662">
        <v>0</v>
      </c>
      <c r="J429" s="662">
        <v>39165.075287886582</v>
      </c>
      <c r="K429" s="568" t="s">
        <v>4676</v>
      </c>
      <c r="L429" s="549"/>
      <c r="M429" s="654"/>
      <c r="O429" s="674"/>
      <c r="S429" s="550"/>
      <c r="T429" s="547"/>
      <c r="U429" s="547"/>
      <c r="V429" s="547"/>
      <c r="W429" s="549"/>
    </row>
    <row r="430" spans="1:23">
      <c r="A430" s="565">
        <v>1124</v>
      </c>
      <c r="B430" s="695" t="s">
        <v>5835</v>
      </c>
      <c r="C430" s="566">
        <f t="shared" si="6"/>
        <v>1124</v>
      </c>
      <c r="D430" s="699" t="s">
        <v>2219</v>
      </c>
      <c r="E430" s="701" t="s">
        <v>8308</v>
      </c>
      <c r="F430" s="567">
        <v>1</v>
      </c>
      <c r="G430" s="662">
        <v>0</v>
      </c>
      <c r="H430" s="662">
        <v>0</v>
      </c>
      <c r="I430" s="662">
        <v>0</v>
      </c>
      <c r="J430" s="662">
        <v>37890.971477019055</v>
      </c>
      <c r="K430" s="568" t="s">
        <v>4677</v>
      </c>
      <c r="L430" s="549"/>
      <c r="M430" s="654"/>
      <c r="O430" s="674"/>
      <c r="S430" s="550"/>
      <c r="T430" s="547"/>
      <c r="U430" s="547"/>
      <c r="V430" s="547"/>
      <c r="W430" s="549"/>
    </row>
    <row r="431" spans="1:23">
      <c r="A431" s="565">
        <v>1125</v>
      </c>
      <c r="B431" s="696" t="s">
        <v>5836</v>
      </c>
      <c r="C431" s="566">
        <f t="shared" si="6"/>
        <v>1125</v>
      </c>
      <c r="D431" s="700" t="s">
        <v>2219</v>
      </c>
      <c r="E431" s="701" t="s">
        <v>8309</v>
      </c>
      <c r="F431" s="566">
        <v>1</v>
      </c>
      <c r="G431" s="662">
        <v>0</v>
      </c>
      <c r="H431" s="662">
        <v>0</v>
      </c>
      <c r="I431" s="662">
        <v>27787.32825683957</v>
      </c>
      <c r="J431" s="662">
        <v>28680.349521529417</v>
      </c>
      <c r="K431" s="566" t="s">
        <v>3949</v>
      </c>
      <c r="L431" s="549"/>
      <c r="M431" s="654"/>
      <c r="O431" s="674"/>
      <c r="S431" s="550"/>
      <c r="T431" s="547"/>
      <c r="U431" s="547"/>
      <c r="V431" s="547"/>
      <c r="W431" s="549"/>
    </row>
    <row r="432" spans="1:23">
      <c r="A432" s="565">
        <v>1126</v>
      </c>
      <c r="B432" s="696" t="s">
        <v>5837</v>
      </c>
      <c r="C432" s="566">
        <f t="shared" si="6"/>
        <v>1126</v>
      </c>
      <c r="D432" s="700" t="s">
        <v>2219</v>
      </c>
      <c r="E432" s="701" t="s">
        <v>8310</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5838</v>
      </c>
      <c r="C433" s="566">
        <f t="shared" si="6"/>
        <v>1127</v>
      </c>
      <c r="D433" s="700" t="s">
        <v>2219</v>
      </c>
      <c r="E433" s="701" t="s">
        <v>8311</v>
      </c>
      <c r="F433" s="566">
        <v>1</v>
      </c>
      <c r="G433" s="662">
        <v>0</v>
      </c>
      <c r="H433" s="662">
        <v>0</v>
      </c>
      <c r="I433" s="662">
        <v>35738.554769167822</v>
      </c>
      <c r="J433" s="662">
        <v>36930.660564843834</v>
      </c>
      <c r="K433" s="566" t="s">
        <v>3950</v>
      </c>
      <c r="L433" s="549"/>
      <c r="M433" s="654"/>
      <c r="O433" s="674"/>
      <c r="S433" s="550"/>
      <c r="T433" s="547"/>
      <c r="U433" s="547"/>
      <c r="V433" s="547"/>
      <c r="W433" s="549"/>
    </row>
    <row r="434" spans="1:23">
      <c r="A434" s="565">
        <v>1128</v>
      </c>
      <c r="B434" s="696" t="s">
        <v>5839</v>
      </c>
      <c r="C434" s="566">
        <f t="shared" si="6"/>
        <v>1128</v>
      </c>
      <c r="D434" s="700" t="s">
        <v>2219</v>
      </c>
      <c r="E434" s="701" t="s">
        <v>8312</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5840</v>
      </c>
      <c r="C435" s="566">
        <f t="shared" si="6"/>
        <v>1129</v>
      </c>
      <c r="D435" s="700" t="s">
        <v>2219</v>
      </c>
      <c r="E435" s="701" t="s">
        <v>8313</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5841</v>
      </c>
      <c r="C436" s="566">
        <f t="shared" si="6"/>
        <v>1130</v>
      </c>
      <c r="D436" s="700" t="s">
        <v>2219</v>
      </c>
      <c r="E436" s="701" t="s">
        <v>8314</v>
      </c>
      <c r="F436" s="566">
        <v>1</v>
      </c>
      <c r="G436" s="662">
        <v>0</v>
      </c>
      <c r="H436" s="662">
        <v>31434.98049617897</v>
      </c>
      <c r="I436" s="662">
        <v>32437.807166506042</v>
      </c>
      <c r="J436" s="662">
        <v>0</v>
      </c>
      <c r="K436" s="566" t="s">
        <v>4678</v>
      </c>
      <c r="L436" s="549"/>
      <c r="M436" s="654"/>
      <c r="O436" s="674"/>
      <c r="S436" s="550"/>
      <c r="T436" s="547"/>
      <c r="U436" s="547"/>
      <c r="V436" s="547"/>
      <c r="W436" s="549"/>
    </row>
    <row r="437" spans="1:23">
      <c r="A437" s="565">
        <v>1131</v>
      </c>
      <c r="B437" s="696" t="s">
        <v>5842</v>
      </c>
      <c r="C437" s="566">
        <f t="shared" si="6"/>
        <v>1131</v>
      </c>
      <c r="D437" s="700" t="s">
        <v>2219</v>
      </c>
      <c r="E437" s="701" t="s">
        <v>8315</v>
      </c>
      <c r="F437" s="566">
        <v>1</v>
      </c>
      <c r="G437" s="662">
        <v>0</v>
      </c>
      <c r="H437" s="662">
        <v>30203.19996799816</v>
      </c>
      <c r="I437" s="662">
        <v>31163.703355638507</v>
      </c>
      <c r="J437" s="662">
        <v>0</v>
      </c>
      <c r="K437" s="566" t="s">
        <v>4679</v>
      </c>
      <c r="L437" s="549"/>
      <c r="M437" s="654"/>
      <c r="O437" s="674"/>
      <c r="S437" s="550"/>
      <c r="T437" s="547"/>
      <c r="U437" s="547"/>
      <c r="V437" s="547"/>
      <c r="W437" s="549"/>
    </row>
    <row r="438" spans="1:23">
      <c r="A438" s="565">
        <v>1132</v>
      </c>
      <c r="B438" s="696" t="s">
        <v>5843</v>
      </c>
      <c r="C438" s="566">
        <f t="shared" si="6"/>
        <v>1132</v>
      </c>
      <c r="D438" s="700" t="s">
        <v>2219</v>
      </c>
      <c r="E438" s="701" t="s">
        <v>8316</v>
      </c>
      <c r="F438" s="566">
        <v>1</v>
      </c>
      <c r="G438" s="662">
        <v>0</v>
      </c>
      <c r="H438" s="662">
        <v>0</v>
      </c>
      <c r="I438" s="662">
        <v>0</v>
      </c>
      <c r="J438" s="662">
        <v>22315.052389163557</v>
      </c>
      <c r="K438" s="566" t="s">
        <v>4680</v>
      </c>
      <c r="L438" s="549"/>
      <c r="M438" s="654"/>
      <c r="O438" s="674"/>
      <c r="S438" s="550"/>
      <c r="T438" s="547"/>
      <c r="U438" s="547"/>
      <c r="V438" s="547"/>
      <c r="W438" s="549"/>
    </row>
    <row r="439" spans="1:23">
      <c r="A439" s="565">
        <v>1133</v>
      </c>
      <c r="B439" s="696" t="s">
        <v>5844</v>
      </c>
      <c r="C439" s="566">
        <f t="shared" si="6"/>
        <v>1133</v>
      </c>
      <c r="D439" s="700" t="s">
        <v>2219</v>
      </c>
      <c r="E439" s="701" t="s">
        <v>8317</v>
      </c>
      <c r="F439" s="566">
        <v>1</v>
      </c>
      <c r="G439" s="662">
        <v>0</v>
      </c>
      <c r="H439" s="662">
        <v>0</v>
      </c>
      <c r="I439" s="662">
        <v>0</v>
      </c>
      <c r="J439" s="662">
        <v>21040.948578296026</v>
      </c>
      <c r="K439" s="566" t="s">
        <v>4681</v>
      </c>
      <c r="L439" s="549"/>
      <c r="M439" s="654"/>
      <c r="O439" s="674"/>
      <c r="S439" s="550"/>
      <c r="T439" s="547"/>
      <c r="U439" s="547"/>
      <c r="V439" s="547"/>
      <c r="W439" s="549"/>
    </row>
    <row r="440" spans="1:23">
      <c r="A440" s="565">
        <v>1134</v>
      </c>
      <c r="B440" s="696" t="s">
        <v>5845</v>
      </c>
      <c r="C440" s="566">
        <f t="shared" si="6"/>
        <v>1134</v>
      </c>
      <c r="D440" s="700" t="s">
        <v>2219</v>
      </c>
      <c r="E440" s="701" t="s">
        <v>8318</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5846</v>
      </c>
      <c r="C441" s="566">
        <f t="shared" si="6"/>
        <v>1135</v>
      </c>
      <c r="D441" s="699" t="s">
        <v>2219</v>
      </c>
      <c r="E441" s="701" t="s">
        <v>8319</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5847</v>
      </c>
      <c r="C442" s="566">
        <f t="shared" si="6"/>
        <v>1136</v>
      </c>
      <c r="D442" s="700" t="s">
        <v>2219</v>
      </c>
      <c r="E442" s="701" t="s">
        <v>8320</v>
      </c>
      <c r="F442" s="566">
        <v>1</v>
      </c>
      <c r="G442" s="662">
        <v>0</v>
      </c>
      <c r="H442" s="662">
        <v>0</v>
      </c>
      <c r="I442" s="662">
        <v>32539.735471375443</v>
      </c>
      <c r="J442" s="662">
        <v>33598.946159415151</v>
      </c>
      <c r="K442" s="566" t="s">
        <v>3951</v>
      </c>
      <c r="L442" s="549"/>
      <c r="M442" s="654"/>
      <c r="O442" s="674"/>
      <c r="S442" s="550"/>
      <c r="T442" s="547"/>
      <c r="U442" s="547"/>
      <c r="V442" s="547"/>
      <c r="W442" s="549"/>
    </row>
    <row r="443" spans="1:23">
      <c r="A443" s="565">
        <v>1137</v>
      </c>
      <c r="B443" s="696" t="s">
        <v>5848</v>
      </c>
      <c r="C443" s="566">
        <f t="shared" si="6"/>
        <v>1137</v>
      </c>
      <c r="D443" s="700" t="s">
        <v>2219</v>
      </c>
      <c r="E443" s="701" t="s">
        <v>8321</v>
      </c>
      <c r="F443" s="566">
        <v>1</v>
      </c>
      <c r="G443" s="662">
        <v>0</v>
      </c>
      <c r="H443" s="662">
        <v>0</v>
      </c>
      <c r="I443" s="662">
        <v>31233.779065236224</v>
      </c>
      <c r="J443" s="662">
        <v>32247.327633843925</v>
      </c>
      <c r="K443" s="566" t="s">
        <v>3952</v>
      </c>
      <c r="L443" s="549"/>
      <c r="M443" s="654"/>
      <c r="O443" s="674"/>
      <c r="S443" s="550"/>
      <c r="T443" s="547"/>
      <c r="U443" s="547"/>
      <c r="V443" s="547"/>
      <c r="W443" s="549"/>
    </row>
    <row r="444" spans="1:23">
      <c r="A444" s="565">
        <v>1138</v>
      </c>
      <c r="B444" s="696" t="s">
        <v>5849</v>
      </c>
      <c r="C444" s="566">
        <f t="shared" si="6"/>
        <v>1138</v>
      </c>
      <c r="D444" s="700" t="s">
        <v>2219</v>
      </c>
      <c r="E444" s="701" t="s">
        <v>8322</v>
      </c>
      <c r="F444" s="566">
        <v>1</v>
      </c>
      <c r="G444" s="662">
        <v>0</v>
      </c>
      <c r="H444" s="662">
        <v>0</v>
      </c>
      <c r="I444" s="662">
        <v>28462.603276599366</v>
      </c>
      <c r="J444" s="662">
        <v>29379.231527854467</v>
      </c>
      <c r="K444" s="566" t="s">
        <v>3953</v>
      </c>
      <c r="L444" s="549"/>
      <c r="M444" s="654"/>
      <c r="O444" s="674"/>
      <c r="S444" s="550"/>
      <c r="T444" s="547"/>
      <c r="U444" s="547"/>
      <c r="V444" s="547"/>
      <c r="W444" s="549"/>
    </row>
    <row r="445" spans="1:23">
      <c r="A445" s="565">
        <v>1139</v>
      </c>
      <c r="B445" s="696" t="s">
        <v>5850</v>
      </c>
      <c r="C445" s="566">
        <f t="shared" si="6"/>
        <v>1139</v>
      </c>
      <c r="D445" s="700" t="s">
        <v>2219</v>
      </c>
      <c r="E445" s="701" t="s">
        <v>8323</v>
      </c>
      <c r="F445" s="566">
        <v>1</v>
      </c>
      <c r="G445" s="662">
        <v>0</v>
      </c>
      <c r="H445" s="662">
        <v>0</v>
      </c>
      <c r="I445" s="662">
        <v>27188.499465731853</v>
      </c>
      <c r="J445" s="662">
        <v>28060.594218426584</v>
      </c>
      <c r="K445" s="566" t="s">
        <v>3954</v>
      </c>
      <c r="L445" s="549"/>
      <c r="M445" s="654"/>
      <c r="O445" s="674"/>
      <c r="S445" s="550"/>
      <c r="T445" s="547"/>
      <c r="U445" s="547"/>
      <c r="V445" s="547"/>
      <c r="W445" s="549"/>
    </row>
    <row r="446" spans="1:23">
      <c r="A446" s="565">
        <v>1140</v>
      </c>
      <c r="B446" s="696" t="s">
        <v>5851</v>
      </c>
      <c r="C446" s="566">
        <f t="shared" si="6"/>
        <v>1140</v>
      </c>
      <c r="D446" s="700" t="s">
        <v>2219</v>
      </c>
      <c r="E446" s="701" t="s">
        <v>8324</v>
      </c>
      <c r="F446" s="566">
        <v>1</v>
      </c>
      <c r="G446" s="662">
        <v>0</v>
      </c>
      <c r="H446" s="662">
        <v>0</v>
      </c>
      <c r="I446" s="662">
        <v>36368.417423032355</v>
      </c>
      <c r="J446" s="662">
        <v>37561.510761971076</v>
      </c>
      <c r="K446" s="566" t="s">
        <v>3955</v>
      </c>
      <c r="L446" s="549"/>
      <c r="M446" s="654"/>
      <c r="O446" s="674"/>
      <c r="S446" s="550"/>
      <c r="T446" s="547"/>
      <c r="U446" s="547"/>
      <c r="V446" s="547"/>
      <c r="W446" s="549"/>
    </row>
    <row r="447" spans="1:23">
      <c r="A447" s="565">
        <v>1141</v>
      </c>
      <c r="B447" s="695" t="s">
        <v>5852</v>
      </c>
      <c r="C447" s="566">
        <f t="shared" si="6"/>
        <v>1141</v>
      </c>
      <c r="D447" s="699" t="s">
        <v>2219</v>
      </c>
      <c r="E447" s="701" t="s">
        <v>8325</v>
      </c>
      <c r="F447" s="567">
        <v>1</v>
      </c>
      <c r="G447" s="662">
        <v>0</v>
      </c>
      <c r="H447" s="662">
        <v>0</v>
      </c>
      <c r="I447" s="662">
        <v>35979.815760717756</v>
      </c>
      <c r="J447" s="662">
        <v>37159.318623327083</v>
      </c>
      <c r="K447" s="568" t="s">
        <v>3956</v>
      </c>
      <c r="L447" s="549"/>
      <c r="M447" s="654"/>
      <c r="O447" s="674"/>
      <c r="S447" s="550"/>
      <c r="T447" s="547"/>
      <c r="U447" s="547"/>
      <c r="V447" s="547"/>
      <c r="W447" s="549"/>
    </row>
    <row r="448" spans="1:23">
      <c r="A448" s="565">
        <v>1142</v>
      </c>
      <c r="B448" s="695" t="s">
        <v>5853</v>
      </c>
      <c r="C448" s="566">
        <f t="shared" si="6"/>
        <v>1142</v>
      </c>
      <c r="D448" s="699" t="s">
        <v>2219</v>
      </c>
      <c r="E448" s="701" t="s">
        <v>8326</v>
      </c>
      <c r="F448" s="567">
        <v>1</v>
      </c>
      <c r="G448" s="662">
        <v>0</v>
      </c>
      <c r="H448" s="662">
        <v>0</v>
      </c>
      <c r="I448" s="662">
        <v>34705.711949850243</v>
      </c>
      <c r="J448" s="662">
        <v>35840.634288029527</v>
      </c>
      <c r="K448" s="568" t="s">
        <v>3957</v>
      </c>
      <c r="L448" s="549"/>
      <c r="M448" s="654"/>
      <c r="O448" s="674"/>
      <c r="S448" s="550"/>
      <c r="T448" s="547"/>
      <c r="U448" s="547"/>
      <c r="V448" s="547"/>
      <c r="W448" s="549"/>
    </row>
    <row r="449" spans="1:23">
      <c r="A449" s="565">
        <v>1143</v>
      </c>
      <c r="B449" s="696" t="s">
        <v>5854</v>
      </c>
      <c r="C449" s="566">
        <f t="shared" si="6"/>
        <v>1143</v>
      </c>
      <c r="D449" s="700" t="s">
        <v>2219</v>
      </c>
      <c r="E449" s="701" t="s">
        <v>8327</v>
      </c>
      <c r="F449" s="566">
        <v>1</v>
      </c>
      <c r="G449" s="662">
        <v>0</v>
      </c>
      <c r="H449" s="662">
        <v>0</v>
      </c>
      <c r="I449" s="662">
        <v>42232.480212550152</v>
      </c>
      <c r="J449" s="662">
        <v>43630.60634317121</v>
      </c>
      <c r="K449" s="566" t="s">
        <v>4682</v>
      </c>
      <c r="L449" s="549"/>
      <c r="M449" s="654"/>
      <c r="O449" s="674"/>
      <c r="S449" s="550"/>
      <c r="T449" s="547"/>
      <c r="U449" s="547"/>
      <c r="V449" s="547"/>
      <c r="W449" s="549"/>
    </row>
    <row r="450" spans="1:23">
      <c r="A450" s="565">
        <v>1144</v>
      </c>
      <c r="B450" s="696" t="s">
        <v>5855</v>
      </c>
      <c r="C450" s="566">
        <f t="shared" si="6"/>
        <v>1144</v>
      </c>
      <c r="D450" s="700" t="s">
        <v>2219</v>
      </c>
      <c r="E450" s="701" t="s">
        <v>8328</v>
      </c>
      <c r="F450" s="566">
        <v>1</v>
      </c>
      <c r="G450" s="662">
        <v>0</v>
      </c>
      <c r="H450" s="662">
        <v>0</v>
      </c>
      <c r="I450" s="662">
        <v>40958.376401682624</v>
      </c>
      <c r="J450" s="662">
        <v>42311.922007873669</v>
      </c>
      <c r="K450" s="566" t="s">
        <v>4683</v>
      </c>
      <c r="L450" s="549"/>
      <c r="M450" s="654"/>
      <c r="O450" s="674"/>
      <c r="S450" s="550"/>
      <c r="T450" s="547"/>
      <c r="U450" s="547"/>
      <c r="V450" s="547"/>
      <c r="W450" s="549"/>
    </row>
    <row r="451" spans="1:23">
      <c r="A451" s="565">
        <v>1145</v>
      </c>
      <c r="B451" s="695" t="s">
        <v>5856</v>
      </c>
      <c r="C451" s="566">
        <f t="shared" si="6"/>
        <v>1145</v>
      </c>
      <c r="D451" s="699" t="s">
        <v>2219</v>
      </c>
      <c r="E451" s="701" t="s">
        <v>8329</v>
      </c>
      <c r="F451" s="567">
        <v>1</v>
      </c>
      <c r="G451" s="662">
        <v>0</v>
      </c>
      <c r="H451" s="662">
        <v>0</v>
      </c>
      <c r="I451" s="662">
        <v>40168.432038944753</v>
      </c>
      <c r="J451" s="662">
        <v>41494.373459650131</v>
      </c>
      <c r="K451" s="568" t="s">
        <v>4684</v>
      </c>
      <c r="L451" s="549"/>
      <c r="M451" s="654"/>
      <c r="O451" s="674"/>
      <c r="S451" s="550"/>
      <c r="T451" s="547"/>
      <c r="U451" s="547"/>
      <c r="V451" s="547"/>
      <c r="W451" s="549"/>
    </row>
    <row r="452" spans="1:23">
      <c r="A452" s="565">
        <v>1146</v>
      </c>
      <c r="B452" s="695" t="s">
        <v>5857</v>
      </c>
      <c r="C452" s="566">
        <f t="shared" si="6"/>
        <v>1146</v>
      </c>
      <c r="D452" s="699" t="s">
        <v>2219</v>
      </c>
      <c r="E452" s="701" t="s">
        <v>8330</v>
      </c>
      <c r="F452" s="567">
        <v>1</v>
      </c>
      <c r="G452" s="662">
        <v>0</v>
      </c>
      <c r="H452" s="662">
        <v>0</v>
      </c>
      <c r="I452" s="662">
        <v>38894.328228077233</v>
      </c>
      <c r="J452" s="662">
        <v>40175.736150222241</v>
      </c>
      <c r="K452" s="568" t="s">
        <v>4685</v>
      </c>
      <c r="L452" s="549"/>
      <c r="M452" s="654"/>
      <c r="O452" s="674"/>
      <c r="S452" s="550"/>
      <c r="T452" s="547"/>
      <c r="U452" s="547"/>
      <c r="V452" s="547"/>
      <c r="W452" s="549"/>
    </row>
    <row r="453" spans="1:23">
      <c r="A453" s="565">
        <v>1147</v>
      </c>
      <c r="B453" s="696" t="s">
        <v>5858</v>
      </c>
      <c r="C453" s="566">
        <f t="shared" si="6"/>
        <v>1147</v>
      </c>
      <c r="D453" s="700" t="s">
        <v>2219</v>
      </c>
      <c r="E453" s="701" t="s">
        <v>8331</v>
      </c>
      <c r="F453" s="566">
        <v>1</v>
      </c>
      <c r="G453" s="662">
        <v>0</v>
      </c>
      <c r="H453" s="662">
        <v>0</v>
      </c>
      <c r="I453" s="662">
        <v>23727.308148055807</v>
      </c>
      <c r="J453" s="662">
        <v>24252.829091556068</v>
      </c>
      <c r="K453" s="566" t="s">
        <v>3958</v>
      </c>
      <c r="L453" s="549"/>
      <c r="M453" s="654"/>
      <c r="O453" s="674"/>
      <c r="S453" s="550"/>
      <c r="T453" s="547"/>
      <c r="U453" s="547"/>
      <c r="V453" s="547"/>
      <c r="W453" s="549"/>
    </row>
    <row r="454" spans="1:23">
      <c r="A454" s="565">
        <v>1148</v>
      </c>
      <c r="B454" s="696" t="s">
        <v>5859</v>
      </c>
      <c r="C454" s="566">
        <f t="shared" si="6"/>
        <v>1148</v>
      </c>
      <c r="D454" s="700" t="s">
        <v>2219</v>
      </c>
      <c r="E454" s="701" t="s">
        <v>8332</v>
      </c>
      <c r="F454" s="566">
        <v>1</v>
      </c>
      <c r="G454" s="662">
        <v>0</v>
      </c>
      <c r="H454" s="662">
        <v>0</v>
      </c>
      <c r="I454" s="662">
        <v>0</v>
      </c>
      <c r="J454" s="662">
        <v>21297.180071783736</v>
      </c>
      <c r="K454" s="566" t="s">
        <v>4686</v>
      </c>
      <c r="L454" s="549"/>
      <c r="M454" s="654"/>
      <c r="O454" s="674"/>
      <c r="S454" s="550"/>
      <c r="T454" s="547"/>
      <c r="U454" s="547"/>
      <c r="V454" s="547"/>
      <c r="W454" s="549"/>
    </row>
    <row r="455" spans="1:23">
      <c r="A455" s="565">
        <v>1149</v>
      </c>
      <c r="B455" s="695" t="s">
        <v>5860</v>
      </c>
      <c r="C455" s="566">
        <f t="shared" si="6"/>
        <v>1149</v>
      </c>
      <c r="D455" s="699" t="s">
        <v>2219</v>
      </c>
      <c r="E455" s="701" t="s">
        <v>8333</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5861</v>
      </c>
      <c r="C456" s="566">
        <f t="shared" si="6"/>
        <v>1150</v>
      </c>
      <c r="D456" s="699" t="s">
        <v>2219</v>
      </c>
      <c r="E456" s="701" t="s">
        <v>8334</v>
      </c>
      <c r="F456" s="567">
        <v>1</v>
      </c>
      <c r="G456" s="662">
        <v>0</v>
      </c>
      <c r="H456" s="662">
        <v>0</v>
      </c>
      <c r="I456" s="662">
        <v>27025.923856090372</v>
      </c>
      <c r="J456" s="662">
        <v>27632.288503200198</v>
      </c>
      <c r="K456" s="568" t="s">
        <v>4687</v>
      </c>
      <c r="L456" s="549"/>
      <c r="M456" s="654"/>
      <c r="O456" s="673"/>
      <c r="S456" s="550"/>
      <c r="T456" s="547"/>
      <c r="U456" s="547"/>
      <c r="V456" s="547"/>
      <c r="W456" s="549"/>
    </row>
    <row r="457" spans="1:23">
      <c r="A457" s="565">
        <v>1151</v>
      </c>
      <c r="B457" s="696" t="s">
        <v>5862</v>
      </c>
      <c r="C457" s="566">
        <f t="shared" ref="C457:C520" si="7">A457</f>
        <v>1151</v>
      </c>
      <c r="D457" s="700" t="s">
        <v>2219</v>
      </c>
      <c r="E457" s="701" t="s">
        <v>8335</v>
      </c>
      <c r="F457" s="566">
        <v>1</v>
      </c>
      <c r="G457" s="662">
        <v>0</v>
      </c>
      <c r="H457" s="662">
        <v>0</v>
      </c>
      <c r="I457" s="662">
        <v>0</v>
      </c>
      <c r="J457" s="662">
        <v>27263.4339632341</v>
      </c>
      <c r="K457" s="566" t="s">
        <v>4688</v>
      </c>
      <c r="L457" s="549"/>
      <c r="M457" s="654"/>
      <c r="O457" s="673"/>
      <c r="S457" s="550"/>
      <c r="T457" s="547"/>
      <c r="U457" s="547"/>
      <c r="V457" s="547"/>
      <c r="W457" s="549"/>
    </row>
    <row r="458" spans="1:23">
      <c r="A458" s="565">
        <v>1152</v>
      </c>
      <c r="B458" s="696" t="s">
        <v>5863</v>
      </c>
      <c r="C458" s="566">
        <f t="shared" si="7"/>
        <v>1152</v>
      </c>
      <c r="D458" s="700" t="s">
        <v>2219</v>
      </c>
      <c r="E458" s="701" t="s">
        <v>8336</v>
      </c>
      <c r="F458" s="566">
        <v>1</v>
      </c>
      <c r="G458" s="662">
        <v>0</v>
      </c>
      <c r="H458" s="662">
        <v>0</v>
      </c>
      <c r="I458" s="662">
        <v>30640.827686817862</v>
      </c>
      <c r="J458" s="662">
        <v>31335.803325570261</v>
      </c>
      <c r="K458" s="566" t="s">
        <v>4689</v>
      </c>
      <c r="L458" s="549"/>
      <c r="M458" s="654"/>
      <c r="O458" s="673"/>
      <c r="S458" s="550"/>
      <c r="T458" s="547"/>
      <c r="U458" s="547"/>
      <c r="V458" s="547"/>
      <c r="W458" s="549"/>
    </row>
    <row r="459" spans="1:23">
      <c r="A459" s="565">
        <v>1153</v>
      </c>
      <c r="B459" s="695" t="s">
        <v>5864</v>
      </c>
      <c r="C459" s="566">
        <f t="shared" si="7"/>
        <v>1153</v>
      </c>
      <c r="D459" s="699" t="s">
        <v>2219</v>
      </c>
      <c r="E459" s="701" t="s">
        <v>8337</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5865</v>
      </c>
      <c r="C460" s="566">
        <f t="shared" si="7"/>
        <v>1154</v>
      </c>
      <c r="D460" s="700" t="s">
        <v>2219</v>
      </c>
      <c r="E460" s="701" t="s">
        <v>8338</v>
      </c>
      <c r="F460" s="566">
        <v>1</v>
      </c>
      <c r="G460" s="662">
        <v>0</v>
      </c>
      <c r="H460" s="662">
        <v>0</v>
      </c>
      <c r="I460" s="662">
        <v>28387.20685400927</v>
      </c>
      <c r="J460" s="662">
        <v>29045.459934782753</v>
      </c>
      <c r="K460" s="566" t="s">
        <v>3959</v>
      </c>
      <c r="L460" s="549"/>
      <c r="M460" s="654"/>
      <c r="O460" s="672"/>
      <c r="S460" s="550"/>
      <c r="T460" s="547"/>
      <c r="U460" s="547"/>
      <c r="V460" s="547"/>
      <c r="W460" s="549"/>
    </row>
    <row r="461" spans="1:23">
      <c r="A461" s="565">
        <v>1155</v>
      </c>
      <c r="B461" s="696" t="s">
        <v>5866</v>
      </c>
      <c r="C461" s="566">
        <f t="shared" si="7"/>
        <v>1155</v>
      </c>
      <c r="D461" s="700" t="s">
        <v>2219</v>
      </c>
      <c r="E461" s="701" t="s">
        <v>8339</v>
      </c>
      <c r="F461" s="566">
        <v>1</v>
      </c>
      <c r="G461" s="662">
        <v>25159.51371049483</v>
      </c>
      <c r="H461" s="662">
        <v>0</v>
      </c>
      <c r="I461" s="662">
        <v>0</v>
      </c>
      <c r="J461" s="662">
        <v>0</v>
      </c>
      <c r="K461" s="566" t="s">
        <v>5219</v>
      </c>
      <c r="L461" s="549"/>
      <c r="M461" s="654"/>
      <c r="O461" s="672"/>
      <c r="S461" s="550"/>
      <c r="T461" s="547"/>
      <c r="U461" s="547"/>
      <c r="V461" s="547"/>
      <c r="W461" s="549"/>
    </row>
    <row r="462" spans="1:23">
      <c r="A462" s="565">
        <v>1156</v>
      </c>
      <c r="B462" s="696" t="s">
        <v>5867</v>
      </c>
      <c r="C462" s="566">
        <f t="shared" si="7"/>
        <v>1156</v>
      </c>
      <c r="D462" s="700" t="s">
        <v>2219</v>
      </c>
      <c r="E462" s="701" t="s">
        <v>8340</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5868</v>
      </c>
      <c r="C463" s="566">
        <f t="shared" si="7"/>
        <v>1157</v>
      </c>
      <c r="D463" s="700" t="s">
        <v>2219</v>
      </c>
      <c r="E463" s="701" t="s">
        <v>8341</v>
      </c>
      <c r="F463" s="566">
        <v>1</v>
      </c>
      <c r="G463" s="662">
        <v>27503.475902354887</v>
      </c>
      <c r="H463" s="662">
        <v>0</v>
      </c>
      <c r="I463" s="662">
        <v>0</v>
      </c>
      <c r="J463" s="662">
        <v>0</v>
      </c>
      <c r="K463" s="566" t="s">
        <v>5220</v>
      </c>
      <c r="L463" s="549"/>
      <c r="M463" s="654"/>
      <c r="O463" s="672"/>
      <c r="S463" s="550"/>
      <c r="T463" s="547"/>
      <c r="U463" s="547"/>
      <c r="V463" s="547"/>
      <c r="W463" s="549"/>
    </row>
    <row r="464" spans="1:23">
      <c r="A464" s="565">
        <v>1158</v>
      </c>
      <c r="B464" s="695" t="s">
        <v>5869</v>
      </c>
      <c r="C464" s="566">
        <f t="shared" si="7"/>
        <v>1158</v>
      </c>
      <c r="D464" s="699" t="s">
        <v>2219</v>
      </c>
      <c r="E464" s="701" t="s">
        <v>8342</v>
      </c>
      <c r="F464" s="567">
        <v>1</v>
      </c>
      <c r="G464" s="662">
        <v>28010.278538432729</v>
      </c>
      <c r="H464" s="662">
        <v>0</v>
      </c>
      <c r="I464" s="662">
        <v>0</v>
      </c>
      <c r="J464" s="662">
        <v>0</v>
      </c>
      <c r="K464" s="568" t="s">
        <v>5221</v>
      </c>
      <c r="L464" s="549"/>
      <c r="M464" s="654"/>
      <c r="O464" s="671"/>
      <c r="S464" s="550"/>
      <c r="T464" s="547"/>
      <c r="U464" s="547"/>
      <c r="V464" s="547"/>
      <c r="W464" s="549"/>
    </row>
    <row r="465" spans="1:23">
      <c r="A465" s="565">
        <v>1159</v>
      </c>
      <c r="B465" s="696" t="s">
        <v>5870</v>
      </c>
      <c r="C465" s="566">
        <f t="shared" si="7"/>
        <v>1159</v>
      </c>
      <c r="D465" s="700" t="s">
        <v>2219</v>
      </c>
      <c r="E465" s="701" t="s">
        <v>8343</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5871</v>
      </c>
      <c r="C466" s="566">
        <f t="shared" si="7"/>
        <v>1160</v>
      </c>
      <c r="D466" s="700" t="s">
        <v>2219</v>
      </c>
      <c r="E466" s="701" t="s">
        <v>8344</v>
      </c>
      <c r="F466" s="566">
        <v>1</v>
      </c>
      <c r="G466" s="662">
        <v>0</v>
      </c>
      <c r="H466" s="662">
        <v>0</v>
      </c>
      <c r="I466" s="662">
        <v>29690.787258242963</v>
      </c>
      <c r="J466" s="662">
        <v>31855.132236635316</v>
      </c>
      <c r="K466" s="566" t="s">
        <v>4690</v>
      </c>
      <c r="L466" s="549"/>
      <c r="M466" s="654"/>
      <c r="O466" s="671"/>
      <c r="S466" s="550"/>
      <c r="T466" s="547"/>
      <c r="U466" s="547"/>
      <c r="V466" s="547"/>
      <c r="W466" s="549"/>
    </row>
    <row r="467" spans="1:23">
      <c r="A467" s="565">
        <v>1161</v>
      </c>
      <c r="B467" s="696" t="s">
        <v>5872</v>
      </c>
      <c r="C467" s="566">
        <f t="shared" si="7"/>
        <v>1161</v>
      </c>
      <c r="D467" s="700" t="s">
        <v>2219</v>
      </c>
      <c r="E467" s="701" t="s">
        <v>8345</v>
      </c>
      <c r="F467" s="566">
        <v>1</v>
      </c>
      <c r="G467" s="662">
        <v>30527.351977490573</v>
      </c>
      <c r="H467" s="662">
        <v>0</v>
      </c>
      <c r="I467" s="662">
        <v>0</v>
      </c>
      <c r="J467" s="662">
        <v>0</v>
      </c>
      <c r="K467" s="566" t="s">
        <v>5222</v>
      </c>
      <c r="L467" s="549"/>
      <c r="M467" s="654"/>
      <c r="O467" s="671"/>
      <c r="S467" s="550"/>
      <c r="T467" s="547"/>
      <c r="U467" s="547"/>
      <c r="V467" s="547"/>
      <c r="W467" s="549"/>
    </row>
    <row r="468" spans="1:23">
      <c r="A468" s="565">
        <v>1162</v>
      </c>
      <c r="B468" s="696" t="s">
        <v>5873</v>
      </c>
      <c r="C468" s="566">
        <f t="shared" si="7"/>
        <v>1162</v>
      </c>
      <c r="D468" s="700" t="s">
        <v>2219</v>
      </c>
      <c r="E468" s="701" t="s">
        <v>8346</v>
      </c>
      <c r="F468" s="566">
        <v>1</v>
      </c>
      <c r="G468" s="662">
        <v>31745.838734544152</v>
      </c>
      <c r="H468" s="662">
        <v>0</v>
      </c>
      <c r="I468" s="662">
        <v>0</v>
      </c>
      <c r="J468" s="662">
        <v>0</v>
      </c>
      <c r="K468" s="566" t="s">
        <v>5223</v>
      </c>
      <c r="L468" s="549"/>
      <c r="M468" s="654"/>
      <c r="O468" s="671"/>
      <c r="S468" s="550"/>
      <c r="T468" s="547"/>
      <c r="U468" s="547"/>
      <c r="V468" s="547"/>
      <c r="W468" s="549"/>
    </row>
    <row r="469" spans="1:23">
      <c r="A469" s="565">
        <v>1163</v>
      </c>
      <c r="B469" s="696" t="s">
        <v>5874</v>
      </c>
      <c r="C469" s="566">
        <f t="shared" si="7"/>
        <v>1163</v>
      </c>
      <c r="D469" s="700" t="s">
        <v>2219</v>
      </c>
      <c r="E469" s="701" t="s">
        <v>8347</v>
      </c>
      <c r="F469" s="566">
        <v>1</v>
      </c>
      <c r="G469" s="662">
        <v>34111.12831042747</v>
      </c>
      <c r="H469" s="662">
        <v>0</v>
      </c>
      <c r="I469" s="662">
        <v>0</v>
      </c>
      <c r="J469" s="662">
        <v>0</v>
      </c>
      <c r="K469" s="566" t="s">
        <v>5224</v>
      </c>
      <c r="L469" s="549"/>
      <c r="M469" s="654"/>
      <c r="O469" s="671"/>
      <c r="S469" s="550"/>
      <c r="T469" s="547"/>
      <c r="U469" s="547"/>
      <c r="V469" s="547"/>
      <c r="W469" s="549"/>
    </row>
    <row r="470" spans="1:23">
      <c r="A470" s="565">
        <v>1164</v>
      </c>
      <c r="B470" s="696" t="s">
        <v>5875</v>
      </c>
      <c r="C470" s="566">
        <f t="shared" si="7"/>
        <v>1164</v>
      </c>
      <c r="D470" s="700" t="s">
        <v>2219</v>
      </c>
      <c r="E470" s="701" t="s">
        <v>8348</v>
      </c>
      <c r="F470" s="566">
        <v>1</v>
      </c>
      <c r="G470" s="662">
        <v>36046.407718802286</v>
      </c>
      <c r="H470" s="662">
        <v>0</v>
      </c>
      <c r="I470" s="662">
        <v>0</v>
      </c>
      <c r="J470" s="662">
        <v>0</v>
      </c>
      <c r="K470" s="566" t="s">
        <v>5225</v>
      </c>
      <c r="L470" s="549"/>
      <c r="M470" s="654"/>
      <c r="O470" s="671"/>
      <c r="S470" s="550"/>
      <c r="T470" s="547"/>
      <c r="U470" s="547"/>
      <c r="V470" s="547"/>
      <c r="W470" s="549"/>
    </row>
    <row r="471" spans="1:23">
      <c r="A471" s="565">
        <v>1165</v>
      </c>
      <c r="B471" s="696" t="s">
        <v>5876</v>
      </c>
      <c r="C471" s="566">
        <f t="shared" si="7"/>
        <v>1165</v>
      </c>
      <c r="D471" s="700" t="s">
        <v>2219</v>
      </c>
      <c r="E471" s="701" t="s">
        <v>8349</v>
      </c>
      <c r="F471" s="566">
        <v>1</v>
      </c>
      <c r="G471" s="662">
        <v>35329.615067481049</v>
      </c>
      <c r="H471" s="662">
        <v>0</v>
      </c>
      <c r="I471" s="662">
        <v>0</v>
      </c>
      <c r="J471" s="662">
        <v>0</v>
      </c>
      <c r="K471" s="566" t="s">
        <v>5226</v>
      </c>
      <c r="L471" s="549"/>
      <c r="M471" s="654"/>
      <c r="O471" s="671"/>
      <c r="S471" s="550"/>
      <c r="T471" s="547"/>
      <c r="U471" s="547"/>
      <c r="V471" s="547"/>
      <c r="W471" s="549"/>
    </row>
    <row r="472" spans="1:23">
      <c r="A472" s="565">
        <v>1166</v>
      </c>
      <c r="B472" s="696" t="s">
        <v>5877</v>
      </c>
      <c r="C472" s="566">
        <f t="shared" si="7"/>
        <v>1166</v>
      </c>
      <c r="D472" s="700" t="s">
        <v>2219</v>
      </c>
      <c r="E472" s="701" t="s">
        <v>8350</v>
      </c>
      <c r="F472" s="566">
        <v>1</v>
      </c>
      <c r="G472" s="662">
        <v>31602.470858096443</v>
      </c>
      <c r="H472" s="662">
        <v>0</v>
      </c>
      <c r="I472" s="662">
        <v>0</v>
      </c>
      <c r="J472" s="662">
        <v>0</v>
      </c>
      <c r="K472" s="566" t="s">
        <v>5227</v>
      </c>
      <c r="L472" s="549"/>
      <c r="M472" s="654"/>
      <c r="O472" s="671"/>
      <c r="S472" s="550"/>
      <c r="T472" s="547"/>
      <c r="U472" s="547"/>
      <c r="V472" s="547"/>
      <c r="W472" s="549"/>
    </row>
    <row r="473" spans="1:23">
      <c r="A473" s="565">
        <v>1167</v>
      </c>
      <c r="B473" s="696" t="s">
        <v>5878</v>
      </c>
      <c r="C473" s="566">
        <f t="shared" si="7"/>
        <v>1167</v>
      </c>
      <c r="D473" s="700" t="s">
        <v>2219</v>
      </c>
      <c r="E473" s="701" t="s">
        <v>8351</v>
      </c>
      <c r="F473" s="566">
        <v>1</v>
      </c>
      <c r="G473" s="662">
        <v>32820.957615150037</v>
      </c>
      <c r="H473" s="662">
        <v>0</v>
      </c>
      <c r="I473" s="662">
        <v>0</v>
      </c>
      <c r="J473" s="662">
        <v>0</v>
      </c>
      <c r="K473" s="566" t="s">
        <v>5228</v>
      </c>
      <c r="L473" s="549"/>
      <c r="M473" s="654"/>
      <c r="O473" s="668"/>
      <c r="S473" s="550"/>
      <c r="T473" s="547"/>
      <c r="U473" s="547"/>
      <c r="V473" s="547"/>
      <c r="W473" s="549"/>
    </row>
    <row r="474" spans="1:23">
      <c r="A474" s="565">
        <v>1168</v>
      </c>
      <c r="B474" s="696" t="s">
        <v>5879</v>
      </c>
      <c r="C474" s="566">
        <f t="shared" si="7"/>
        <v>1168</v>
      </c>
      <c r="D474" s="700" t="s">
        <v>2219</v>
      </c>
      <c r="E474" s="701" t="s">
        <v>8352</v>
      </c>
      <c r="F474" s="566">
        <v>1</v>
      </c>
      <c r="G474" s="662">
        <v>35186.293921950659</v>
      </c>
      <c r="H474" s="662">
        <v>0</v>
      </c>
      <c r="I474" s="662">
        <v>0</v>
      </c>
      <c r="J474" s="662">
        <v>0</v>
      </c>
      <c r="K474" s="566" t="s">
        <v>5229</v>
      </c>
      <c r="L474" s="549"/>
      <c r="M474" s="654"/>
      <c r="O474" s="668"/>
      <c r="S474" s="550"/>
      <c r="T474" s="547"/>
      <c r="U474" s="547"/>
      <c r="V474" s="547"/>
      <c r="W474" s="549"/>
    </row>
    <row r="475" spans="1:23">
      <c r="A475" s="565">
        <v>1169</v>
      </c>
      <c r="B475" s="696" t="s">
        <v>5880</v>
      </c>
      <c r="C475" s="566">
        <f t="shared" si="7"/>
        <v>1169</v>
      </c>
      <c r="D475" s="700" t="s">
        <v>2219</v>
      </c>
      <c r="E475" s="701" t="s">
        <v>8353</v>
      </c>
      <c r="F475" s="566">
        <v>1</v>
      </c>
      <c r="G475" s="662">
        <v>37121.573330325475</v>
      </c>
      <c r="H475" s="662">
        <v>0</v>
      </c>
      <c r="I475" s="662">
        <v>0</v>
      </c>
      <c r="J475" s="662">
        <v>0</v>
      </c>
      <c r="K475" s="566" t="s">
        <v>5230</v>
      </c>
      <c r="L475" s="549"/>
      <c r="M475" s="654"/>
      <c r="O475" s="668"/>
      <c r="S475" s="550"/>
      <c r="T475" s="547"/>
      <c r="U475" s="547"/>
      <c r="V475" s="547"/>
      <c r="W475" s="549"/>
    </row>
    <row r="476" spans="1:23">
      <c r="A476" s="565">
        <v>1170</v>
      </c>
      <c r="B476" s="696" t="s">
        <v>5881</v>
      </c>
      <c r="C476" s="566">
        <f t="shared" si="7"/>
        <v>1170</v>
      </c>
      <c r="D476" s="700" t="s">
        <v>2219</v>
      </c>
      <c r="E476" s="701" t="s">
        <v>8354</v>
      </c>
      <c r="F476" s="566">
        <v>1</v>
      </c>
      <c r="G476" s="662">
        <v>36404.780679004238</v>
      </c>
      <c r="H476" s="662">
        <v>0</v>
      </c>
      <c r="I476" s="662">
        <v>0</v>
      </c>
      <c r="J476" s="662">
        <v>0</v>
      </c>
      <c r="K476" s="566" t="s">
        <v>5231</v>
      </c>
      <c r="L476" s="549"/>
      <c r="M476" s="654"/>
      <c r="O476" s="668"/>
      <c r="S476" s="550"/>
      <c r="T476" s="547"/>
      <c r="U476" s="547"/>
      <c r="V476" s="547"/>
      <c r="W476" s="549"/>
    </row>
    <row r="477" spans="1:23">
      <c r="A477" s="565">
        <v>1171</v>
      </c>
      <c r="B477" s="696" t="s">
        <v>5882</v>
      </c>
      <c r="C477" s="566">
        <f t="shared" si="7"/>
        <v>1171</v>
      </c>
      <c r="D477" s="700" t="s">
        <v>2219</v>
      </c>
      <c r="E477" s="701" t="s">
        <v>8355</v>
      </c>
      <c r="F477" s="566">
        <v>1</v>
      </c>
      <c r="G477" s="662">
        <v>39916.919804634606</v>
      </c>
      <c r="H477" s="662">
        <v>0</v>
      </c>
      <c r="I477" s="662">
        <v>0</v>
      </c>
      <c r="J477" s="662">
        <v>0</v>
      </c>
      <c r="K477" s="566" t="s">
        <v>5232</v>
      </c>
      <c r="L477" s="549"/>
      <c r="M477" s="654"/>
      <c r="O477" s="668"/>
      <c r="S477" s="550"/>
      <c r="T477" s="547"/>
      <c r="U477" s="547"/>
      <c r="V477" s="547"/>
      <c r="W477" s="549"/>
    </row>
    <row r="478" spans="1:23">
      <c r="A478" s="565">
        <v>1172</v>
      </c>
      <c r="B478" s="696" t="s">
        <v>5883</v>
      </c>
      <c r="C478" s="566">
        <f t="shared" si="7"/>
        <v>1172</v>
      </c>
      <c r="D478" s="700" t="s">
        <v>2219</v>
      </c>
      <c r="E478" s="701" t="s">
        <v>8356</v>
      </c>
      <c r="F478" s="566">
        <v>1</v>
      </c>
      <c r="G478" s="662">
        <v>40992.085416157788</v>
      </c>
      <c r="H478" s="662">
        <v>0</v>
      </c>
      <c r="I478" s="662">
        <v>0</v>
      </c>
      <c r="J478" s="662">
        <v>0</v>
      </c>
      <c r="K478" s="566" t="s">
        <v>5233</v>
      </c>
      <c r="L478" s="549"/>
      <c r="M478" s="654"/>
      <c r="O478" s="668"/>
      <c r="S478" s="550"/>
      <c r="T478" s="547"/>
      <c r="U478" s="547"/>
      <c r="V478" s="547"/>
      <c r="W478" s="549"/>
    </row>
    <row r="479" spans="1:23">
      <c r="A479" s="565">
        <v>1173</v>
      </c>
      <c r="B479" s="696" t="s">
        <v>5884</v>
      </c>
      <c r="C479" s="566">
        <f t="shared" si="7"/>
        <v>1173</v>
      </c>
      <c r="D479" s="700" t="s">
        <v>2219</v>
      </c>
      <c r="E479" s="701" t="s">
        <v>8357</v>
      </c>
      <c r="F479" s="566">
        <v>1</v>
      </c>
      <c r="G479" s="662">
        <v>41923.883151233276</v>
      </c>
      <c r="H479" s="662">
        <v>0</v>
      </c>
      <c r="I479" s="662">
        <v>0</v>
      </c>
      <c r="J479" s="662">
        <v>0</v>
      </c>
      <c r="K479" s="566" t="s">
        <v>5234</v>
      </c>
      <c r="L479" s="549"/>
      <c r="M479" s="654"/>
      <c r="O479" s="668"/>
      <c r="S479" s="550"/>
      <c r="T479" s="547"/>
      <c r="U479" s="547"/>
      <c r="V479" s="547"/>
      <c r="W479" s="549"/>
    </row>
    <row r="480" spans="1:23">
      <c r="A480" s="565">
        <v>1174</v>
      </c>
      <c r="B480" s="696" t="s">
        <v>5885</v>
      </c>
      <c r="C480" s="566">
        <f t="shared" si="7"/>
        <v>1174</v>
      </c>
      <c r="D480" s="700" t="s">
        <v>2219</v>
      </c>
      <c r="E480" s="701" t="s">
        <v>8358</v>
      </c>
      <c r="F480" s="566">
        <v>1</v>
      </c>
      <c r="G480" s="662">
        <v>40562.028517731975</v>
      </c>
      <c r="H480" s="662">
        <v>0</v>
      </c>
      <c r="I480" s="662">
        <v>0</v>
      </c>
      <c r="J480" s="662">
        <v>0</v>
      </c>
      <c r="K480" s="566" t="s">
        <v>5235</v>
      </c>
      <c r="L480" s="549"/>
      <c r="M480" s="654"/>
      <c r="O480" s="668"/>
      <c r="S480" s="550"/>
      <c r="T480" s="547"/>
      <c r="U480" s="547"/>
      <c r="V480" s="547"/>
      <c r="W480" s="549"/>
    </row>
    <row r="481" spans="1:23">
      <c r="A481" s="565">
        <v>1175</v>
      </c>
      <c r="B481" s="696" t="s">
        <v>5886</v>
      </c>
      <c r="C481" s="566">
        <f t="shared" si="7"/>
        <v>1175</v>
      </c>
      <c r="D481" s="700" t="s">
        <v>2219</v>
      </c>
      <c r="E481" s="701" t="s">
        <v>8359</v>
      </c>
      <c r="F481" s="566">
        <v>1</v>
      </c>
      <c r="G481" s="662">
        <v>42999.00203183914</v>
      </c>
      <c r="H481" s="662">
        <v>0</v>
      </c>
      <c r="I481" s="662">
        <v>0</v>
      </c>
      <c r="J481" s="662">
        <v>0</v>
      </c>
      <c r="K481" s="566" t="s">
        <v>5236</v>
      </c>
      <c r="L481" s="549"/>
      <c r="M481" s="654"/>
      <c r="O481" s="668"/>
      <c r="S481" s="550"/>
      <c r="T481" s="547"/>
      <c r="U481" s="547"/>
      <c r="V481" s="547"/>
      <c r="W481" s="549"/>
    </row>
    <row r="482" spans="1:23">
      <c r="A482" s="565">
        <v>1176</v>
      </c>
      <c r="B482" s="696" t="s">
        <v>5887</v>
      </c>
      <c r="C482" s="566">
        <f t="shared" si="7"/>
        <v>1176</v>
      </c>
      <c r="D482" s="700" t="s">
        <v>2219</v>
      </c>
      <c r="E482" s="701" t="s">
        <v>8360</v>
      </c>
      <c r="F482" s="566">
        <v>1</v>
      </c>
      <c r="G482" s="662">
        <v>41637.147398337846</v>
      </c>
      <c r="H482" s="662">
        <v>0</v>
      </c>
      <c r="I482" s="662">
        <v>0</v>
      </c>
      <c r="J482" s="662">
        <v>0</v>
      </c>
      <c r="K482" s="566" t="s">
        <v>5237</v>
      </c>
      <c r="L482" s="549"/>
      <c r="M482" s="654"/>
      <c r="O482" s="668"/>
      <c r="S482" s="550"/>
      <c r="T482" s="547"/>
      <c r="U482" s="547"/>
      <c r="V482" s="547"/>
      <c r="W482" s="549"/>
    </row>
    <row r="483" spans="1:23">
      <c r="A483" s="565">
        <v>1177</v>
      </c>
      <c r="B483" s="696" t="s">
        <v>5888</v>
      </c>
      <c r="C483" s="566">
        <f t="shared" si="7"/>
        <v>1177</v>
      </c>
      <c r="D483" s="700" t="s">
        <v>2219</v>
      </c>
      <c r="E483" s="701" t="s">
        <v>8361</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5889</v>
      </c>
      <c r="C484" s="566">
        <f t="shared" si="7"/>
        <v>1178</v>
      </c>
      <c r="D484" s="700" t="s">
        <v>2219</v>
      </c>
      <c r="E484" s="701" t="s">
        <v>8362</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5890</v>
      </c>
      <c r="C485" s="566">
        <f t="shared" si="7"/>
        <v>1179</v>
      </c>
      <c r="D485" s="700" t="s">
        <v>2219</v>
      </c>
      <c r="E485" s="701" t="s">
        <v>8363</v>
      </c>
      <c r="F485" s="566">
        <v>1</v>
      </c>
      <c r="G485" s="662">
        <v>0</v>
      </c>
      <c r="H485" s="662">
        <v>38306.0549429979</v>
      </c>
      <c r="I485" s="662">
        <v>39890.934003832976</v>
      </c>
      <c r="J485" s="662">
        <v>41392.398377255682</v>
      </c>
      <c r="K485" s="566" t="s">
        <v>3960</v>
      </c>
      <c r="L485" s="549"/>
      <c r="M485" s="654"/>
      <c r="O485" s="668"/>
      <c r="S485" s="550"/>
      <c r="T485" s="547"/>
      <c r="U485" s="547"/>
      <c r="V485" s="547"/>
      <c r="W485" s="549"/>
    </row>
    <row r="486" spans="1:23">
      <c r="A486" s="565">
        <v>1180</v>
      </c>
      <c r="B486" s="696" t="s">
        <v>5891</v>
      </c>
      <c r="C486" s="566">
        <f t="shared" si="7"/>
        <v>1180</v>
      </c>
      <c r="D486" s="700" t="s">
        <v>2219</v>
      </c>
      <c r="E486" s="701" t="s">
        <v>8364</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5892</v>
      </c>
      <c r="C487" s="566">
        <f t="shared" si="7"/>
        <v>1181</v>
      </c>
      <c r="D487" s="700" t="s">
        <v>2219</v>
      </c>
      <c r="E487" s="701" t="s">
        <v>8365</v>
      </c>
      <c r="F487" s="566">
        <v>1</v>
      </c>
      <c r="G487" s="662">
        <v>0</v>
      </c>
      <c r="H487" s="662">
        <v>46992.630094785956</v>
      </c>
      <c r="I487" s="662">
        <v>48777.657674493414</v>
      </c>
      <c r="J487" s="662">
        <v>50656.614398009762</v>
      </c>
      <c r="K487" s="566" t="s">
        <v>4691</v>
      </c>
      <c r="L487" s="549"/>
      <c r="M487" s="654"/>
      <c r="O487" s="668"/>
      <c r="S487" s="550"/>
      <c r="T487" s="547"/>
      <c r="U487" s="547"/>
      <c r="V487" s="547"/>
      <c r="W487" s="549"/>
    </row>
    <row r="488" spans="1:23">
      <c r="A488" s="565">
        <v>1182</v>
      </c>
      <c r="B488" s="696" t="s">
        <v>5893</v>
      </c>
      <c r="C488" s="566">
        <f t="shared" si="7"/>
        <v>1182</v>
      </c>
      <c r="D488" s="700" t="s">
        <v>2219</v>
      </c>
      <c r="E488" s="701" t="s">
        <v>8366</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5894</v>
      </c>
      <c r="C489" s="566">
        <f t="shared" si="7"/>
        <v>1183</v>
      </c>
      <c r="D489" s="700" t="s">
        <v>2219</v>
      </c>
      <c r="E489" s="701" t="s">
        <v>8367</v>
      </c>
      <c r="F489" s="566">
        <v>1</v>
      </c>
      <c r="G489" s="662">
        <v>0</v>
      </c>
      <c r="H489" s="662">
        <v>0</v>
      </c>
      <c r="I489" s="662">
        <v>0</v>
      </c>
      <c r="J489" s="662">
        <v>54505.338399331638</v>
      </c>
      <c r="K489" s="566" t="s">
        <v>4692</v>
      </c>
      <c r="L489" s="549"/>
      <c r="M489" s="654"/>
      <c r="O489" s="668"/>
      <c r="S489" s="550"/>
      <c r="T489" s="547"/>
      <c r="U489" s="547"/>
      <c r="V489" s="547"/>
      <c r="W489" s="549"/>
    </row>
    <row r="490" spans="1:23">
      <c r="A490" s="565">
        <v>1184</v>
      </c>
      <c r="B490" s="696" t="s">
        <v>5895</v>
      </c>
      <c r="C490" s="566">
        <f t="shared" si="7"/>
        <v>1184</v>
      </c>
      <c r="D490" s="700" t="s">
        <v>2219</v>
      </c>
      <c r="E490" s="701" t="s">
        <v>8368</v>
      </c>
      <c r="F490" s="566">
        <v>1</v>
      </c>
      <c r="G490" s="662">
        <v>0</v>
      </c>
      <c r="H490" s="662">
        <v>0</v>
      </c>
      <c r="I490" s="662">
        <v>0</v>
      </c>
      <c r="J490" s="662">
        <v>66984.117300117316</v>
      </c>
      <c r="K490" s="566" t="s">
        <v>4693</v>
      </c>
      <c r="L490" s="549"/>
      <c r="M490" s="654"/>
      <c r="O490" s="668"/>
      <c r="S490" s="550"/>
      <c r="T490" s="547"/>
      <c r="U490" s="547"/>
      <c r="V490" s="547"/>
      <c r="W490" s="549"/>
    </row>
    <row r="491" spans="1:23">
      <c r="A491" s="565">
        <v>1185</v>
      </c>
      <c r="B491" s="696" t="s">
        <v>5896</v>
      </c>
      <c r="C491" s="566">
        <f t="shared" si="7"/>
        <v>1185</v>
      </c>
      <c r="D491" s="700" t="s">
        <v>2219</v>
      </c>
      <c r="E491" s="701" t="s">
        <v>8369</v>
      </c>
      <c r="F491" s="566">
        <v>1</v>
      </c>
      <c r="G491" s="662">
        <v>50809.377258243825</v>
      </c>
      <c r="H491" s="662">
        <v>0</v>
      </c>
      <c r="I491" s="662">
        <v>0</v>
      </c>
      <c r="J491" s="662">
        <v>0</v>
      </c>
      <c r="K491" s="566" t="s">
        <v>5238</v>
      </c>
      <c r="L491" s="549"/>
      <c r="M491" s="654"/>
      <c r="O491" s="668"/>
      <c r="S491" s="550"/>
      <c r="T491" s="547"/>
      <c r="U491" s="547"/>
      <c r="V491" s="547"/>
      <c r="W491" s="549"/>
    </row>
    <row r="492" spans="1:23">
      <c r="A492" s="565">
        <v>1186</v>
      </c>
      <c r="B492" s="696" t="s">
        <v>5897</v>
      </c>
      <c r="C492" s="566">
        <f t="shared" si="7"/>
        <v>1186</v>
      </c>
      <c r="D492" s="700" t="s">
        <v>2219</v>
      </c>
      <c r="E492" s="701" t="s">
        <v>8370</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5898</v>
      </c>
      <c r="C493" s="566">
        <f t="shared" si="7"/>
        <v>1187</v>
      </c>
      <c r="D493" s="700" t="s">
        <v>2219</v>
      </c>
      <c r="E493" s="701" t="s">
        <v>8371</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5899</v>
      </c>
      <c r="C494" s="566">
        <f t="shared" si="7"/>
        <v>1188</v>
      </c>
      <c r="D494" s="700" t="s">
        <v>2219</v>
      </c>
      <c r="E494" s="701" t="s">
        <v>8372</v>
      </c>
      <c r="F494" s="566">
        <v>1</v>
      </c>
      <c r="G494" s="662">
        <v>0</v>
      </c>
      <c r="H494" s="662">
        <v>0</v>
      </c>
      <c r="I494" s="662">
        <v>54862.660262129473</v>
      </c>
      <c r="J494" s="662">
        <v>56745.82963136844</v>
      </c>
      <c r="K494" s="566" t="s">
        <v>3961</v>
      </c>
      <c r="L494" s="549"/>
      <c r="M494" s="654"/>
      <c r="O494" s="668"/>
      <c r="S494" s="550"/>
      <c r="T494" s="547"/>
      <c r="U494" s="547"/>
      <c r="V494" s="547"/>
      <c r="W494" s="549"/>
    </row>
    <row r="495" spans="1:23">
      <c r="A495" s="565">
        <v>1189</v>
      </c>
      <c r="B495" s="696" t="s">
        <v>5900</v>
      </c>
      <c r="C495" s="566">
        <f t="shared" si="7"/>
        <v>1189</v>
      </c>
      <c r="D495" s="700" t="s">
        <v>2219</v>
      </c>
      <c r="E495" s="701" t="s">
        <v>8373</v>
      </c>
      <c r="F495" s="566">
        <v>1</v>
      </c>
      <c r="G495" s="662">
        <v>53901.585686301936</v>
      </c>
      <c r="H495" s="662">
        <v>0</v>
      </c>
      <c r="I495" s="662">
        <v>0</v>
      </c>
      <c r="J495" s="662">
        <v>0</v>
      </c>
      <c r="K495" s="566" t="s">
        <v>5239</v>
      </c>
      <c r="L495" s="549"/>
      <c r="M495" s="654"/>
      <c r="O495" s="668"/>
      <c r="S495" s="550"/>
      <c r="T495" s="547"/>
      <c r="U495" s="547"/>
      <c r="V495" s="547"/>
      <c r="W495" s="549"/>
    </row>
    <row r="496" spans="1:23">
      <c r="A496" s="565">
        <v>1190</v>
      </c>
      <c r="B496" s="696" t="s">
        <v>5901</v>
      </c>
      <c r="C496" s="566">
        <f t="shared" si="7"/>
        <v>1190</v>
      </c>
      <c r="D496" s="700" t="s">
        <v>2219</v>
      </c>
      <c r="E496" s="701" t="s">
        <v>8374</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5902</v>
      </c>
      <c r="C497" s="566">
        <f t="shared" si="7"/>
        <v>1191</v>
      </c>
      <c r="D497" s="700" t="s">
        <v>2219</v>
      </c>
      <c r="E497" s="701" t="s">
        <v>8375</v>
      </c>
      <c r="F497" s="566">
        <v>1</v>
      </c>
      <c r="G497" s="662">
        <v>53695.438457764729</v>
      </c>
      <c r="H497" s="662">
        <v>0</v>
      </c>
      <c r="I497" s="662">
        <v>0</v>
      </c>
      <c r="J497" s="662">
        <v>0</v>
      </c>
      <c r="K497" s="566" t="s">
        <v>5240</v>
      </c>
      <c r="L497" s="549"/>
      <c r="M497" s="654"/>
      <c r="O497" s="668"/>
      <c r="S497" s="550"/>
      <c r="T497" s="547"/>
      <c r="U497" s="547"/>
      <c r="V497" s="547"/>
      <c r="W497" s="549"/>
    </row>
    <row r="498" spans="1:23">
      <c r="A498" s="565">
        <v>1192</v>
      </c>
      <c r="B498" s="696" t="s">
        <v>5903</v>
      </c>
      <c r="C498" s="566">
        <f t="shared" si="7"/>
        <v>1192</v>
      </c>
      <c r="D498" s="700" t="s">
        <v>2219</v>
      </c>
      <c r="E498" s="701" t="s">
        <v>8376</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5904</v>
      </c>
      <c r="C499" s="566">
        <f t="shared" si="7"/>
        <v>1193</v>
      </c>
      <c r="D499" s="700" t="s">
        <v>2219</v>
      </c>
      <c r="E499" s="701" t="s">
        <v>8377</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5905</v>
      </c>
      <c r="C500" s="566">
        <f t="shared" si="7"/>
        <v>1194</v>
      </c>
      <c r="D500" s="700" t="s">
        <v>2219</v>
      </c>
      <c r="E500" s="701" t="s">
        <v>8378</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5906</v>
      </c>
      <c r="C501" s="566">
        <f t="shared" si="7"/>
        <v>1195</v>
      </c>
      <c r="D501" s="700" t="s">
        <v>2219</v>
      </c>
      <c r="E501" s="701" t="s">
        <v>8379</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5907</v>
      </c>
      <c r="C502" s="566">
        <f t="shared" si="7"/>
        <v>1196</v>
      </c>
      <c r="D502" s="699" t="s">
        <v>2219</v>
      </c>
      <c r="E502" s="701" t="s">
        <v>8380</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5908</v>
      </c>
      <c r="C503" s="566">
        <f t="shared" si="7"/>
        <v>1197</v>
      </c>
      <c r="D503" s="699" t="s">
        <v>2219</v>
      </c>
      <c r="E503" s="701" t="s">
        <v>8381</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5909</v>
      </c>
      <c r="C504" s="566">
        <f t="shared" si="7"/>
        <v>1198</v>
      </c>
      <c r="D504" s="699" t="s">
        <v>2219</v>
      </c>
      <c r="E504" s="701" t="s">
        <v>8382</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5910</v>
      </c>
      <c r="C505" s="566">
        <f t="shared" si="7"/>
        <v>1199</v>
      </c>
      <c r="D505" s="699" t="s">
        <v>2219</v>
      </c>
      <c r="E505" s="701" t="s">
        <v>8383</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5911</v>
      </c>
      <c r="C506" s="566">
        <f t="shared" si="7"/>
        <v>1200</v>
      </c>
      <c r="D506" s="699" t="s">
        <v>2219</v>
      </c>
      <c r="E506" s="701" t="s">
        <v>8384</v>
      </c>
      <c r="F506" s="567">
        <v>1</v>
      </c>
      <c r="G506" s="662">
        <v>0</v>
      </c>
      <c r="H506" s="662">
        <v>0</v>
      </c>
      <c r="I506" s="662">
        <v>42218.65297199224</v>
      </c>
      <c r="J506" s="662">
        <v>43228.85639074209</v>
      </c>
      <c r="K506" s="568" t="s">
        <v>4694</v>
      </c>
      <c r="L506" s="549"/>
      <c r="M506" s="654"/>
      <c r="O506" s="668"/>
      <c r="S506" s="550"/>
      <c r="T506" s="547"/>
      <c r="U506" s="547"/>
      <c r="V506" s="547"/>
      <c r="W506" s="549"/>
    </row>
    <row r="507" spans="1:23">
      <c r="A507" s="565">
        <v>1201</v>
      </c>
      <c r="B507" s="695" t="s">
        <v>5912</v>
      </c>
      <c r="C507" s="566">
        <f t="shared" si="7"/>
        <v>1201</v>
      </c>
      <c r="D507" s="699" t="s">
        <v>2219</v>
      </c>
      <c r="E507" s="701" t="s">
        <v>8385</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5913</v>
      </c>
      <c r="C508" s="566">
        <f t="shared" si="7"/>
        <v>1202</v>
      </c>
      <c r="D508" s="699" t="s">
        <v>2219</v>
      </c>
      <c r="E508" s="701" t="s">
        <v>8386</v>
      </c>
      <c r="F508" s="567">
        <v>1</v>
      </c>
      <c r="G508" s="662">
        <v>0</v>
      </c>
      <c r="H508" s="662">
        <v>0</v>
      </c>
      <c r="I508" s="662">
        <v>49519.470259646427</v>
      </c>
      <c r="J508" s="662">
        <v>50714.374286905811</v>
      </c>
      <c r="K508" s="568" t="s">
        <v>4695</v>
      </c>
      <c r="L508" s="549"/>
      <c r="M508" s="654"/>
      <c r="O508" s="668"/>
      <c r="S508" s="550"/>
      <c r="T508" s="547"/>
      <c r="U508" s="547"/>
      <c r="V508" s="547"/>
      <c r="W508" s="549"/>
    </row>
    <row r="509" spans="1:23">
      <c r="A509" s="565">
        <v>1203</v>
      </c>
      <c r="B509" s="695" t="s">
        <v>5914</v>
      </c>
      <c r="C509" s="566">
        <f t="shared" si="7"/>
        <v>1203</v>
      </c>
      <c r="D509" s="699" t="s">
        <v>2219</v>
      </c>
      <c r="E509" s="701" t="s">
        <v>8387</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5915</v>
      </c>
      <c r="C510" s="566">
        <f t="shared" si="7"/>
        <v>1204</v>
      </c>
      <c r="D510" s="699" t="s">
        <v>2219</v>
      </c>
      <c r="E510" s="701" t="s">
        <v>8388</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5916</v>
      </c>
      <c r="C511" s="566">
        <f t="shared" si="7"/>
        <v>1205</v>
      </c>
      <c r="D511" s="699" t="s">
        <v>2219</v>
      </c>
      <c r="E511" s="701" t="s">
        <v>8389</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5917</v>
      </c>
      <c r="C512" s="566">
        <f t="shared" si="7"/>
        <v>1206</v>
      </c>
      <c r="D512" s="699" t="s">
        <v>2219</v>
      </c>
      <c r="E512" s="701" t="s">
        <v>8390</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5918</v>
      </c>
      <c r="C513" s="566">
        <f t="shared" si="7"/>
        <v>1207</v>
      </c>
      <c r="D513" s="700" t="s">
        <v>2219</v>
      </c>
      <c r="E513" s="701" t="s">
        <v>8391</v>
      </c>
      <c r="F513" s="566">
        <v>1</v>
      </c>
      <c r="G513" s="662">
        <v>0</v>
      </c>
      <c r="H513" s="662">
        <v>0</v>
      </c>
      <c r="I513" s="662">
        <v>54553.394998161413</v>
      </c>
      <c r="J513" s="662">
        <v>56429.664027129467</v>
      </c>
      <c r="K513" s="566" t="s">
        <v>3962</v>
      </c>
      <c r="L513" s="549"/>
      <c r="M513" s="654"/>
      <c r="O513" s="668"/>
      <c r="S513" s="550"/>
      <c r="T513" s="547"/>
      <c r="U513" s="547"/>
      <c r="V513" s="547"/>
      <c r="W513" s="549"/>
    </row>
    <row r="514" spans="1:23">
      <c r="A514" s="565">
        <v>1208</v>
      </c>
      <c r="B514" s="696" t="s">
        <v>5919</v>
      </c>
      <c r="C514" s="566">
        <f t="shared" si="7"/>
        <v>1208</v>
      </c>
      <c r="D514" s="700" t="s">
        <v>2220</v>
      </c>
      <c r="E514" s="701" t="s">
        <v>8392</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5920</v>
      </c>
      <c r="C515" s="566">
        <f t="shared" si="7"/>
        <v>1209</v>
      </c>
      <c r="D515" s="699" t="s">
        <v>2220</v>
      </c>
      <c r="E515" s="701" t="s">
        <v>8393</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5921</v>
      </c>
      <c r="C516" s="566">
        <f t="shared" si="7"/>
        <v>1210</v>
      </c>
      <c r="D516" s="699" t="s">
        <v>2220</v>
      </c>
      <c r="E516" s="701" t="s">
        <v>8394</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5922</v>
      </c>
      <c r="C517" s="566">
        <f t="shared" si="7"/>
        <v>1211</v>
      </c>
      <c r="D517" s="699" t="s">
        <v>2220</v>
      </c>
      <c r="E517" s="701" t="s">
        <v>8395</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5923</v>
      </c>
      <c r="C518" s="566">
        <f t="shared" si="7"/>
        <v>1212</v>
      </c>
      <c r="D518" s="700" t="s">
        <v>2220</v>
      </c>
      <c r="E518" s="701" t="s">
        <v>8396</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5924</v>
      </c>
      <c r="C519" s="566">
        <f t="shared" si="7"/>
        <v>1213</v>
      </c>
      <c r="D519" s="699" t="s">
        <v>2220</v>
      </c>
      <c r="E519" s="701" t="s">
        <v>8397</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5925</v>
      </c>
      <c r="C520" s="566">
        <f t="shared" si="7"/>
        <v>1214</v>
      </c>
      <c r="D520" s="699" t="s">
        <v>2220</v>
      </c>
      <c r="E520" s="701" t="s">
        <v>8398</v>
      </c>
      <c r="F520" s="567">
        <v>1</v>
      </c>
      <c r="G520" s="662">
        <v>0</v>
      </c>
      <c r="H520" s="662">
        <v>12190.988782416203</v>
      </c>
      <c r="I520" s="662">
        <v>12525.021657999185</v>
      </c>
      <c r="J520" s="662">
        <v>12876.656606738721</v>
      </c>
      <c r="K520" s="568" t="s">
        <v>3963</v>
      </c>
      <c r="L520" s="549"/>
      <c r="M520" s="654"/>
      <c r="O520" s="668"/>
      <c r="S520" s="550"/>
      <c r="T520" s="547"/>
      <c r="U520" s="547"/>
      <c r="V520" s="547"/>
      <c r="W520" s="549"/>
    </row>
    <row r="521" spans="1:23">
      <c r="A521" s="565">
        <v>1215</v>
      </c>
      <c r="B521" s="696" t="s">
        <v>5926</v>
      </c>
      <c r="C521" s="566">
        <f t="shared" ref="C521:C584" si="8">A521</f>
        <v>1215</v>
      </c>
      <c r="D521" s="700" t="s">
        <v>2221</v>
      </c>
      <c r="E521" s="701" t="s">
        <v>8399</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5927</v>
      </c>
      <c r="C522" s="566">
        <f t="shared" si="8"/>
        <v>1216</v>
      </c>
      <c r="D522" s="700" t="s">
        <v>2221</v>
      </c>
      <c r="E522" s="701" t="s">
        <v>8400</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5928</v>
      </c>
      <c r="C523" s="566">
        <f t="shared" si="8"/>
        <v>1217</v>
      </c>
      <c r="D523" s="700" t="s">
        <v>2221</v>
      </c>
      <c r="E523" s="701" t="s">
        <v>8401</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5929</v>
      </c>
      <c r="C524" s="566">
        <f t="shared" si="8"/>
        <v>1218</v>
      </c>
      <c r="D524" s="700" t="s">
        <v>2221</v>
      </c>
      <c r="E524" s="701" t="s">
        <v>8402</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5930</v>
      </c>
      <c r="C525" s="566">
        <f t="shared" si="8"/>
        <v>1219</v>
      </c>
      <c r="D525" s="700" t="s">
        <v>2221</v>
      </c>
      <c r="E525" s="701" t="s">
        <v>8403</v>
      </c>
      <c r="F525" s="566">
        <v>1</v>
      </c>
      <c r="G525" s="662">
        <v>0</v>
      </c>
      <c r="H525" s="662">
        <v>0</v>
      </c>
      <c r="I525" s="662">
        <v>30446.616120682655</v>
      </c>
      <c r="J525" s="662">
        <v>0</v>
      </c>
      <c r="K525" s="566" t="s">
        <v>4696</v>
      </c>
      <c r="L525" s="549"/>
      <c r="M525" s="654"/>
      <c r="O525" s="652"/>
      <c r="S525" s="550"/>
      <c r="T525" s="547"/>
      <c r="U525" s="547"/>
      <c r="V525" s="547"/>
      <c r="W525" s="549"/>
    </row>
    <row r="526" spans="1:23">
      <c r="A526" s="565">
        <v>1220</v>
      </c>
      <c r="B526" s="695" t="s">
        <v>5931</v>
      </c>
      <c r="C526" s="566">
        <f t="shared" si="8"/>
        <v>1220</v>
      </c>
      <c r="D526" s="699" t="s">
        <v>2221</v>
      </c>
      <c r="E526" s="701" t="s">
        <v>8404</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5932</v>
      </c>
      <c r="C527" s="566">
        <f t="shared" si="8"/>
        <v>1221</v>
      </c>
      <c r="D527" s="699" t="s">
        <v>2221</v>
      </c>
      <c r="E527" s="701" t="s">
        <v>8405</v>
      </c>
      <c r="F527" s="567">
        <v>1</v>
      </c>
      <c r="G527" s="662">
        <v>0</v>
      </c>
      <c r="H527" s="662">
        <v>32618.233721277054</v>
      </c>
      <c r="I527" s="662">
        <v>33440.274354828289</v>
      </c>
      <c r="J527" s="662">
        <v>34305.596535036275</v>
      </c>
      <c r="K527" s="568" t="s">
        <v>4697</v>
      </c>
      <c r="L527" s="549"/>
      <c r="M527" s="654"/>
      <c r="O527" s="652"/>
      <c r="S527" s="550"/>
      <c r="T527" s="547"/>
      <c r="U527" s="547"/>
      <c r="V527" s="547"/>
      <c r="W527" s="549"/>
    </row>
    <row r="528" spans="1:23">
      <c r="A528" s="565">
        <v>1222</v>
      </c>
      <c r="B528" s="695" t="s">
        <v>5933</v>
      </c>
      <c r="C528" s="566">
        <f t="shared" si="8"/>
        <v>1222</v>
      </c>
      <c r="D528" s="699" t="s">
        <v>2221</v>
      </c>
      <c r="E528" s="701" t="s">
        <v>8406</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5934</v>
      </c>
      <c r="C529" s="566">
        <f t="shared" si="8"/>
        <v>1223</v>
      </c>
      <c r="D529" s="700" t="s">
        <v>2221</v>
      </c>
      <c r="E529" s="701" t="s">
        <v>8407</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5935</v>
      </c>
      <c r="C530" s="566">
        <f t="shared" si="8"/>
        <v>1224</v>
      </c>
      <c r="D530" s="699" t="s">
        <v>2221</v>
      </c>
      <c r="E530" s="701" t="s">
        <v>8408</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5936</v>
      </c>
      <c r="C531" s="566">
        <f t="shared" si="8"/>
        <v>1225</v>
      </c>
      <c r="D531" s="699" t="s">
        <v>2221</v>
      </c>
      <c r="E531" s="701" t="s">
        <v>8409</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5937</v>
      </c>
      <c r="C532" s="566">
        <f t="shared" si="8"/>
        <v>1226</v>
      </c>
      <c r="D532" s="700" t="s">
        <v>2221</v>
      </c>
      <c r="E532" s="701" t="s">
        <v>8410</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5938</v>
      </c>
      <c r="C533" s="566">
        <f t="shared" si="8"/>
        <v>1227</v>
      </c>
      <c r="D533" s="700" t="s">
        <v>2221</v>
      </c>
      <c r="E533" s="701" t="s">
        <v>8411</v>
      </c>
      <c r="F533" s="566">
        <v>1</v>
      </c>
      <c r="G533" s="662">
        <v>0</v>
      </c>
      <c r="H533" s="662">
        <v>0</v>
      </c>
      <c r="I533" s="662">
        <v>0</v>
      </c>
      <c r="J533" s="662">
        <v>24615.42894403715</v>
      </c>
      <c r="K533" s="566" t="s">
        <v>4698</v>
      </c>
      <c r="L533" s="549"/>
      <c r="M533" s="654"/>
      <c r="O533" s="652"/>
      <c r="S533" s="550"/>
      <c r="T533" s="547"/>
      <c r="U533" s="547"/>
      <c r="V533" s="547"/>
      <c r="W533" s="549"/>
    </row>
    <row r="534" spans="1:23">
      <c r="A534" s="565">
        <v>1228</v>
      </c>
      <c r="B534" s="696" t="s">
        <v>5939</v>
      </c>
      <c r="C534" s="566">
        <f t="shared" si="8"/>
        <v>1228</v>
      </c>
      <c r="D534" s="700" t="s">
        <v>2221</v>
      </c>
      <c r="E534" s="701" t="s">
        <v>8412</v>
      </c>
      <c r="F534" s="566">
        <v>1</v>
      </c>
      <c r="G534" s="662">
        <v>0</v>
      </c>
      <c r="H534" s="662">
        <v>0</v>
      </c>
      <c r="I534" s="662">
        <v>25496.239904511996</v>
      </c>
      <c r="J534" s="662">
        <v>26310.430833706294</v>
      </c>
      <c r="K534" s="566" t="s">
        <v>3964</v>
      </c>
      <c r="L534" s="549"/>
      <c r="M534" s="654"/>
      <c r="O534" s="652"/>
      <c r="S534" s="550"/>
      <c r="T534" s="547"/>
      <c r="U534" s="547"/>
      <c r="V534" s="547"/>
      <c r="W534" s="549"/>
    </row>
    <row r="535" spans="1:23">
      <c r="A535" s="565">
        <v>1229</v>
      </c>
      <c r="B535" s="696" t="s">
        <v>5940</v>
      </c>
      <c r="C535" s="566">
        <f t="shared" si="8"/>
        <v>1229</v>
      </c>
      <c r="D535" s="700" t="s">
        <v>2221</v>
      </c>
      <c r="E535" s="701" t="s">
        <v>8413</v>
      </c>
      <c r="F535" s="566">
        <v>1</v>
      </c>
      <c r="G535" s="662">
        <v>0</v>
      </c>
      <c r="H535" s="662">
        <v>0</v>
      </c>
      <c r="I535" s="662">
        <v>21155.100170743146</v>
      </c>
      <c r="J535" s="662">
        <v>21817.020528997371</v>
      </c>
      <c r="K535" s="566" t="s">
        <v>3965</v>
      </c>
      <c r="L535" s="549"/>
      <c r="M535" s="654"/>
      <c r="O535" s="652"/>
      <c r="S535" s="550"/>
      <c r="T535" s="547"/>
      <c r="U535" s="547"/>
      <c r="V535" s="547"/>
      <c r="W535" s="549"/>
    </row>
    <row r="536" spans="1:23">
      <c r="A536" s="565">
        <v>1230</v>
      </c>
      <c r="B536" s="696" t="s">
        <v>5941</v>
      </c>
      <c r="C536" s="566">
        <f t="shared" si="8"/>
        <v>1230</v>
      </c>
      <c r="D536" s="700" t="s">
        <v>2221</v>
      </c>
      <c r="E536" s="701" t="s">
        <v>8414</v>
      </c>
      <c r="F536" s="566">
        <v>1</v>
      </c>
      <c r="G536" s="662">
        <v>0</v>
      </c>
      <c r="H536" s="662">
        <v>0</v>
      </c>
      <c r="I536" s="662">
        <v>19896.798798636228</v>
      </c>
      <c r="J536" s="662">
        <v>20514.547644879694</v>
      </c>
      <c r="K536" s="566" t="s">
        <v>3966</v>
      </c>
      <c r="L536" s="549"/>
      <c r="M536" s="654"/>
      <c r="O536" s="652"/>
      <c r="S536" s="550"/>
      <c r="T536" s="547"/>
      <c r="U536" s="547"/>
      <c r="V536" s="547"/>
      <c r="W536" s="549"/>
    </row>
    <row r="537" spans="1:23">
      <c r="A537" s="565">
        <v>1231</v>
      </c>
      <c r="B537" s="696" t="s">
        <v>5942</v>
      </c>
      <c r="C537" s="566">
        <f t="shared" si="8"/>
        <v>1231</v>
      </c>
      <c r="D537" s="700" t="s">
        <v>2221</v>
      </c>
      <c r="E537" s="701" t="s">
        <v>8415</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5943</v>
      </c>
      <c r="C538" s="566">
        <f t="shared" si="8"/>
        <v>1232</v>
      </c>
      <c r="D538" s="700" t="s">
        <v>2221</v>
      </c>
      <c r="E538" s="701" t="s">
        <v>8416</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5944</v>
      </c>
      <c r="C539" s="566">
        <f t="shared" si="8"/>
        <v>1233</v>
      </c>
      <c r="D539" s="700" t="s">
        <v>2221</v>
      </c>
      <c r="E539" s="701" t="s">
        <v>8417</v>
      </c>
      <c r="F539" s="566">
        <v>1</v>
      </c>
      <c r="G539" s="662">
        <v>9994.8489881791029</v>
      </c>
      <c r="H539" s="662">
        <v>0</v>
      </c>
      <c r="I539" s="662">
        <v>0</v>
      </c>
      <c r="J539" s="662">
        <v>0</v>
      </c>
      <c r="K539" s="566" t="s">
        <v>5241</v>
      </c>
      <c r="L539" s="549"/>
      <c r="M539" s="654"/>
      <c r="O539" s="652"/>
      <c r="S539" s="550"/>
      <c r="T539" s="547"/>
      <c r="U539" s="547"/>
      <c r="V539" s="547"/>
      <c r="W539" s="549"/>
    </row>
    <row r="540" spans="1:23">
      <c r="A540" s="565">
        <v>1234</v>
      </c>
      <c r="B540" s="696" t="s">
        <v>5945</v>
      </c>
      <c r="C540" s="566">
        <f t="shared" si="8"/>
        <v>1234</v>
      </c>
      <c r="D540" s="700" t="s">
        <v>2221</v>
      </c>
      <c r="E540" s="701" t="s">
        <v>8418</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5946</v>
      </c>
      <c r="C541" s="566">
        <f t="shared" si="8"/>
        <v>1235</v>
      </c>
      <c r="D541" s="699" t="s">
        <v>2221</v>
      </c>
      <c r="E541" s="701" t="s">
        <v>8419</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5947</v>
      </c>
      <c r="C542" s="566">
        <f t="shared" si="8"/>
        <v>1236</v>
      </c>
      <c r="D542" s="699" t="s">
        <v>2221</v>
      </c>
      <c r="E542" s="701" t="s">
        <v>8420</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5948</v>
      </c>
      <c r="C543" s="566">
        <f t="shared" si="8"/>
        <v>1237</v>
      </c>
      <c r="D543" s="699" t="s">
        <v>2221</v>
      </c>
      <c r="E543" s="701" t="s">
        <v>8421</v>
      </c>
      <c r="F543" s="567">
        <v>1</v>
      </c>
      <c r="G543" s="662">
        <v>13342.636952292554</v>
      </c>
      <c r="H543" s="662">
        <v>0</v>
      </c>
      <c r="I543" s="662">
        <v>0</v>
      </c>
      <c r="J543" s="662">
        <v>0</v>
      </c>
      <c r="K543" s="568" t="s">
        <v>5242</v>
      </c>
      <c r="L543" s="549"/>
      <c r="M543" s="654"/>
      <c r="O543" s="652"/>
      <c r="S543" s="550"/>
      <c r="T543" s="547"/>
      <c r="U543" s="547"/>
      <c r="V543" s="547"/>
      <c r="W543" s="549"/>
    </row>
    <row r="544" spans="1:23">
      <c r="A544" s="565">
        <v>1238</v>
      </c>
      <c r="B544" s="695" t="s">
        <v>5949</v>
      </c>
      <c r="C544" s="566">
        <f t="shared" si="8"/>
        <v>1238</v>
      </c>
      <c r="D544" s="699" t="s">
        <v>2221</v>
      </c>
      <c r="E544" s="701" t="s">
        <v>8422</v>
      </c>
      <c r="F544" s="567">
        <v>1</v>
      </c>
      <c r="G544" s="662">
        <v>12439.66475371838</v>
      </c>
      <c r="H544" s="662">
        <v>0</v>
      </c>
      <c r="I544" s="662">
        <v>0</v>
      </c>
      <c r="J544" s="662">
        <v>0</v>
      </c>
      <c r="K544" s="568" t="s">
        <v>5243</v>
      </c>
      <c r="L544" s="549"/>
      <c r="M544" s="654"/>
      <c r="O544" s="652"/>
      <c r="S544" s="550"/>
      <c r="T544" s="547"/>
      <c r="U544" s="547"/>
      <c r="V544" s="547"/>
      <c r="W544" s="549"/>
    </row>
    <row r="545" spans="1:23">
      <c r="A545" s="565">
        <v>1239</v>
      </c>
      <c r="B545" s="695" t="s">
        <v>5950</v>
      </c>
      <c r="C545" s="566">
        <f t="shared" si="8"/>
        <v>1239</v>
      </c>
      <c r="D545" s="699" t="s">
        <v>2221</v>
      </c>
      <c r="E545" s="701" t="s">
        <v>8423</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5951</v>
      </c>
      <c r="C546" s="566">
        <f t="shared" si="8"/>
        <v>1240</v>
      </c>
      <c r="D546" s="700" t="s">
        <v>2221</v>
      </c>
      <c r="E546" s="701" t="s">
        <v>8424</v>
      </c>
      <c r="F546" s="566">
        <v>1</v>
      </c>
      <c r="G546" s="662">
        <v>0</v>
      </c>
      <c r="H546" s="662">
        <v>0</v>
      </c>
      <c r="I546" s="662">
        <v>17831.566962358858</v>
      </c>
      <c r="J546" s="662">
        <v>18242.299355416086</v>
      </c>
      <c r="K546" s="566" t="s">
        <v>3967</v>
      </c>
      <c r="L546" s="549"/>
      <c r="M546" s="654"/>
      <c r="O546" s="652"/>
      <c r="S546" s="550"/>
      <c r="T546" s="547"/>
      <c r="U546" s="547"/>
      <c r="V546" s="547"/>
      <c r="W546" s="549"/>
    </row>
    <row r="547" spans="1:23">
      <c r="A547" s="565">
        <v>1241</v>
      </c>
      <c r="B547" s="695" t="s">
        <v>5952</v>
      </c>
      <c r="C547" s="566">
        <f t="shared" si="8"/>
        <v>1241</v>
      </c>
      <c r="D547" s="699" t="s">
        <v>2221</v>
      </c>
      <c r="E547" s="701" t="s">
        <v>8425</v>
      </c>
      <c r="F547" s="567">
        <v>1</v>
      </c>
      <c r="G547" s="662">
        <v>0</v>
      </c>
      <c r="H547" s="662">
        <v>0</v>
      </c>
      <c r="I547" s="662">
        <v>20018.652913052352</v>
      </c>
      <c r="J547" s="662">
        <v>20475.222721943705</v>
      </c>
      <c r="K547" s="568" t="s">
        <v>4699</v>
      </c>
      <c r="L547" s="549"/>
      <c r="M547" s="654"/>
      <c r="O547" s="652"/>
      <c r="S547" s="550"/>
      <c r="T547" s="547"/>
      <c r="U547" s="547"/>
      <c r="V547" s="547"/>
      <c r="W547" s="549"/>
    </row>
    <row r="548" spans="1:23">
      <c r="A548" s="565">
        <v>1242</v>
      </c>
      <c r="B548" s="695" t="s">
        <v>5953</v>
      </c>
      <c r="C548" s="566">
        <f t="shared" si="8"/>
        <v>1242</v>
      </c>
      <c r="D548" s="699" t="s">
        <v>2221</v>
      </c>
      <c r="E548" s="701" t="s">
        <v>8426</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5954</v>
      </c>
      <c r="C549" s="566">
        <f t="shared" si="8"/>
        <v>1243</v>
      </c>
      <c r="D549" s="700" t="s">
        <v>2221</v>
      </c>
      <c r="E549" s="701" t="s">
        <v>8427</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5955</v>
      </c>
      <c r="C550" s="566">
        <f t="shared" si="8"/>
        <v>1244</v>
      </c>
      <c r="D550" s="700" t="s">
        <v>2221</v>
      </c>
      <c r="E550" s="701" t="s">
        <v>8428</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5956</v>
      </c>
      <c r="C551" s="566">
        <f t="shared" si="8"/>
        <v>1245</v>
      </c>
      <c r="D551" s="700" t="s">
        <v>2221</v>
      </c>
      <c r="E551" s="701" t="s">
        <v>8429</v>
      </c>
      <c r="F551" s="566">
        <v>1</v>
      </c>
      <c r="G551" s="662">
        <v>14152.353483818883</v>
      </c>
      <c r="H551" s="662">
        <v>0</v>
      </c>
      <c r="I551" s="662">
        <v>0</v>
      </c>
      <c r="J551" s="662">
        <v>0</v>
      </c>
      <c r="K551" s="566" t="s">
        <v>5244</v>
      </c>
      <c r="L551" s="549"/>
      <c r="M551" s="654"/>
      <c r="O551" s="652"/>
      <c r="S551" s="550"/>
      <c r="T551" s="547"/>
      <c r="U551" s="547"/>
      <c r="V551" s="547"/>
      <c r="W551" s="549"/>
    </row>
    <row r="552" spans="1:23">
      <c r="A552" s="565">
        <v>1246</v>
      </c>
      <c r="B552" s="696" t="s">
        <v>5957</v>
      </c>
      <c r="C552" s="566">
        <f t="shared" si="8"/>
        <v>1246</v>
      </c>
      <c r="D552" s="700" t="s">
        <v>2221</v>
      </c>
      <c r="E552" s="701" t="s">
        <v>8430</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5958</v>
      </c>
      <c r="C553" s="566">
        <f t="shared" si="8"/>
        <v>1247</v>
      </c>
      <c r="D553" s="700" t="s">
        <v>2221</v>
      </c>
      <c r="E553" s="701" t="s">
        <v>8431</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5959</v>
      </c>
      <c r="C554" s="566">
        <f t="shared" si="8"/>
        <v>1248</v>
      </c>
      <c r="D554" s="700" t="s">
        <v>2221</v>
      </c>
      <c r="E554" s="701" t="s">
        <v>8432</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5960</v>
      </c>
      <c r="C555" s="566">
        <f t="shared" si="8"/>
        <v>1249</v>
      </c>
      <c r="D555" s="700" t="s">
        <v>2221</v>
      </c>
      <c r="E555" s="701" t="s">
        <v>8433</v>
      </c>
      <c r="F555" s="566">
        <v>1</v>
      </c>
      <c r="G555" s="662">
        <v>16765.10082835261</v>
      </c>
      <c r="H555" s="662">
        <v>0</v>
      </c>
      <c r="I555" s="662">
        <v>0</v>
      </c>
      <c r="J555" s="662">
        <v>0</v>
      </c>
      <c r="K555" s="566" t="s">
        <v>5245</v>
      </c>
      <c r="L555" s="549"/>
      <c r="M555" s="654"/>
      <c r="O555" s="584"/>
      <c r="S555" s="550"/>
      <c r="T555" s="547"/>
      <c r="U555" s="547"/>
      <c r="V555" s="547"/>
      <c r="W555" s="549"/>
    </row>
    <row r="556" spans="1:23">
      <c r="A556" s="565">
        <v>1250</v>
      </c>
      <c r="B556" s="696" t="s">
        <v>5961</v>
      </c>
      <c r="C556" s="566">
        <f t="shared" si="8"/>
        <v>1250</v>
      </c>
      <c r="D556" s="700" t="s">
        <v>2221</v>
      </c>
      <c r="E556" s="701" t="s">
        <v>8434</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5962</v>
      </c>
      <c r="C557" s="566">
        <f t="shared" si="8"/>
        <v>1251</v>
      </c>
      <c r="D557" s="700" t="s">
        <v>2221</v>
      </c>
      <c r="E557" s="701" t="s">
        <v>8435</v>
      </c>
      <c r="F557" s="566">
        <v>1</v>
      </c>
      <c r="G557" s="662">
        <v>0</v>
      </c>
      <c r="H557" s="662">
        <v>0</v>
      </c>
      <c r="I557" s="662">
        <v>26050.191159957616</v>
      </c>
      <c r="J557" s="662">
        <v>26606.461749494327</v>
      </c>
      <c r="K557" s="566" t="s">
        <v>4700</v>
      </c>
      <c r="L557" s="549"/>
      <c r="M557" s="654"/>
      <c r="O557" s="584"/>
      <c r="S557" s="550"/>
      <c r="T557" s="547"/>
      <c r="U557" s="547"/>
      <c r="V557" s="547"/>
      <c r="W557" s="549"/>
    </row>
    <row r="558" spans="1:23">
      <c r="A558" s="565">
        <v>1252</v>
      </c>
      <c r="B558" s="696" t="s">
        <v>5963</v>
      </c>
      <c r="C558" s="566">
        <f t="shared" si="8"/>
        <v>1252</v>
      </c>
      <c r="D558" s="700" t="s">
        <v>2221</v>
      </c>
      <c r="E558" s="701" t="s">
        <v>8436</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5964</v>
      </c>
      <c r="C559" s="566">
        <f t="shared" si="8"/>
        <v>1253</v>
      </c>
      <c r="D559" s="700" t="s">
        <v>2221</v>
      </c>
      <c r="E559" s="701" t="s">
        <v>8437</v>
      </c>
      <c r="F559" s="566">
        <v>1</v>
      </c>
      <c r="G559" s="662">
        <v>0</v>
      </c>
      <c r="H559" s="662">
        <v>0</v>
      </c>
      <c r="I559" s="662">
        <v>24465.165674645777</v>
      </c>
      <c r="J559" s="662">
        <v>25528.416698930254</v>
      </c>
      <c r="K559" s="566" t="s">
        <v>3968</v>
      </c>
      <c r="L559" s="549"/>
      <c r="M559" s="654"/>
      <c r="O559" s="584"/>
      <c r="S559" s="550"/>
      <c r="T559" s="547"/>
      <c r="U559" s="547"/>
      <c r="V559" s="547"/>
      <c r="W559" s="549"/>
    </row>
    <row r="560" spans="1:23">
      <c r="A560" s="565">
        <v>1254</v>
      </c>
      <c r="B560" s="696" t="s">
        <v>5965</v>
      </c>
      <c r="C560" s="566">
        <f t="shared" si="8"/>
        <v>1254</v>
      </c>
      <c r="D560" s="700" t="s">
        <v>2221</v>
      </c>
      <c r="E560" s="701" t="s">
        <v>8438</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5966</v>
      </c>
      <c r="C561" s="566">
        <f t="shared" si="8"/>
        <v>1255</v>
      </c>
      <c r="D561" s="700" t="s">
        <v>2221</v>
      </c>
      <c r="E561" s="701" t="s">
        <v>8439</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5967</v>
      </c>
      <c r="C562" s="566">
        <f t="shared" si="8"/>
        <v>1256</v>
      </c>
      <c r="D562" s="700" t="s">
        <v>2221</v>
      </c>
      <c r="E562" s="701" t="s">
        <v>8440</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5968</v>
      </c>
      <c r="C563" s="566">
        <f t="shared" si="8"/>
        <v>1257</v>
      </c>
      <c r="D563" s="700" t="s">
        <v>2221</v>
      </c>
      <c r="E563" s="701" t="s">
        <v>8441</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5969</v>
      </c>
      <c r="C564" s="566">
        <f t="shared" si="8"/>
        <v>1258</v>
      </c>
      <c r="D564" s="700" t="s">
        <v>2221</v>
      </c>
      <c r="E564" s="701" t="s">
        <v>8442</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5970</v>
      </c>
      <c r="C565" s="566">
        <f t="shared" si="8"/>
        <v>1259</v>
      </c>
      <c r="D565" s="700" t="s">
        <v>2221</v>
      </c>
      <c r="E565" s="701" t="s">
        <v>8443</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5971</v>
      </c>
      <c r="C566" s="566">
        <f t="shared" si="8"/>
        <v>1260</v>
      </c>
      <c r="D566" s="700" t="s">
        <v>2221</v>
      </c>
      <c r="E566" s="701" t="s">
        <v>8444</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5972</v>
      </c>
      <c r="C567" s="566">
        <f t="shared" si="8"/>
        <v>1261</v>
      </c>
      <c r="D567" s="700" t="s">
        <v>2221</v>
      </c>
      <c r="E567" s="701" t="s">
        <v>8445</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5973</v>
      </c>
      <c r="C568" s="566">
        <f t="shared" si="8"/>
        <v>1262</v>
      </c>
      <c r="D568" s="700" t="s">
        <v>2221</v>
      </c>
      <c r="E568" s="701" t="s">
        <v>8446</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5974</v>
      </c>
      <c r="C569" s="566">
        <f t="shared" si="8"/>
        <v>1263</v>
      </c>
      <c r="D569" s="700" t="s">
        <v>2221</v>
      </c>
      <c r="E569" s="701" t="s">
        <v>8447</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5975</v>
      </c>
      <c r="C570" s="566">
        <f t="shared" si="8"/>
        <v>1264</v>
      </c>
      <c r="D570" s="700" t="s">
        <v>2221</v>
      </c>
      <c r="E570" s="701" t="s">
        <v>8448</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5976</v>
      </c>
      <c r="C571" s="566">
        <f t="shared" si="8"/>
        <v>1265</v>
      </c>
      <c r="D571" s="700" t="s">
        <v>2221</v>
      </c>
      <c r="E571" s="701" t="s">
        <v>8449</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5977</v>
      </c>
      <c r="C572" s="566">
        <f t="shared" si="8"/>
        <v>1266</v>
      </c>
      <c r="D572" s="700" t="s">
        <v>2221</v>
      </c>
      <c r="E572" s="701" t="s">
        <v>8450</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5978</v>
      </c>
      <c r="C573" s="566">
        <f t="shared" si="8"/>
        <v>1267</v>
      </c>
      <c r="D573" s="700" t="s">
        <v>2221</v>
      </c>
      <c r="E573" s="701" t="s">
        <v>8451</v>
      </c>
      <c r="F573" s="566">
        <v>1</v>
      </c>
      <c r="G573" s="662">
        <v>0</v>
      </c>
      <c r="H573" s="662">
        <v>18878.000099321824</v>
      </c>
      <c r="I573" s="662">
        <v>19380.15309201636</v>
      </c>
      <c r="J573" s="662">
        <v>19908.748901187424</v>
      </c>
      <c r="K573" s="566" t="s">
        <v>3969</v>
      </c>
      <c r="L573" s="549"/>
      <c r="M573" s="654"/>
      <c r="O573" s="654"/>
      <c r="S573" s="550"/>
      <c r="T573" s="547"/>
      <c r="U573" s="547"/>
      <c r="V573" s="547"/>
      <c r="W573" s="549"/>
    </row>
    <row r="574" spans="1:23">
      <c r="A574" s="565">
        <v>1268</v>
      </c>
      <c r="B574" s="696" t="s">
        <v>5979</v>
      </c>
      <c r="C574" s="566">
        <f t="shared" si="8"/>
        <v>1268</v>
      </c>
      <c r="D574" s="700" t="s">
        <v>2221</v>
      </c>
      <c r="E574" s="701" t="s">
        <v>8452</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5980</v>
      </c>
      <c r="C575" s="566">
        <f t="shared" si="8"/>
        <v>1269</v>
      </c>
      <c r="D575" s="700" t="s">
        <v>2221</v>
      </c>
      <c r="E575" s="701" t="s">
        <v>8453</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5981</v>
      </c>
      <c r="C576" s="566">
        <f t="shared" si="8"/>
        <v>1270</v>
      </c>
      <c r="D576" s="700" t="s">
        <v>2221</v>
      </c>
      <c r="E576" s="701" t="s">
        <v>8454</v>
      </c>
      <c r="F576" s="566">
        <v>1</v>
      </c>
      <c r="G576" s="662">
        <v>0</v>
      </c>
      <c r="H576" s="662">
        <v>0</v>
      </c>
      <c r="I576" s="662">
        <v>22169.337702031167</v>
      </c>
      <c r="J576" s="662">
        <v>22707.540199454168</v>
      </c>
      <c r="K576" s="566" t="s">
        <v>3970</v>
      </c>
      <c r="L576" s="549"/>
      <c r="M576" s="654"/>
      <c r="O576" s="654"/>
      <c r="S576" s="550"/>
      <c r="T576" s="547"/>
      <c r="U576" s="547"/>
      <c r="V576" s="547"/>
      <c r="W576" s="549"/>
    </row>
    <row r="577" spans="1:23">
      <c r="A577" s="565">
        <v>1271</v>
      </c>
      <c r="B577" s="696" t="s">
        <v>5982</v>
      </c>
      <c r="C577" s="566">
        <f t="shared" si="8"/>
        <v>1271</v>
      </c>
      <c r="D577" s="700" t="s">
        <v>2221</v>
      </c>
      <c r="E577" s="701" t="s">
        <v>8455</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5983</v>
      </c>
      <c r="C578" s="566">
        <f t="shared" si="8"/>
        <v>1272</v>
      </c>
      <c r="D578" s="700" t="s">
        <v>2221</v>
      </c>
      <c r="E578" s="701" t="s">
        <v>8456</v>
      </c>
      <c r="F578" s="566">
        <v>1</v>
      </c>
      <c r="G578" s="662">
        <v>0</v>
      </c>
      <c r="H578" s="662">
        <v>23684.186001257407</v>
      </c>
      <c r="I578" s="662">
        <v>24840.114835802495</v>
      </c>
      <c r="J578" s="662">
        <v>25448.495005032033</v>
      </c>
      <c r="K578" s="566" t="s">
        <v>3971</v>
      </c>
      <c r="L578" s="549"/>
      <c r="M578" s="654"/>
      <c r="O578" s="654"/>
      <c r="S578" s="550"/>
      <c r="T578" s="547"/>
      <c r="U578" s="547"/>
      <c r="V578" s="547"/>
      <c r="W578" s="549"/>
    </row>
    <row r="579" spans="1:23">
      <c r="A579" s="565">
        <v>1273</v>
      </c>
      <c r="B579" s="696" t="s">
        <v>5984</v>
      </c>
      <c r="C579" s="566">
        <f t="shared" si="8"/>
        <v>1273</v>
      </c>
      <c r="D579" s="700" t="s">
        <v>2221</v>
      </c>
      <c r="E579" s="701" t="s">
        <v>8457</v>
      </c>
      <c r="F579" s="566">
        <v>1</v>
      </c>
      <c r="G579" s="662">
        <v>0</v>
      </c>
      <c r="H579" s="662">
        <v>0</v>
      </c>
      <c r="I579" s="662">
        <v>0</v>
      </c>
      <c r="J579" s="662">
        <v>25751.893184029785</v>
      </c>
      <c r="K579" s="566" t="s">
        <v>4701</v>
      </c>
      <c r="L579" s="549"/>
      <c r="M579" s="654"/>
      <c r="O579" s="654"/>
      <c r="S579" s="550"/>
      <c r="T579" s="547"/>
      <c r="U579" s="547"/>
      <c r="V579" s="547"/>
      <c r="W579" s="549"/>
    </row>
    <row r="580" spans="1:23">
      <c r="A580" s="565">
        <v>1274</v>
      </c>
      <c r="B580" s="695" t="s">
        <v>5985</v>
      </c>
      <c r="C580" s="566">
        <f t="shared" si="8"/>
        <v>1274</v>
      </c>
      <c r="D580" s="699" t="s">
        <v>2221</v>
      </c>
      <c r="E580" s="701" t="s">
        <v>8458</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5986</v>
      </c>
      <c r="C581" s="566">
        <f t="shared" si="8"/>
        <v>1275</v>
      </c>
      <c r="D581" s="699" t="s">
        <v>2221</v>
      </c>
      <c r="E581" s="701" t="s">
        <v>8459</v>
      </c>
      <c r="F581" s="567">
        <v>1</v>
      </c>
      <c r="G581" s="662">
        <v>19622.219652840166</v>
      </c>
      <c r="H581" s="662">
        <v>0</v>
      </c>
      <c r="I581" s="662">
        <v>0</v>
      </c>
      <c r="J581" s="662">
        <v>0</v>
      </c>
      <c r="K581" s="568" t="s">
        <v>5246</v>
      </c>
      <c r="L581" s="549"/>
      <c r="M581" s="654"/>
      <c r="O581" s="654"/>
      <c r="S581" s="550"/>
      <c r="T581" s="547"/>
      <c r="U581" s="547"/>
      <c r="V581" s="547"/>
      <c r="W581" s="549"/>
    </row>
    <row r="582" spans="1:23">
      <c r="A582" s="565">
        <v>1276</v>
      </c>
      <c r="B582" s="695" t="s">
        <v>5987</v>
      </c>
      <c r="C582" s="566">
        <f t="shared" si="8"/>
        <v>1276</v>
      </c>
      <c r="D582" s="699" t="s">
        <v>2221</v>
      </c>
      <c r="E582" s="701" t="s">
        <v>8460</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5988</v>
      </c>
      <c r="C583" s="566">
        <f t="shared" si="8"/>
        <v>1277</v>
      </c>
      <c r="D583" s="699" t="s">
        <v>2221</v>
      </c>
      <c r="E583" s="701" t="s">
        <v>8461</v>
      </c>
      <c r="F583" s="567">
        <v>2</v>
      </c>
      <c r="G583" s="662">
        <v>0</v>
      </c>
      <c r="H583" s="662">
        <v>0</v>
      </c>
      <c r="I583" s="662">
        <v>0</v>
      </c>
      <c r="J583" s="662">
        <v>21817.503481289004</v>
      </c>
      <c r="K583" s="568" t="s">
        <v>4702</v>
      </c>
      <c r="L583" s="549"/>
      <c r="M583" s="654"/>
      <c r="O583" s="654"/>
      <c r="S583" s="550"/>
      <c r="T583" s="547"/>
      <c r="U583" s="547"/>
      <c r="V583" s="547"/>
      <c r="W583" s="549"/>
    </row>
    <row r="584" spans="1:23">
      <c r="A584" s="565">
        <v>1278</v>
      </c>
      <c r="B584" s="696" t="s">
        <v>5989</v>
      </c>
      <c r="C584" s="566">
        <f t="shared" si="8"/>
        <v>1278</v>
      </c>
      <c r="D584" s="700" t="s">
        <v>2221</v>
      </c>
      <c r="E584" s="701" t="s">
        <v>8462</v>
      </c>
      <c r="F584" s="566">
        <v>2</v>
      </c>
      <c r="G584" s="662">
        <v>0</v>
      </c>
      <c r="H584" s="662">
        <v>0</v>
      </c>
      <c r="I584" s="662">
        <v>0</v>
      </c>
      <c r="J584" s="662">
        <v>22692.959036058986</v>
      </c>
      <c r="K584" s="566" t="s">
        <v>4703</v>
      </c>
      <c r="L584" s="549"/>
      <c r="M584" s="654"/>
      <c r="O584" s="654"/>
      <c r="S584" s="550"/>
      <c r="T584" s="547"/>
      <c r="U584" s="547"/>
      <c r="V584" s="547"/>
      <c r="W584" s="549"/>
    </row>
    <row r="585" spans="1:23">
      <c r="A585" s="565">
        <v>1279</v>
      </c>
      <c r="B585" s="696" t="s">
        <v>5990</v>
      </c>
      <c r="C585" s="566">
        <f t="shared" ref="C585:C648" si="9">A585</f>
        <v>1279</v>
      </c>
      <c r="D585" s="700" t="s">
        <v>2221</v>
      </c>
      <c r="E585" s="701" t="s">
        <v>8463</v>
      </c>
      <c r="F585" s="566">
        <v>2</v>
      </c>
      <c r="G585" s="662">
        <v>0</v>
      </c>
      <c r="H585" s="662">
        <v>0</v>
      </c>
      <c r="I585" s="662">
        <v>0</v>
      </c>
      <c r="J585" s="662">
        <v>24006.142368213958</v>
      </c>
      <c r="K585" s="566" t="s">
        <v>4704</v>
      </c>
      <c r="L585" s="549"/>
      <c r="M585" s="654"/>
      <c r="O585" s="654"/>
      <c r="S585" s="550"/>
      <c r="T585" s="547"/>
      <c r="U585" s="547"/>
      <c r="V585" s="547"/>
      <c r="W585" s="549"/>
    </row>
    <row r="586" spans="1:23">
      <c r="A586" s="565">
        <v>1280</v>
      </c>
      <c r="B586" s="696" t="s">
        <v>5991</v>
      </c>
      <c r="C586" s="566">
        <f t="shared" si="9"/>
        <v>1280</v>
      </c>
      <c r="D586" s="700" t="s">
        <v>2221</v>
      </c>
      <c r="E586" s="701" t="s">
        <v>8464</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5992</v>
      </c>
      <c r="C587" s="566">
        <f t="shared" si="9"/>
        <v>1281</v>
      </c>
      <c r="D587" s="700" t="s">
        <v>2221</v>
      </c>
      <c r="E587" s="701" t="s">
        <v>8465</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5993</v>
      </c>
      <c r="C588" s="566">
        <f t="shared" si="9"/>
        <v>1282</v>
      </c>
      <c r="D588" s="700" t="s">
        <v>2221</v>
      </c>
      <c r="E588" s="701" t="s">
        <v>8466</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5994</v>
      </c>
      <c r="C589" s="566">
        <f t="shared" si="9"/>
        <v>1283</v>
      </c>
      <c r="D589" s="699" t="s">
        <v>2221</v>
      </c>
      <c r="E589" s="701" t="s">
        <v>8467</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5995</v>
      </c>
      <c r="C590" s="566">
        <f t="shared" si="9"/>
        <v>1284</v>
      </c>
      <c r="D590" s="699" t="s">
        <v>2221</v>
      </c>
      <c r="E590" s="701" t="s">
        <v>8468</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5996</v>
      </c>
      <c r="C591" s="566">
        <f t="shared" si="9"/>
        <v>1285</v>
      </c>
      <c r="D591" s="700" t="s">
        <v>2221</v>
      </c>
      <c r="E591" s="701" t="s">
        <v>8469</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5997</v>
      </c>
      <c r="C592" s="566">
        <f t="shared" si="9"/>
        <v>1286</v>
      </c>
      <c r="D592" s="700" t="s">
        <v>2221</v>
      </c>
      <c r="E592" s="701" t="s">
        <v>8470</v>
      </c>
      <c r="F592" s="566">
        <v>1</v>
      </c>
      <c r="G592" s="662">
        <v>0</v>
      </c>
      <c r="H592" s="662">
        <v>0</v>
      </c>
      <c r="I592" s="662">
        <v>0</v>
      </c>
      <c r="J592" s="662">
        <v>35668.430666674489</v>
      </c>
      <c r="K592" s="566" t="s">
        <v>4705</v>
      </c>
      <c r="L592" s="549"/>
      <c r="M592" s="654"/>
      <c r="O592" s="654"/>
      <c r="S592" s="550"/>
      <c r="T592" s="547"/>
      <c r="U592" s="547"/>
      <c r="V592" s="547"/>
      <c r="W592" s="549"/>
    </row>
    <row r="593" spans="1:23">
      <c r="A593" s="565">
        <v>1287</v>
      </c>
      <c r="B593" s="695" t="s">
        <v>5998</v>
      </c>
      <c r="C593" s="566">
        <f t="shared" si="9"/>
        <v>1287</v>
      </c>
      <c r="D593" s="699" t="s">
        <v>2221</v>
      </c>
      <c r="E593" s="701" t="s">
        <v>8471</v>
      </c>
      <c r="F593" s="567">
        <v>1</v>
      </c>
      <c r="G593" s="662">
        <v>0</v>
      </c>
      <c r="H593" s="662">
        <v>0</v>
      </c>
      <c r="I593" s="662">
        <v>0</v>
      </c>
      <c r="J593" s="662">
        <v>41486.018362856194</v>
      </c>
      <c r="K593" s="568" t="s">
        <v>4706</v>
      </c>
      <c r="L593" s="549"/>
      <c r="M593" s="654"/>
      <c r="O593" s="654"/>
      <c r="S593" s="550"/>
      <c r="T593" s="547"/>
      <c r="U593" s="547"/>
      <c r="V593" s="547"/>
      <c r="W593" s="549"/>
    </row>
    <row r="594" spans="1:23">
      <c r="A594" s="565">
        <v>1288</v>
      </c>
      <c r="B594" s="696" t="s">
        <v>5999</v>
      </c>
      <c r="C594" s="566">
        <f t="shared" si="9"/>
        <v>1288</v>
      </c>
      <c r="D594" s="700" t="s">
        <v>2221</v>
      </c>
      <c r="E594" s="701" t="s">
        <v>8472</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6000</v>
      </c>
      <c r="C595" s="566">
        <f t="shared" si="9"/>
        <v>1289</v>
      </c>
      <c r="D595" s="699" t="s">
        <v>2221</v>
      </c>
      <c r="E595" s="701" t="s">
        <v>8473</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6001</v>
      </c>
      <c r="C596" s="566">
        <f t="shared" si="9"/>
        <v>1290</v>
      </c>
      <c r="D596" s="699" t="s">
        <v>2221</v>
      </c>
      <c r="E596" s="701" t="s">
        <v>8474</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6002</v>
      </c>
      <c r="C597" s="566">
        <f t="shared" si="9"/>
        <v>1291</v>
      </c>
      <c r="D597" s="700" t="s">
        <v>2221</v>
      </c>
      <c r="E597" s="701" t="s">
        <v>8475</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6003</v>
      </c>
      <c r="C598" s="566">
        <f t="shared" si="9"/>
        <v>1292</v>
      </c>
      <c r="D598" s="699" t="s">
        <v>2221</v>
      </c>
      <c r="E598" s="701" t="s">
        <v>8476</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6004</v>
      </c>
      <c r="C599" s="566">
        <f t="shared" si="9"/>
        <v>1293</v>
      </c>
      <c r="D599" s="699" t="s">
        <v>2221</v>
      </c>
      <c r="E599" s="701" t="s">
        <v>8477</v>
      </c>
      <c r="F599" s="567">
        <v>1</v>
      </c>
      <c r="G599" s="662">
        <v>0</v>
      </c>
      <c r="H599" s="662">
        <v>0</v>
      </c>
      <c r="I599" s="662">
        <v>12525.855307292833</v>
      </c>
      <c r="J599" s="662">
        <v>12828.665224808778</v>
      </c>
      <c r="K599" s="568" t="s">
        <v>3972</v>
      </c>
      <c r="L599" s="549"/>
      <c r="M599" s="654"/>
      <c r="O599" s="654"/>
      <c r="S599" s="550"/>
      <c r="T599" s="547"/>
      <c r="U599" s="547"/>
      <c r="V599" s="547"/>
      <c r="W599" s="549"/>
    </row>
    <row r="600" spans="1:23">
      <c r="A600" s="565">
        <v>1294</v>
      </c>
      <c r="B600" s="696" t="s">
        <v>6005</v>
      </c>
      <c r="C600" s="566">
        <f t="shared" si="9"/>
        <v>1294</v>
      </c>
      <c r="D600" s="700" t="s">
        <v>2221</v>
      </c>
      <c r="E600" s="701" t="s">
        <v>8478</v>
      </c>
      <c r="F600" s="566">
        <v>1</v>
      </c>
      <c r="G600" s="662">
        <v>0</v>
      </c>
      <c r="H600" s="662">
        <v>0</v>
      </c>
      <c r="I600" s="662">
        <v>11752.518131213308</v>
      </c>
      <c r="J600" s="662">
        <v>12032.488136277489</v>
      </c>
      <c r="K600" s="566" t="s">
        <v>3973</v>
      </c>
      <c r="L600" s="549"/>
      <c r="M600" s="654"/>
      <c r="O600" s="654"/>
      <c r="S600" s="550"/>
      <c r="T600" s="547"/>
      <c r="U600" s="547"/>
      <c r="V600" s="547"/>
      <c r="W600" s="549"/>
    </row>
    <row r="601" spans="1:23">
      <c r="A601" s="565">
        <v>1295</v>
      </c>
      <c r="B601" s="696" t="s">
        <v>6006</v>
      </c>
      <c r="C601" s="566">
        <f t="shared" si="9"/>
        <v>1295</v>
      </c>
      <c r="D601" s="700" t="s">
        <v>2221</v>
      </c>
      <c r="E601" s="701" t="s">
        <v>8479</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6007</v>
      </c>
      <c r="C602" s="566">
        <f t="shared" si="9"/>
        <v>1296</v>
      </c>
      <c r="D602" s="699" t="s">
        <v>2221</v>
      </c>
      <c r="E602" s="701" t="s">
        <v>8480</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6008</v>
      </c>
      <c r="C603" s="566">
        <f t="shared" si="9"/>
        <v>1297</v>
      </c>
      <c r="D603" s="699" t="s">
        <v>2221</v>
      </c>
      <c r="E603" s="701" t="s">
        <v>8481</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6009</v>
      </c>
      <c r="C604" s="566">
        <f t="shared" si="9"/>
        <v>1298</v>
      </c>
      <c r="D604" s="700" t="s">
        <v>2221</v>
      </c>
      <c r="E604" s="701" t="s">
        <v>8482</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6010</v>
      </c>
      <c r="C605" s="566">
        <f t="shared" si="9"/>
        <v>1299</v>
      </c>
      <c r="D605" s="699" t="s">
        <v>2221</v>
      </c>
      <c r="E605" s="701" t="s">
        <v>8483</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6011</v>
      </c>
      <c r="C606" s="566">
        <f t="shared" si="9"/>
        <v>1300</v>
      </c>
      <c r="D606" s="700" t="s">
        <v>2221</v>
      </c>
      <c r="E606" s="701" t="s">
        <v>8484</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6012</v>
      </c>
      <c r="C607" s="566">
        <f t="shared" si="9"/>
        <v>1301</v>
      </c>
      <c r="D607" s="700" t="s">
        <v>2221</v>
      </c>
      <c r="E607" s="701" t="s">
        <v>8485</v>
      </c>
      <c r="F607" s="566">
        <v>1</v>
      </c>
      <c r="G607" s="662">
        <v>0</v>
      </c>
      <c r="H607" s="662">
        <v>0</v>
      </c>
      <c r="I607" s="662">
        <v>0</v>
      </c>
      <c r="J607" s="662">
        <v>29747.386606436627</v>
      </c>
      <c r="K607" s="566" t="s">
        <v>4707</v>
      </c>
      <c r="L607" s="549"/>
      <c r="M607" s="654"/>
      <c r="O607" s="654"/>
      <c r="S607" s="550"/>
      <c r="T607" s="547"/>
      <c r="U607" s="547"/>
      <c r="V607" s="547"/>
      <c r="W607" s="549"/>
    </row>
    <row r="608" spans="1:23">
      <c r="A608" s="565">
        <v>1302</v>
      </c>
      <c r="B608" s="696" t="s">
        <v>6013</v>
      </c>
      <c r="C608" s="566">
        <f t="shared" si="9"/>
        <v>1302</v>
      </c>
      <c r="D608" s="700" t="s">
        <v>2221</v>
      </c>
      <c r="E608" s="701" t="s">
        <v>8486</v>
      </c>
      <c r="F608" s="566">
        <v>1</v>
      </c>
      <c r="G608" s="662">
        <v>0</v>
      </c>
      <c r="H608" s="662">
        <v>0</v>
      </c>
      <c r="I608" s="662">
        <v>0</v>
      </c>
      <c r="J608" s="662">
        <v>33118.094961073664</v>
      </c>
      <c r="K608" s="566" t="s">
        <v>4708</v>
      </c>
      <c r="L608" s="549"/>
      <c r="M608" s="654"/>
      <c r="O608" s="654"/>
      <c r="S608" s="550"/>
      <c r="T608" s="547"/>
      <c r="U608" s="547"/>
      <c r="V608" s="547"/>
      <c r="W608" s="549"/>
    </row>
    <row r="609" spans="1:23">
      <c r="A609" s="565">
        <v>1303</v>
      </c>
      <c r="B609" s="696" t="s">
        <v>6014</v>
      </c>
      <c r="C609" s="566">
        <f t="shared" si="9"/>
        <v>1303</v>
      </c>
      <c r="D609" s="700" t="s">
        <v>2221</v>
      </c>
      <c r="E609" s="701" t="s">
        <v>8487</v>
      </c>
      <c r="F609" s="566">
        <v>1</v>
      </c>
      <c r="G609" s="662">
        <v>0</v>
      </c>
      <c r="H609" s="662">
        <v>0</v>
      </c>
      <c r="I609" s="662">
        <v>0</v>
      </c>
      <c r="J609" s="662">
        <v>37062.540907989336</v>
      </c>
      <c r="K609" s="566" t="s">
        <v>4709</v>
      </c>
      <c r="L609" s="549"/>
      <c r="M609" s="654"/>
      <c r="O609" s="654"/>
      <c r="S609" s="550"/>
      <c r="T609" s="547"/>
      <c r="U609" s="547"/>
      <c r="V609" s="547"/>
      <c r="W609" s="549"/>
    </row>
    <row r="610" spans="1:23">
      <c r="A610" s="565">
        <v>1304</v>
      </c>
      <c r="B610" s="696" t="s">
        <v>6015</v>
      </c>
      <c r="C610" s="566">
        <f t="shared" si="9"/>
        <v>1304</v>
      </c>
      <c r="D610" s="700" t="s">
        <v>2221</v>
      </c>
      <c r="E610" s="701" t="s">
        <v>8488</v>
      </c>
      <c r="F610" s="566">
        <v>1</v>
      </c>
      <c r="G610" s="662">
        <v>0</v>
      </c>
      <c r="H610" s="662">
        <v>0</v>
      </c>
      <c r="I610" s="662">
        <v>0</v>
      </c>
      <c r="J610" s="662">
        <v>43875.67481629824</v>
      </c>
      <c r="K610" s="566" t="s">
        <v>4710</v>
      </c>
      <c r="L610" s="549"/>
      <c r="M610" s="654"/>
      <c r="O610" s="654"/>
      <c r="S610" s="550"/>
      <c r="T610" s="547"/>
      <c r="U610" s="547"/>
      <c r="V610" s="547"/>
      <c r="W610" s="549"/>
    </row>
    <row r="611" spans="1:23">
      <c r="A611" s="565">
        <v>1305</v>
      </c>
      <c r="B611" s="696" t="s">
        <v>6016</v>
      </c>
      <c r="C611" s="566">
        <f t="shared" si="9"/>
        <v>1305</v>
      </c>
      <c r="D611" s="700" t="s">
        <v>2221</v>
      </c>
      <c r="E611" s="701" t="s">
        <v>8489</v>
      </c>
      <c r="F611" s="566">
        <v>1</v>
      </c>
      <c r="G611" s="662">
        <v>0</v>
      </c>
      <c r="H611" s="662">
        <v>0</v>
      </c>
      <c r="I611" s="662">
        <v>0</v>
      </c>
      <c r="J611" s="662">
        <v>20097.278763306585</v>
      </c>
      <c r="K611" s="566" t="s">
        <v>4711</v>
      </c>
      <c r="L611" s="549"/>
      <c r="M611" s="654"/>
      <c r="O611" s="654"/>
      <c r="S611" s="550"/>
      <c r="T611" s="547"/>
      <c r="U611" s="547"/>
      <c r="V611" s="547"/>
      <c r="W611" s="549"/>
    </row>
    <row r="612" spans="1:23">
      <c r="A612" s="565">
        <v>1306</v>
      </c>
      <c r="B612" s="696" t="s">
        <v>6017</v>
      </c>
      <c r="C612" s="566">
        <f t="shared" si="9"/>
        <v>1306</v>
      </c>
      <c r="D612" s="700" t="s">
        <v>2221</v>
      </c>
      <c r="E612" s="701" t="s">
        <v>8490</v>
      </c>
      <c r="F612" s="566">
        <v>1</v>
      </c>
      <c r="G612" s="662">
        <v>0</v>
      </c>
      <c r="H612" s="662">
        <v>0</v>
      </c>
      <c r="I612" s="662">
        <v>0</v>
      </c>
      <c r="J612" s="662">
        <v>19108.123903904263</v>
      </c>
      <c r="K612" s="566" t="s">
        <v>4712</v>
      </c>
      <c r="L612" s="549"/>
      <c r="M612" s="654"/>
      <c r="O612" s="654"/>
      <c r="S612" s="550"/>
      <c r="T612" s="547"/>
      <c r="U612" s="547"/>
      <c r="V612" s="547"/>
      <c r="W612" s="549"/>
    </row>
    <row r="613" spans="1:23">
      <c r="A613" s="565">
        <v>1307</v>
      </c>
      <c r="B613" s="696" t="s">
        <v>6018</v>
      </c>
      <c r="C613" s="566">
        <f t="shared" si="9"/>
        <v>1307</v>
      </c>
      <c r="D613" s="700" t="s">
        <v>2221</v>
      </c>
      <c r="E613" s="701" t="s">
        <v>8491</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6019</v>
      </c>
      <c r="C614" s="566">
        <f t="shared" si="9"/>
        <v>1308</v>
      </c>
      <c r="D614" s="699" t="s">
        <v>2221</v>
      </c>
      <c r="E614" s="701" t="s">
        <v>8492</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6020</v>
      </c>
      <c r="C615" s="566">
        <f t="shared" si="9"/>
        <v>1309</v>
      </c>
      <c r="D615" s="700" t="s">
        <v>2221</v>
      </c>
      <c r="E615" s="701" t="s">
        <v>8493</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6021</v>
      </c>
      <c r="C616" s="566">
        <f t="shared" si="9"/>
        <v>1310</v>
      </c>
      <c r="D616" s="700" t="s">
        <v>2221</v>
      </c>
      <c r="E616" s="701" t="s">
        <v>8494</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6022</v>
      </c>
      <c r="C617" s="566">
        <f t="shared" si="9"/>
        <v>1311</v>
      </c>
      <c r="D617" s="700" t="s">
        <v>2221</v>
      </c>
      <c r="E617" s="701" t="s">
        <v>8495</v>
      </c>
      <c r="F617" s="566">
        <v>1</v>
      </c>
      <c r="G617" s="662">
        <v>0</v>
      </c>
      <c r="H617" s="662">
        <v>0</v>
      </c>
      <c r="I617" s="662">
        <v>0</v>
      </c>
      <c r="J617" s="662">
        <v>17620.604987641527</v>
      </c>
      <c r="K617" s="566" t="s">
        <v>4713</v>
      </c>
      <c r="L617" s="549"/>
      <c r="M617" s="654"/>
      <c r="O617" s="654"/>
      <c r="S617" s="550"/>
      <c r="T617" s="547"/>
      <c r="U617" s="547"/>
      <c r="V617" s="547"/>
      <c r="W617" s="549"/>
    </row>
    <row r="618" spans="1:23">
      <c r="A618" s="565">
        <v>1312</v>
      </c>
      <c r="B618" s="696" t="s">
        <v>6023</v>
      </c>
      <c r="C618" s="566">
        <f t="shared" si="9"/>
        <v>1312</v>
      </c>
      <c r="D618" s="700" t="s">
        <v>2221</v>
      </c>
      <c r="E618" s="701" t="s">
        <v>8496</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6024</v>
      </c>
      <c r="C619" s="566">
        <f t="shared" si="9"/>
        <v>1313</v>
      </c>
      <c r="D619" s="700" t="s">
        <v>2221</v>
      </c>
      <c r="E619" s="701" t="s">
        <v>8497</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6025</v>
      </c>
      <c r="C620" s="566">
        <f t="shared" si="9"/>
        <v>1314</v>
      </c>
      <c r="D620" s="700" t="s">
        <v>2221</v>
      </c>
      <c r="E620" s="701" t="s">
        <v>8498</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6026</v>
      </c>
      <c r="C621" s="566">
        <f t="shared" si="9"/>
        <v>1315</v>
      </c>
      <c r="D621" s="700" t="s">
        <v>2221</v>
      </c>
      <c r="E621" s="701" t="s">
        <v>8499</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6027</v>
      </c>
      <c r="C622" s="566">
        <f t="shared" si="9"/>
        <v>1316</v>
      </c>
      <c r="D622" s="700" t="s">
        <v>2221</v>
      </c>
      <c r="E622" s="701" t="s">
        <v>8500</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6028</v>
      </c>
      <c r="C623" s="566">
        <f t="shared" si="9"/>
        <v>1317</v>
      </c>
      <c r="D623" s="700" t="s">
        <v>2221</v>
      </c>
      <c r="E623" s="701" t="s">
        <v>8501</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6029</v>
      </c>
      <c r="C624" s="566">
        <f t="shared" si="9"/>
        <v>1318</v>
      </c>
      <c r="D624" s="700" t="s">
        <v>2221</v>
      </c>
      <c r="E624" s="701" t="s">
        <v>8502</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6030</v>
      </c>
      <c r="C625" s="566">
        <f t="shared" si="9"/>
        <v>1319</v>
      </c>
      <c r="D625" s="700" t="s">
        <v>2221</v>
      </c>
      <c r="E625" s="701" t="s">
        <v>8503</v>
      </c>
      <c r="F625" s="566">
        <v>1</v>
      </c>
      <c r="G625" s="662">
        <v>0</v>
      </c>
      <c r="H625" s="662">
        <v>0</v>
      </c>
      <c r="I625" s="662">
        <v>0</v>
      </c>
      <c r="J625" s="662">
        <v>49828.20233618917</v>
      </c>
      <c r="K625" s="566" t="s">
        <v>4714</v>
      </c>
      <c r="L625" s="549"/>
      <c r="M625" s="654"/>
      <c r="O625" s="654"/>
      <c r="S625" s="550"/>
      <c r="T625" s="547"/>
      <c r="U625" s="547"/>
      <c r="V625" s="547"/>
      <c r="W625" s="549"/>
    </row>
    <row r="626" spans="1:23">
      <c r="A626" s="565">
        <v>1320</v>
      </c>
      <c r="B626" s="696" t="s">
        <v>6031</v>
      </c>
      <c r="C626" s="566">
        <f t="shared" si="9"/>
        <v>1320</v>
      </c>
      <c r="D626" s="700" t="s">
        <v>2221</v>
      </c>
      <c r="E626" s="701" t="s">
        <v>8504</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6032</v>
      </c>
      <c r="C627" s="566">
        <f t="shared" si="9"/>
        <v>1321</v>
      </c>
      <c r="D627" s="699" t="s">
        <v>2221</v>
      </c>
      <c r="E627" s="701" t="s">
        <v>8505</v>
      </c>
      <c r="F627" s="567">
        <v>1</v>
      </c>
      <c r="G627" s="662">
        <v>32752.996792809463</v>
      </c>
      <c r="H627" s="662">
        <v>0</v>
      </c>
      <c r="I627" s="662">
        <v>0</v>
      </c>
      <c r="J627" s="662">
        <v>0</v>
      </c>
      <c r="K627" s="568" t="s">
        <v>5247</v>
      </c>
      <c r="L627" s="549"/>
      <c r="M627" s="654"/>
      <c r="O627" s="654"/>
      <c r="S627" s="550"/>
      <c r="T627" s="547"/>
      <c r="U627" s="547"/>
      <c r="V627" s="547"/>
      <c r="W627" s="549"/>
    </row>
    <row r="628" spans="1:23">
      <c r="A628" s="565">
        <v>1322</v>
      </c>
      <c r="B628" s="696" t="s">
        <v>6033</v>
      </c>
      <c r="C628" s="566">
        <f t="shared" si="9"/>
        <v>1322</v>
      </c>
      <c r="D628" s="700" t="s">
        <v>2221</v>
      </c>
      <c r="E628" s="701" t="s">
        <v>8506</v>
      </c>
      <c r="F628" s="566">
        <v>1</v>
      </c>
      <c r="G628" s="662">
        <v>0</v>
      </c>
      <c r="H628" s="662">
        <v>0</v>
      </c>
      <c r="I628" s="662">
        <v>0</v>
      </c>
      <c r="J628" s="662">
        <v>52481.738700477901</v>
      </c>
      <c r="K628" s="566" t="s">
        <v>4715</v>
      </c>
      <c r="L628" s="549"/>
      <c r="M628" s="654"/>
      <c r="O628" s="654"/>
      <c r="S628" s="550"/>
      <c r="T628" s="547"/>
      <c r="U628" s="547"/>
      <c r="V628" s="547"/>
      <c r="W628" s="549"/>
    </row>
    <row r="629" spans="1:23">
      <c r="A629" s="565">
        <v>1323</v>
      </c>
      <c r="B629" s="695" t="s">
        <v>6034</v>
      </c>
      <c r="C629" s="566">
        <f t="shared" si="9"/>
        <v>1323</v>
      </c>
      <c r="D629" s="699" t="s">
        <v>2221</v>
      </c>
      <c r="E629" s="701" t="s">
        <v>8507</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6035</v>
      </c>
      <c r="C630" s="566">
        <f t="shared" si="9"/>
        <v>1324</v>
      </c>
      <c r="D630" s="700" t="s">
        <v>2221</v>
      </c>
      <c r="E630" s="701" t="s">
        <v>8508</v>
      </c>
      <c r="F630" s="566">
        <v>1</v>
      </c>
      <c r="G630" s="662">
        <v>0</v>
      </c>
      <c r="H630" s="662">
        <v>0</v>
      </c>
      <c r="I630" s="662">
        <v>0</v>
      </c>
      <c r="J630" s="662">
        <v>64315.076541224946</v>
      </c>
      <c r="K630" s="566" t="s">
        <v>4716</v>
      </c>
      <c r="L630" s="549"/>
      <c r="M630" s="654"/>
      <c r="O630" s="654"/>
      <c r="S630" s="550"/>
      <c r="T630" s="547"/>
      <c r="U630" s="547"/>
      <c r="V630" s="547"/>
      <c r="W630" s="549"/>
    </row>
    <row r="631" spans="1:23">
      <c r="A631" s="565">
        <v>1325</v>
      </c>
      <c r="B631" s="696" t="s">
        <v>6036</v>
      </c>
      <c r="C631" s="566">
        <f t="shared" si="9"/>
        <v>1325</v>
      </c>
      <c r="D631" s="700" t="s">
        <v>2221</v>
      </c>
      <c r="E631" s="701" t="s">
        <v>8509</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6037</v>
      </c>
      <c r="C632" s="566">
        <f t="shared" si="9"/>
        <v>1326</v>
      </c>
      <c r="D632" s="700" t="s">
        <v>2221</v>
      </c>
      <c r="E632" s="701" t="s">
        <v>8510</v>
      </c>
      <c r="F632" s="566">
        <v>1</v>
      </c>
      <c r="G632" s="662">
        <v>20334.534185828448</v>
      </c>
      <c r="H632" s="662">
        <v>0</v>
      </c>
      <c r="I632" s="662">
        <v>0</v>
      </c>
      <c r="J632" s="662">
        <v>0</v>
      </c>
      <c r="K632" s="566" t="s">
        <v>5248</v>
      </c>
      <c r="L632" s="549"/>
      <c r="M632" s="654"/>
      <c r="O632" s="654"/>
      <c r="S632" s="550"/>
      <c r="T632" s="547"/>
      <c r="U632" s="547"/>
      <c r="V632" s="547"/>
      <c r="W632" s="549"/>
    </row>
    <row r="633" spans="1:23">
      <c r="A633" s="565">
        <v>1327</v>
      </c>
      <c r="B633" s="696" t="s">
        <v>6038</v>
      </c>
      <c r="C633" s="566">
        <f t="shared" si="9"/>
        <v>1327</v>
      </c>
      <c r="D633" s="700" t="s">
        <v>2221</v>
      </c>
      <c r="E633" s="701" t="s">
        <v>8511</v>
      </c>
      <c r="F633" s="566">
        <v>1</v>
      </c>
      <c r="G633" s="662">
        <v>0</v>
      </c>
      <c r="H633" s="662">
        <v>26570.432552537346</v>
      </c>
      <c r="I633" s="662">
        <v>27389.896450867043</v>
      </c>
      <c r="J633" s="662">
        <v>28252.505023722624</v>
      </c>
      <c r="K633" s="566" t="s">
        <v>3974</v>
      </c>
      <c r="L633" s="549"/>
      <c r="M633" s="654"/>
      <c r="O633" s="654"/>
      <c r="S633" s="550"/>
      <c r="T633" s="547"/>
      <c r="U633" s="547"/>
      <c r="V633" s="547"/>
      <c r="W633" s="549"/>
    </row>
    <row r="634" spans="1:23">
      <c r="A634" s="565">
        <v>1328</v>
      </c>
      <c r="B634" s="695" t="s">
        <v>6039</v>
      </c>
      <c r="C634" s="566">
        <f t="shared" si="9"/>
        <v>1328</v>
      </c>
      <c r="D634" s="699" t="s">
        <v>2221</v>
      </c>
      <c r="E634" s="701" t="s">
        <v>8512</v>
      </c>
      <c r="F634" s="567">
        <v>1</v>
      </c>
      <c r="G634" s="662">
        <v>0</v>
      </c>
      <c r="H634" s="662">
        <v>28741.515382804409</v>
      </c>
      <c r="I634" s="662">
        <v>29634.243822781835</v>
      </c>
      <c r="J634" s="662">
        <v>30573.942974460071</v>
      </c>
      <c r="K634" s="568" t="s">
        <v>3975</v>
      </c>
      <c r="L634" s="549"/>
      <c r="M634" s="654"/>
      <c r="O634" s="654"/>
      <c r="S634" s="550"/>
      <c r="T634" s="547"/>
      <c r="U634" s="547"/>
      <c r="V634" s="547"/>
      <c r="W634" s="549"/>
    </row>
    <row r="635" spans="1:23">
      <c r="A635" s="565">
        <v>1329</v>
      </c>
      <c r="B635" s="695" t="s">
        <v>6040</v>
      </c>
      <c r="C635" s="566">
        <f t="shared" si="9"/>
        <v>1329</v>
      </c>
      <c r="D635" s="699" t="s">
        <v>2221</v>
      </c>
      <c r="E635" s="701" t="s">
        <v>8513</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6041</v>
      </c>
      <c r="C636" s="566">
        <f t="shared" si="9"/>
        <v>1330</v>
      </c>
      <c r="D636" s="699" t="s">
        <v>2221</v>
      </c>
      <c r="E636" s="701" t="s">
        <v>8514</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6042</v>
      </c>
      <c r="C637" s="566">
        <f t="shared" si="9"/>
        <v>1331</v>
      </c>
      <c r="D637" s="699" t="s">
        <v>2221</v>
      </c>
      <c r="E637" s="701" t="s">
        <v>8515</v>
      </c>
      <c r="F637" s="567">
        <v>1</v>
      </c>
      <c r="G637" s="662">
        <v>0</v>
      </c>
      <c r="H637" s="662">
        <v>0</v>
      </c>
      <c r="I637" s="662">
        <v>23406.179865718277</v>
      </c>
      <c r="J637" s="662">
        <v>24131.865150738911</v>
      </c>
      <c r="K637" s="568" t="s">
        <v>3976</v>
      </c>
      <c r="L637" s="549"/>
      <c r="O637" s="654"/>
      <c r="S637" s="550"/>
      <c r="T637" s="547"/>
      <c r="U637" s="547"/>
      <c r="V637" s="547"/>
      <c r="W637" s="549"/>
    </row>
    <row r="638" spans="1:23">
      <c r="A638" s="565">
        <v>1332</v>
      </c>
      <c r="B638" s="695" t="s">
        <v>6043</v>
      </c>
      <c r="C638" s="566">
        <f t="shared" si="9"/>
        <v>1332</v>
      </c>
      <c r="D638" s="699" t="s">
        <v>2221</v>
      </c>
      <c r="E638" s="701" t="s">
        <v>8516</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6044</v>
      </c>
      <c r="C639" s="566">
        <f t="shared" si="9"/>
        <v>1333</v>
      </c>
      <c r="D639" s="699" t="s">
        <v>2221</v>
      </c>
      <c r="E639" s="701" t="s">
        <v>8517</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6045</v>
      </c>
      <c r="C640" s="566">
        <f t="shared" si="9"/>
        <v>1334</v>
      </c>
      <c r="D640" s="699" t="s">
        <v>2221</v>
      </c>
      <c r="E640" s="701" t="s">
        <v>8518</v>
      </c>
      <c r="F640" s="567">
        <v>1</v>
      </c>
      <c r="G640" s="662">
        <v>0</v>
      </c>
      <c r="H640" s="662">
        <v>0</v>
      </c>
      <c r="I640" s="662">
        <v>0</v>
      </c>
      <c r="J640" s="662">
        <v>18189.736638405469</v>
      </c>
      <c r="K640" s="568" t="s">
        <v>4717</v>
      </c>
      <c r="L640" s="549"/>
      <c r="O640" s="654"/>
      <c r="S640" s="550"/>
      <c r="T640" s="547"/>
      <c r="U640" s="547"/>
      <c r="V640" s="547"/>
      <c r="W640" s="549"/>
    </row>
    <row r="641" spans="1:23">
      <c r="A641" s="565">
        <v>1335</v>
      </c>
      <c r="B641" s="696" t="s">
        <v>6046</v>
      </c>
      <c r="C641" s="566">
        <f t="shared" si="9"/>
        <v>1335</v>
      </c>
      <c r="D641" s="700" t="s">
        <v>2221</v>
      </c>
      <c r="E641" s="701" t="s">
        <v>8519</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6047</v>
      </c>
      <c r="C642" s="566">
        <f t="shared" si="9"/>
        <v>1336</v>
      </c>
      <c r="D642" s="699" t="s">
        <v>2221</v>
      </c>
      <c r="E642" s="701" t="s">
        <v>8520</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6048</v>
      </c>
      <c r="C643" s="566">
        <f t="shared" si="9"/>
        <v>1337</v>
      </c>
      <c r="D643" s="700" t="s">
        <v>2221</v>
      </c>
      <c r="E643" s="701" t="s">
        <v>8521</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6049</v>
      </c>
      <c r="C644" s="566">
        <f t="shared" si="9"/>
        <v>1338</v>
      </c>
      <c r="D644" s="699" t="s">
        <v>2221</v>
      </c>
      <c r="E644" s="701" t="s">
        <v>8522</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6050</v>
      </c>
      <c r="C645" s="566">
        <f t="shared" si="9"/>
        <v>1339</v>
      </c>
      <c r="D645" s="700" t="s">
        <v>2221</v>
      </c>
      <c r="E645" s="701" t="s">
        <v>8523</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6051</v>
      </c>
      <c r="C646" s="566">
        <f t="shared" si="9"/>
        <v>1340</v>
      </c>
      <c r="D646" s="700" t="s">
        <v>2221</v>
      </c>
      <c r="E646" s="701" t="s">
        <v>8524</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6052</v>
      </c>
      <c r="C647" s="566">
        <f t="shared" si="9"/>
        <v>1341</v>
      </c>
      <c r="D647" s="700" t="s">
        <v>2221</v>
      </c>
      <c r="E647" s="701" t="s">
        <v>8525</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6053</v>
      </c>
      <c r="C648" s="566">
        <f t="shared" si="9"/>
        <v>1342</v>
      </c>
      <c r="D648" s="700" t="s">
        <v>2221</v>
      </c>
      <c r="E648" s="701" t="s">
        <v>8526</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6054</v>
      </c>
      <c r="C649" s="566">
        <f t="shared" ref="C649:C712" si="10">A649</f>
        <v>1343</v>
      </c>
      <c r="D649" s="700" t="s">
        <v>2221</v>
      </c>
      <c r="E649" s="701" t="s">
        <v>8527</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6055</v>
      </c>
      <c r="C650" s="566">
        <f t="shared" si="10"/>
        <v>1344</v>
      </c>
      <c r="D650" s="700" t="s">
        <v>2221</v>
      </c>
      <c r="E650" s="701" t="s">
        <v>8528</v>
      </c>
      <c r="F650" s="566">
        <v>1</v>
      </c>
      <c r="G650" s="662">
        <v>0</v>
      </c>
      <c r="H650" s="662">
        <v>0</v>
      </c>
      <c r="I650" s="662">
        <v>0</v>
      </c>
      <c r="J650" s="662">
        <v>33789.4034092496</v>
      </c>
      <c r="K650" s="566" t="s">
        <v>4718</v>
      </c>
      <c r="L650" s="549"/>
      <c r="O650" s="654"/>
      <c r="S650" s="550"/>
      <c r="T650" s="547"/>
      <c r="U650" s="547"/>
      <c r="V650" s="547"/>
      <c r="W650" s="549"/>
    </row>
    <row r="651" spans="1:23">
      <c r="A651" s="565">
        <v>1345</v>
      </c>
      <c r="B651" s="696" t="s">
        <v>6056</v>
      </c>
      <c r="C651" s="566">
        <f t="shared" si="10"/>
        <v>1345</v>
      </c>
      <c r="D651" s="700" t="s">
        <v>2221</v>
      </c>
      <c r="E651" s="701" t="s">
        <v>8529</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6057</v>
      </c>
      <c r="C652" s="566">
        <f t="shared" si="10"/>
        <v>1346</v>
      </c>
      <c r="D652" s="700" t="s">
        <v>2221</v>
      </c>
      <c r="E652" s="701" t="s">
        <v>8530</v>
      </c>
      <c r="F652" s="566">
        <v>1</v>
      </c>
      <c r="G652" s="662">
        <v>23961.815543663954</v>
      </c>
      <c r="H652" s="662">
        <v>25442.531362749018</v>
      </c>
      <c r="I652" s="662">
        <v>26221.830672642267</v>
      </c>
      <c r="J652" s="662">
        <v>27042.17260822036</v>
      </c>
      <c r="K652" s="566" t="s">
        <v>3977</v>
      </c>
      <c r="L652" s="549"/>
      <c r="O652" s="654"/>
      <c r="S652" s="550"/>
      <c r="T652" s="547"/>
      <c r="U652" s="547"/>
      <c r="V652" s="547"/>
      <c r="W652" s="549"/>
    </row>
    <row r="653" spans="1:23">
      <c r="A653" s="565">
        <v>1347</v>
      </c>
      <c r="B653" s="696" t="s">
        <v>6058</v>
      </c>
      <c r="C653" s="566">
        <f t="shared" si="10"/>
        <v>1347</v>
      </c>
      <c r="D653" s="700" t="s">
        <v>2221</v>
      </c>
      <c r="E653" s="701" t="s">
        <v>8531</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6059</v>
      </c>
      <c r="C654" s="566">
        <f t="shared" si="10"/>
        <v>1348</v>
      </c>
      <c r="D654" s="700" t="s">
        <v>2221</v>
      </c>
      <c r="E654" s="701" t="s">
        <v>8532</v>
      </c>
      <c r="F654" s="566">
        <v>2</v>
      </c>
      <c r="G654" s="662">
        <v>0</v>
      </c>
      <c r="H654" s="662">
        <v>0</v>
      </c>
      <c r="I654" s="662">
        <v>0</v>
      </c>
      <c r="J654" s="662">
        <v>31615.195566381979</v>
      </c>
      <c r="K654" s="566" t="s">
        <v>4719</v>
      </c>
      <c r="L654" s="549"/>
      <c r="O654" s="654"/>
      <c r="S654" s="550"/>
      <c r="T654" s="547"/>
      <c r="U654" s="547"/>
      <c r="V654" s="547"/>
      <c r="W654" s="549"/>
    </row>
    <row r="655" spans="1:23">
      <c r="A655" s="565">
        <v>1349</v>
      </c>
      <c r="B655" s="696" t="s">
        <v>6060</v>
      </c>
      <c r="C655" s="566">
        <f t="shared" si="10"/>
        <v>1349</v>
      </c>
      <c r="D655" s="700" t="s">
        <v>2221</v>
      </c>
      <c r="E655" s="701" t="s">
        <v>8533</v>
      </c>
      <c r="F655" s="566">
        <v>2</v>
      </c>
      <c r="G655" s="662">
        <v>0</v>
      </c>
      <c r="H655" s="662">
        <v>0</v>
      </c>
      <c r="I655" s="662">
        <v>0</v>
      </c>
      <c r="J655" s="662">
        <v>33948.164032750159</v>
      </c>
      <c r="K655" s="566" t="s">
        <v>4720</v>
      </c>
      <c r="L655" s="549"/>
      <c r="O655" s="654"/>
      <c r="S655" s="550"/>
      <c r="T655" s="547"/>
      <c r="U655" s="547"/>
      <c r="V655" s="547"/>
      <c r="W655" s="549"/>
    </row>
    <row r="656" spans="1:23">
      <c r="A656" s="565">
        <v>1350</v>
      </c>
      <c r="B656" s="696" t="s">
        <v>6061</v>
      </c>
      <c r="C656" s="566">
        <f t="shared" si="10"/>
        <v>1350</v>
      </c>
      <c r="D656" s="700" t="s">
        <v>2221</v>
      </c>
      <c r="E656" s="701" t="s">
        <v>8534</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6062</v>
      </c>
      <c r="C657" s="566">
        <f t="shared" si="10"/>
        <v>1351</v>
      </c>
      <c r="D657" s="700" t="s">
        <v>2221</v>
      </c>
      <c r="E657" s="701" t="s">
        <v>8535</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6063</v>
      </c>
      <c r="C658" s="566">
        <f t="shared" si="10"/>
        <v>1352</v>
      </c>
      <c r="D658" s="700" t="s">
        <v>2221</v>
      </c>
      <c r="E658" s="701" t="s">
        <v>8536</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6064</v>
      </c>
      <c r="C659" s="566">
        <f t="shared" si="10"/>
        <v>1353</v>
      </c>
      <c r="D659" s="700" t="s">
        <v>2221</v>
      </c>
      <c r="E659" s="701" t="s">
        <v>8537</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6065</v>
      </c>
      <c r="C660" s="566">
        <f t="shared" si="10"/>
        <v>1354</v>
      </c>
      <c r="D660" s="700" t="s">
        <v>2221</v>
      </c>
      <c r="E660" s="701" t="s">
        <v>8538</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6066</v>
      </c>
      <c r="C661" s="566">
        <f t="shared" si="10"/>
        <v>1355</v>
      </c>
      <c r="D661" s="700" t="s">
        <v>2221</v>
      </c>
      <c r="E661" s="701" t="s">
        <v>8539</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6067</v>
      </c>
      <c r="C662" s="566">
        <f t="shared" si="10"/>
        <v>1356</v>
      </c>
      <c r="D662" s="700" t="s">
        <v>2221</v>
      </c>
      <c r="E662" s="701" t="s">
        <v>8540</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6068</v>
      </c>
      <c r="C663" s="566">
        <f t="shared" si="10"/>
        <v>1357</v>
      </c>
      <c r="D663" s="700" t="s">
        <v>2221</v>
      </c>
      <c r="E663" s="701" t="s">
        <v>8541</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6069</v>
      </c>
      <c r="C664" s="566">
        <f t="shared" si="10"/>
        <v>1358</v>
      </c>
      <c r="D664" s="700" t="s">
        <v>2221</v>
      </c>
      <c r="E664" s="701" t="s">
        <v>8542</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6070</v>
      </c>
      <c r="C665" s="566">
        <f t="shared" si="10"/>
        <v>1359</v>
      </c>
      <c r="D665" s="700" t="s">
        <v>2221</v>
      </c>
      <c r="E665" s="701" t="s">
        <v>8543</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6071</v>
      </c>
      <c r="C666" s="566">
        <f t="shared" si="10"/>
        <v>1360</v>
      </c>
      <c r="D666" s="700" t="s">
        <v>2221</v>
      </c>
      <c r="E666" s="701" t="s">
        <v>8544</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6072</v>
      </c>
      <c r="C667" s="566">
        <f t="shared" si="10"/>
        <v>1361</v>
      </c>
      <c r="D667" s="700" t="s">
        <v>2221</v>
      </c>
      <c r="E667" s="701" t="s">
        <v>8545</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6073</v>
      </c>
      <c r="C668" s="566">
        <f t="shared" si="10"/>
        <v>1362</v>
      </c>
      <c r="D668" s="699" t="s">
        <v>2221</v>
      </c>
      <c r="E668" s="701" t="s">
        <v>8546</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6074</v>
      </c>
      <c r="C669" s="566">
        <f t="shared" si="10"/>
        <v>1363</v>
      </c>
      <c r="D669" s="700" t="s">
        <v>2221</v>
      </c>
      <c r="E669" s="701" t="s">
        <v>8547</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6075</v>
      </c>
      <c r="C670" s="566">
        <f t="shared" si="10"/>
        <v>1364</v>
      </c>
      <c r="D670" s="700" t="s">
        <v>2221</v>
      </c>
      <c r="E670" s="701" t="s">
        <v>8548</v>
      </c>
      <c r="F670" s="566">
        <v>2</v>
      </c>
      <c r="G670" s="662">
        <v>0</v>
      </c>
      <c r="H670" s="662">
        <v>0</v>
      </c>
      <c r="I670" s="662">
        <v>41145.659875958685</v>
      </c>
      <c r="J670" s="662">
        <v>42104.805665148015</v>
      </c>
      <c r="K670" s="566" t="s">
        <v>4721</v>
      </c>
      <c r="L670" s="549"/>
      <c r="O670" s="654"/>
      <c r="S670" s="550"/>
      <c r="T670" s="547"/>
      <c r="U670" s="547"/>
      <c r="V670" s="547"/>
      <c r="W670" s="549"/>
    </row>
    <row r="671" spans="1:23">
      <c r="A671" s="565">
        <v>1365</v>
      </c>
      <c r="B671" s="696" t="s">
        <v>6076</v>
      </c>
      <c r="C671" s="566">
        <f t="shared" si="10"/>
        <v>1365</v>
      </c>
      <c r="D671" s="700" t="s">
        <v>2221</v>
      </c>
      <c r="E671" s="701" t="s">
        <v>8549</v>
      </c>
      <c r="F671" s="566">
        <v>2</v>
      </c>
      <c r="G671" s="662">
        <v>0</v>
      </c>
      <c r="H671" s="662">
        <v>0</v>
      </c>
      <c r="I671" s="662">
        <v>36037.244844617198</v>
      </c>
      <c r="J671" s="662">
        <v>0</v>
      </c>
      <c r="K671" s="566" t="s">
        <v>4722</v>
      </c>
      <c r="L671" s="549"/>
      <c r="O671" s="654"/>
      <c r="S671" s="550"/>
      <c r="T671" s="547"/>
      <c r="U671" s="547"/>
      <c r="V671" s="547"/>
      <c r="W671" s="549"/>
    </row>
    <row r="672" spans="1:23">
      <c r="A672" s="565">
        <v>1366</v>
      </c>
      <c r="B672" s="696" t="s">
        <v>6077</v>
      </c>
      <c r="C672" s="566">
        <f t="shared" si="10"/>
        <v>1366</v>
      </c>
      <c r="D672" s="700" t="s">
        <v>2221</v>
      </c>
      <c r="E672" s="701" t="s">
        <v>8550</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6078</v>
      </c>
      <c r="C673" s="566">
        <f t="shared" si="10"/>
        <v>1367</v>
      </c>
      <c r="D673" s="700" t="s">
        <v>2221</v>
      </c>
      <c r="E673" s="701" t="s">
        <v>8551</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6079</v>
      </c>
      <c r="C674" s="566">
        <f t="shared" si="10"/>
        <v>1368</v>
      </c>
      <c r="D674" s="699" t="s">
        <v>2221</v>
      </c>
      <c r="E674" s="701" t="s">
        <v>8552</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6080</v>
      </c>
      <c r="C675" s="566">
        <f t="shared" si="10"/>
        <v>1369</v>
      </c>
      <c r="D675" s="700" t="s">
        <v>2221</v>
      </c>
      <c r="E675" s="701" t="s">
        <v>8553</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6081</v>
      </c>
      <c r="C676" s="566">
        <f t="shared" si="10"/>
        <v>1370</v>
      </c>
      <c r="D676" s="700" t="s">
        <v>2221</v>
      </c>
      <c r="E676" s="701" t="s">
        <v>8554</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6082</v>
      </c>
      <c r="C677" s="566">
        <f t="shared" si="10"/>
        <v>1371</v>
      </c>
      <c r="D677" s="700" t="s">
        <v>2221</v>
      </c>
      <c r="E677" s="701" t="s">
        <v>8555</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6083</v>
      </c>
      <c r="C678" s="566">
        <f t="shared" si="10"/>
        <v>1372</v>
      </c>
      <c r="D678" s="700" t="s">
        <v>2221</v>
      </c>
      <c r="E678" s="701" t="s">
        <v>8556</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6084</v>
      </c>
      <c r="C679" s="566">
        <f t="shared" si="10"/>
        <v>1373</v>
      </c>
      <c r="D679" s="700" t="s">
        <v>2221</v>
      </c>
      <c r="E679" s="701" t="s">
        <v>8557</v>
      </c>
      <c r="F679" s="566">
        <v>2</v>
      </c>
      <c r="G679" s="662">
        <v>0</v>
      </c>
      <c r="H679" s="662">
        <v>21414.514339414545</v>
      </c>
      <c r="I679" s="662">
        <v>21869.872561788521</v>
      </c>
      <c r="J679" s="662">
        <v>22349.183203615452</v>
      </c>
      <c r="K679" s="566" t="s">
        <v>4723</v>
      </c>
      <c r="L679" s="549"/>
      <c r="O679" s="654"/>
      <c r="S679" s="550"/>
      <c r="T679" s="547"/>
      <c r="U679" s="547"/>
      <c r="V679" s="547"/>
      <c r="W679" s="549"/>
    </row>
    <row r="680" spans="1:23">
      <c r="A680" s="565">
        <v>1374</v>
      </c>
      <c r="B680" s="696" t="s">
        <v>6085</v>
      </c>
      <c r="C680" s="566">
        <f t="shared" si="10"/>
        <v>1374</v>
      </c>
      <c r="D680" s="700" t="s">
        <v>2221</v>
      </c>
      <c r="E680" s="701" t="s">
        <v>8558</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6086</v>
      </c>
      <c r="C681" s="566">
        <f t="shared" si="10"/>
        <v>1375</v>
      </c>
      <c r="D681" s="700" t="s">
        <v>2221</v>
      </c>
      <c r="E681" s="701" t="s">
        <v>8559</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6087</v>
      </c>
      <c r="C682" s="566">
        <f t="shared" si="10"/>
        <v>1376</v>
      </c>
      <c r="D682" s="700" t="s">
        <v>2221</v>
      </c>
      <c r="E682" s="701" t="s">
        <v>8560</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6088</v>
      </c>
      <c r="C683" s="566">
        <f t="shared" si="10"/>
        <v>1377</v>
      </c>
      <c r="D683" s="700" t="s">
        <v>2221</v>
      </c>
      <c r="E683" s="701" t="s">
        <v>8561</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6089</v>
      </c>
      <c r="C684" s="566">
        <f t="shared" si="10"/>
        <v>1378</v>
      </c>
      <c r="D684" s="700" t="s">
        <v>2221</v>
      </c>
      <c r="E684" s="701" t="s">
        <v>8562</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6090</v>
      </c>
      <c r="C685" s="566">
        <f t="shared" si="10"/>
        <v>1379</v>
      </c>
      <c r="D685" s="700" t="s">
        <v>2221</v>
      </c>
      <c r="E685" s="701" t="s">
        <v>8563</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6091</v>
      </c>
      <c r="C686" s="566">
        <f t="shared" si="10"/>
        <v>1380</v>
      </c>
      <c r="D686" s="700" t="s">
        <v>2221</v>
      </c>
      <c r="E686" s="701" t="s">
        <v>8564</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6092</v>
      </c>
      <c r="C687" s="566">
        <f t="shared" si="10"/>
        <v>1381</v>
      </c>
      <c r="D687" s="700" t="s">
        <v>2221</v>
      </c>
      <c r="E687" s="701" t="s">
        <v>8565</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6093</v>
      </c>
      <c r="C688" s="566">
        <f t="shared" si="10"/>
        <v>1382</v>
      </c>
      <c r="D688" s="700" t="s">
        <v>2221</v>
      </c>
      <c r="E688" s="701" t="s">
        <v>8566</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6094</v>
      </c>
      <c r="C689" s="566">
        <f t="shared" si="10"/>
        <v>1383</v>
      </c>
      <c r="D689" s="700" t="s">
        <v>2221</v>
      </c>
      <c r="E689" s="701" t="s">
        <v>8567</v>
      </c>
      <c r="F689" s="566">
        <v>2</v>
      </c>
      <c r="G689" s="662">
        <v>0</v>
      </c>
      <c r="H689" s="662">
        <v>0</v>
      </c>
      <c r="I689" s="662">
        <v>0</v>
      </c>
      <c r="J689" s="662">
        <v>23568.230729340496</v>
      </c>
      <c r="K689" s="566" t="s">
        <v>4724</v>
      </c>
      <c r="L689" s="549"/>
      <c r="O689" s="654"/>
      <c r="S689" s="550"/>
      <c r="T689" s="547"/>
      <c r="U689" s="547"/>
      <c r="V689" s="547"/>
      <c r="W689" s="549"/>
    </row>
    <row r="690" spans="1:23">
      <c r="A690" s="565">
        <v>1384</v>
      </c>
      <c r="B690" s="696" t="s">
        <v>6095</v>
      </c>
      <c r="C690" s="566">
        <f t="shared" si="10"/>
        <v>1384</v>
      </c>
      <c r="D690" s="700" t="s">
        <v>2221</v>
      </c>
      <c r="E690" s="701" t="s">
        <v>8568</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6096</v>
      </c>
      <c r="C691" s="566">
        <f t="shared" si="10"/>
        <v>1385</v>
      </c>
      <c r="D691" s="699" t="s">
        <v>2221</v>
      </c>
      <c r="E691" s="701" t="s">
        <v>8569</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6097</v>
      </c>
      <c r="C692" s="566">
        <f t="shared" si="10"/>
        <v>1386</v>
      </c>
      <c r="D692" s="700" t="s">
        <v>2221</v>
      </c>
      <c r="E692" s="701" t="s">
        <v>8570</v>
      </c>
      <c r="F692" s="566">
        <v>2</v>
      </c>
      <c r="G692" s="662">
        <v>0</v>
      </c>
      <c r="H692" s="662">
        <v>0</v>
      </c>
      <c r="I692" s="662">
        <v>0</v>
      </c>
      <c r="J692" s="662">
        <v>24599.205628989152</v>
      </c>
      <c r="K692" s="566" t="s">
        <v>4725</v>
      </c>
      <c r="L692" s="549"/>
      <c r="M692" s="572"/>
      <c r="O692" s="654"/>
      <c r="S692" s="550"/>
      <c r="T692" s="547"/>
      <c r="U692" s="547"/>
      <c r="V692" s="547"/>
      <c r="W692" s="549"/>
    </row>
    <row r="693" spans="1:23">
      <c r="A693" s="565">
        <v>1387</v>
      </c>
      <c r="B693" s="696" t="s">
        <v>6098</v>
      </c>
      <c r="C693" s="566">
        <f t="shared" si="10"/>
        <v>1387</v>
      </c>
      <c r="D693" s="700" t="s">
        <v>2221</v>
      </c>
      <c r="E693" s="701" t="s">
        <v>8571</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6099</v>
      </c>
      <c r="C694" s="566">
        <f t="shared" si="10"/>
        <v>1388</v>
      </c>
      <c r="D694" s="700" t="s">
        <v>2221</v>
      </c>
      <c r="E694" s="701" t="s">
        <v>8572</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6100</v>
      </c>
      <c r="C695" s="566">
        <f t="shared" si="10"/>
        <v>1389</v>
      </c>
      <c r="D695" s="700" t="s">
        <v>2221</v>
      </c>
      <c r="E695" s="701" t="s">
        <v>8573</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6101</v>
      </c>
      <c r="C696" s="566">
        <f t="shared" si="10"/>
        <v>1390</v>
      </c>
      <c r="D696" s="700" t="s">
        <v>2221</v>
      </c>
      <c r="E696" s="701" t="s">
        <v>8574</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6102</v>
      </c>
      <c r="C697" s="566">
        <f t="shared" si="10"/>
        <v>1391</v>
      </c>
      <c r="D697" s="700" t="s">
        <v>2221</v>
      </c>
      <c r="E697" s="701" t="s">
        <v>8575</v>
      </c>
      <c r="F697" s="566">
        <v>2</v>
      </c>
      <c r="G697" s="662">
        <v>0</v>
      </c>
      <c r="H697" s="662">
        <v>0</v>
      </c>
      <c r="I697" s="662">
        <v>0</v>
      </c>
      <c r="J697" s="662">
        <v>25776.920488451633</v>
      </c>
      <c r="K697" s="566" t="s">
        <v>4726</v>
      </c>
      <c r="L697" s="549"/>
      <c r="M697" s="559"/>
      <c r="O697" s="654"/>
      <c r="S697" s="550"/>
      <c r="T697" s="547"/>
      <c r="U697" s="547"/>
      <c r="V697" s="547"/>
      <c r="W697" s="549"/>
    </row>
    <row r="698" spans="1:23">
      <c r="A698" s="565">
        <v>1392</v>
      </c>
      <c r="B698" s="695" t="s">
        <v>6103</v>
      </c>
      <c r="C698" s="566">
        <f t="shared" si="10"/>
        <v>1392</v>
      </c>
      <c r="D698" s="699" t="s">
        <v>2221</v>
      </c>
      <c r="E698" s="701" t="s">
        <v>8576</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6104</v>
      </c>
      <c r="C699" s="566">
        <f t="shared" si="10"/>
        <v>1393</v>
      </c>
      <c r="D699" s="700" t="s">
        <v>2221</v>
      </c>
      <c r="E699" s="701" t="s">
        <v>8577</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6105</v>
      </c>
      <c r="C700" s="566">
        <f t="shared" si="10"/>
        <v>1394</v>
      </c>
      <c r="D700" s="700" t="s">
        <v>2221</v>
      </c>
      <c r="E700" s="701" t="s">
        <v>8578</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6106</v>
      </c>
      <c r="C701" s="566">
        <f t="shared" si="10"/>
        <v>1395</v>
      </c>
      <c r="D701" s="700" t="s">
        <v>2221</v>
      </c>
      <c r="E701" s="701" t="s">
        <v>8579</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6107</v>
      </c>
      <c r="C702" s="566">
        <f t="shared" si="10"/>
        <v>1396</v>
      </c>
      <c r="D702" s="700" t="s">
        <v>2221</v>
      </c>
      <c r="E702" s="701" t="s">
        <v>8580</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6108</v>
      </c>
      <c r="C703" s="566">
        <f t="shared" si="10"/>
        <v>1397</v>
      </c>
      <c r="D703" s="700" t="s">
        <v>2221</v>
      </c>
      <c r="E703" s="701" t="s">
        <v>8581</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6109</v>
      </c>
      <c r="C704" s="566">
        <f t="shared" si="10"/>
        <v>1398</v>
      </c>
      <c r="D704" s="700" t="s">
        <v>2221</v>
      </c>
      <c r="E704" s="701" t="s">
        <v>8582</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6110</v>
      </c>
      <c r="C705" s="566">
        <f t="shared" si="10"/>
        <v>1399</v>
      </c>
      <c r="D705" s="700" t="s">
        <v>2221</v>
      </c>
      <c r="E705" s="701" t="s">
        <v>8583</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6111</v>
      </c>
      <c r="C706" s="566">
        <f t="shared" si="10"/>
        <v>1400</v>
      </c>
      <c r="D706" s="700" t="s">
        <v>2221</v>
      </c>
      <c r="E706" s="701" t="s">
        <v>8584</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6112</v>
      </c>
      <c r="C707" s="566">
        <f t="shared" si="10"/>
        <v>1401</v>
      </c>
      <c r="D707" s="700" t="s">
        <v>2221</v>
      </c>
      <c r="E707" s="701" t="s">
        <v>8585</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6113</v>
      </c>
      <c r="C708" s="566">
        <f t="shared" si="10"/>
        <v>1402</v>
      </c>
      <c r="D708" s="700" t="s">
        <v>2221</v>
      </c>
      <c r="E708" s="701" t="s">
        <v>8586</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6114</v>
      </c>
      <c r="C709" s="566">
        <f t="shared" si="10"/>
        <v>1403</v>
      </c>
      <c r="D709" s="699" t="s">
        <v>2221</v>
      </c>
      <c r="E709" s="701" t="s">
        <v>8587</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6115</v>
      </c>
      <c r="C710" s="566">
        <f t="shared" si="10"/>
        <v>1404</v>
      </c>
      <c r="D710" s="699" t="s">
        <v>2221</v>
      </c>
      <c r="E710" s="701" t="s">
        <v>8588</v>
      </c>
      <c r="F710" s="567">
        <v>1</v>
      </c>
      <c r="G710" s="662">
        <v>0</v>
      </c>
      <c r="H710" s="662">
        <v>0</v>
      </c>
      <c r="I710" s="662">
        <v>0</v>
      </c>
      <c r="J710" s="662">
        <v>25752.811084542387</v>
      </c>
      <c r="K710" s="568" t="s">
        <v>4727</v>
      </c>
      <c r="L710" s="549"/>
      <c r="M710" s="540"/>
      <c r="O710" s="654"/>
      <c r="S710" s="550"/>
      <c r="T710" s="547"/>
      <c r="U710" s="547"/>
      <c r="V710" s="547"/>
      <c r="W710" s="549"/>
    </row>
    <row r="711" spans="1:23">
      <c r="A711" s="565">
        <v>1405</v>
      </c>
      <c r="B711" s="695" t="s">
        <v>6116</v>
      </c>
      <c r="C711" s="566">
        <f t="shared" si="10"/>
        <v>1405</v>
      </c>
      <c r="D711" s="699" t="s">
        <v>2221</v>
      </c>
      <c r="E711" s="701" t="s">
        <v>8589</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6117</v>
      </c>
      <c r="C712" s="566">
        <f t="shared" si="10"/>
        <v>1406</v>
      </c>
      <c r="D712" s="700" t="s">
        <v>2221</v>
      </c>
      <c r="E712" s="701" t="s">
        <v>8590</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6118</v>
      </c>
      <c r="C713" s="566">
        <f t="shared" ref="C713:C776" si="11">A713</f>
        <v>1407</v>
      </c>
      <c r="D713" s="700" t="s">
        <v>2221</v>
      </c>
      <c r="E713" s="701" t="s">
        <v>8591</v>
      </c>
      <c r="F713" s="566">
        <v>1</v>
      </c>
      <c r="G713" s="662">
        <v>0</v>
      </c>
      <c r="H713" s="662">
        <v>0</v>
      </c>
      <c r="I713" s="662">
        <v>20850.741386601894</v>
      </c>
      <c r="J713" s="662">
        <v>21555.357891139378</v>
      </c>
      <c r="K713" s="566" t="s">
        <v>3978</v>
      </c>
      <c r="L713" s="549"/>
      <c r="M713" s="540"/>
      <c r="O713" s="654"/>
      <c r="S713" s="550"/>
      <c r="T713" s="547"/>
      <c r="U713" s="547"/>
      <c r="V713" s="547"/>
      <c r="W713" s="549"/>
    </row>
    <row r="714" spans="1:23">
      <c r="A714" s="565">
        <v>1408</v>
      </c>
      <c r="B714" s="696" t="s">
        <v>6119</v>
      </c>
      <c r="C714" s="566">
        <f t="shared" si="11"/>
        <v>1408</v>
      </c>
      <c r="D714" s="700" t="s">
        <v>2221</v>
      </c>
      <c r="E714" s="701" t="s">
        <v>8592</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6120</v>
      </c>
      <c r="C715" s="566">
        <f t="shared" si="11"/>
        <v>1409</v>
      </c>
      <c r="D715" s="700" t="s">
        <v>2221</v>
      </c>
      <c r="E715" s="701" t="s">
        <v>8593</v>
      </c>
      <c r="F715" s="566">
        <v>1</v>
      </c>
      <c r="G715" s="662">
        <v>0</v>
      </c>
      <c r="H715" s="662">
        <v>0</v>
      </c>
      <c r="I715" s="662">
        <v>83613.434267054516</v>
      </c>
      <c r="J715" s="662">
        <v>86700.46232670726</v>
      </c>
      <c r="K715" s="566" t="s">
        <v>4728</v>
      </c>
      <c r="L715" s="549"/>
      <c r="M715" s="540"/>
      <c r="O715" s="654"/>
      <c r="S715" s="550"/>
      <c r="T715" s="547"/>
      <c r="U715" s="547"/>
      <c r="V715" s="547"/>
      <c r="W715" s="549"/>
    </row>
    <row r="716" spans="1:23">
      <c r="A716" s="565">
        <v>1410</v>
      </c>
      <c r="B716" s="696" t="s">
        <v>6121</v>
      </c>
      <c r="C716" s="566">
        <f t="shared" si="11"/>
        <v>1410</v>
      </c>
      <c r="D716" s="700" t="s">
        <v>2221</v>
      </c>
      <c r="E716" s="701" t="s">
        <v>8594</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6122</v>
      </c>
      <c r="C717" s="566">
        <f t="shared" si="11"/>
        <v>1411</v>
      </c>
      <c r="D717" s="700" t="s">
        <v>4579</v>
      </c>
      <c r="E717" s="701" t="s">
        <v>8595</v>
      </c>
      <c r="F717" s="566">
        <v>2</v>
      </c>
      <c r="G717" s="662">
        <v>0</v>
      </c>
      <c r="H717" s="662">
        <v>0</v>
      </c>
      <c r="I717" s="662">
        <v>0</v>
      </c>
      <c r="J717" s="662">
        <v>15187.911645949851</v>
      </c>
      <c r="K717" s="566" t="s">
        <v>4729</v>
      </c>
      <c r="L717" s="549"/>
      <c r="M717" s="540"/>
      <c r="O717" s="654"/>
      <c r="S717" s="550"/>
      <c r="T717" s="547"/>
      <c r="U717" s="547"/>
      <c r="V717" s="547"/>
      <c r="W717" s="549"/>
    </row>
    <row r="718" spans="1:23">
      <c r="A718" s="565">
        <v>1412</v>
      </c>
      <c r="B718" s="696" t="s">
        <v>6123</v>
      </c>
      <c r="C718" s="566">
        <f t="shared" si="11"/>
        <v>1412</v>
      </c>
      <c r="D718" s="700" t="s">
        <v>4579</v>
      </c>
      <c r="E718" s="701" t="s">
        <v>8596</v>
      </c>
      <c r="F718" s="566">
        <v>2</v>
      </c>
      <c r="G718" s="662">
        <v>12216.855564442862</v>
      </c>
      <c r="H718" s="662">
        <v>0</v>
      </c>
      <c r="I718" s="662">
        <v>0</v>
      </c>
      <c r="J718" s="662">
        <v>0</v>
      </c>
      <c r="K718" s="566" t="s">
        <v>5249</v>
      </c>
      <c r="L718" s="549"/>
      <c r="M718" s="540"/>
      <c r="O718" s="654"/>
      <c r="S718" s="550"/>
      <c r="T718" s="547"/>
      <c r="U718" s="547"/>
      <c r="V718" s="547"/>
      <c r="W718" s="549"/>
    </row>
    <row r="719" spans="1:23">
      <c r="A719" s="565">
        <v>1413</v>
      </c>
      <c r="B719" s="696" t="s">
        <v>6124</v>
      </c>
      <c r="C719" s="566">
        <f t="shared" si="11"/>
        <v>1413</v>
      </c>
      <c r="D719" s="700" t="s">
        <v>5165</v>
      </c>
      <c r="E719" s="701" t="s">
        <v>8597</v>
      </c>
      <c r="F719" s="566">
        <v>2</v>
      </c>
      <c r="G719" s="662">
        <v>9585.4611151017707</v>
      </c>
      <c r="H719" s="662">
        <v>0</v>
      </c>
      <c r="I719" s="662">
        <v>0</v>
      </c>
      <c r="J719" s="662">
        <v>0</v>
      </c>
      <c r="K719" s="566" t="s">
        <v>5250</v>
      </c>
      <c r="L719" s="549"/>
      <c r="M719" s="540"/>
      <c r="O719" s="654"/>
      <c r="S719" s="550"/>
      <c r="T719" s="547"/>
      <c r="U719" s="547"/>
      <c r="V719" s="547"/>
      <c r="W719" s="549"/>
    </row>
    <row r="720" spans="1:23">
      <c r="A720" s="565">
        <v>1414</v>
      </c>
      <c r="B720" s="696" t="s">
        <v>6125</v>
      </c>
      <c r="C720" s="566">
        <f t="shared" si="11"/>
        <v>1414</v>
      </c>
      <c r="D720" s="700" t="s">
        <v>5165</v>
      </c>
      <c r="E720" s="701" t="s">
        <v>8598</v>
      </c>
      <c r="F720" s="566">
        <v>2</v>
      </c>
      <c r="G720" s="662">
        <v>19871.48865754106</v>
      </c>
      <c r="H720" s="662">
        <v>0</v>
      </c>
      <c r="I720" s="662">
        <v>0</v>
      </c>
      <c r="J720" s="662">
        <v>0</v>
      </c>
      <c r="K720" s="566" t="s">
        <v>5251</v>
      </c>
      <c r="L720" s="549"/>
      <c r="M720" s="540"/>
      <c r="O720" s="654"/>
      <c r="S720" s="550"/>
      <c r="T720" s="547"/>
      <c r="U720" s="547"/>
      <c r="V720" s="547"/>
      <c r="W720" s="549"/>
    </row>
    <row r="721" spans="1:23">
      <c r="A721" s="565">
        <v>1415</v>
      </c>
      <c r="B721" s="695" t="s">
        <v>6126</v>
      </c>
      <c r="C721" s="566">
        <f t="shared" si="11"/>
        <v>1415</v>
      </c>
      <c r="D721" s="699" t="s">
        <v>5165</v>
      </c>
      <c r="E721" s="701" t="s">
        <v>8599</v>
      </c>
      <c r="F721" s="567">
        <v>2</v>
      </c>
      <c r="G721" s="662">
        <v>11746.449014545544</v>
      </c>
      <c r="H721" s="662">
        <v>0</v>
      </c>
      <c r="I721" s="662">
        <v>0</v>
      </c>
      <c r="J721" s="662">
        <v>0</v>
      </c>
      <c r="K721" s="568" t="s">
        <v>5252</v>
      </c>
      <c r="L721" s="549"/>
      <c r="M721" s="540"/>
      <c r="O721" s="654"/>
      <c r="S721" s="550"/>
      <c r="T721" s="547"/>
      <c r="U721" s="547"/>
      <c r="V721" s="547"/>
      <c r="W721" s="549"/>
    </row>
    <row r="722" spans="1:23">
      <c r="A722" s="565">
        <v>1416</v>
      </c>
      <c r="B722" s="696" t="s">
        <v>6127</v>
      </c>
      <c r="C722" s="566">
        <f t="shared" si="11"/>
        <v>1416</v>
      </c>
      <c r="D722" s="700" t="s">
        <v>2222</v>
      </c>
      <c r="E722" s="701" t="s">
        <v>8600</v>
      </c>
      <c r="F722" s="566">
        <v>2</v>
      </c>
      <c r="G722" s="662">
        <v>19423.164585455899</v>
      </c>
      <c r="H722" s="662">
        <v>20132.252831964746</v>
      </c>
      <c r="I722" s="662">
        <v>20878.658951746031</v>
      </c>
      <c r="J722" s="662">
        <v>21664.329118112513</v>
      </c>
      <c r="K722" s="566" t="s">
        <v>4730</v>
      </c>
      <c r="L722" s="549"/>
      <c r="M722" s="540"/>
      <c r="O722" s="654"/>
      <c r="S722" s="550"/>
      <c r="T722" s="547"/>
      <c r="U722" s="547"/>
      <c r="V722" s="547"/>
      <c r="W722" s="549"/>
    </row>
    <row r="723" spans="1:23">
      <c r="A723" s="565">
        <v>1417</v>
      </c>
      <c r="B723" s="696" t="s">
        <v>6128</v>
      </c>
      <c r="C723" s="566">
        <f t="shared" si="11"/>
        <v>1417</v>
      </c>
      <c r="D723" s="700" t="s">
        <v>2222</v>
      </c>
      <c r="E723" s="701" t="s">
        <v>8601</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6129</v>
      </c>
      <c r="C724" s="566">
        <f t="shared" si="11"/>
        <v>1418</v>
      </c>
      <c r="D724" s="700" t="s">
        <v>2222</v>
      </c>
      <c r="E724" s="701" t="s">
        <v>8602</v>
      </c>
      <c r="F724" s="566">
        <v>2</v>
      </c>
      <c r="G724" s="662">
        <v>9767.9131546823082</v>
      </c>
      <c r="H724" s="662">
        <v>10051.373297687702</v>
      </c>
      <c r="I724" s="662">
        <v>10349.770320868629</v>
      </c>
      <c r="J724" s="662">
        <v>10663.83403921738</v>
      </c>
      <c r="K724" s="566" t="s">
        <v>3979</v>
      </c>
      <c r="L724" s="549"/>
      <c r="M724" s="540"/>
      <c r="O724" s="654"/>
      <c r="S724" s="550"/>
      <c r="T724" s="547"/>
      <c r="U724" s="547"/>
      <c r="V724" s="547"/>
      <c r="W724" s="549"/>
    </row>
    <row r="725" spans="1:23">
      <c r="A725" s="565">
        <v>1419</v>
      </c>
      <c r="B725" s="696" t="s">
        <v>6130</v>
      </c>
      <c r="C725" s="566">
        <f t="shared" si="11"/>
        <v>1419</v>
      </c>
      <c r="D725" s="700" t="s">
        <v>2222</v>
      </c>
      <c r="E725" s="701" t="s">
        <v>8603</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6131</v>
      </c>
      <c r="C726" s="566">
        <f t="shared" si="11"/>
        <v>1420</v>
      </c>
      <c r="D726" s="700" t="s">
        <v>4580</v>
      </c>
      <c r="E726" s="701" t="s">
        <v>8604</v>
      </c>
      <c r="F726" s="566">
        <v>1</v>
      </c>
      <c r="G726" s="662">
        <v>0</v>
      </c>
      <c r="H726" s="662">
        <v>198558.99442489198</v>
      </c>
      <c r="I726" s="662">
        <v>0</v>
      </c>
      <c r="J726" s="662">
        <v>0</v>
      </c>
      <c r="K726" s="566" t="s">
        <v>4731</v>
      </c>
      <c r="L726" s="549"/>
      <c r="M726" s="540"/>
      <c r="O726" s="654"/>
      <c r="S726" s="550"/>
      <c r="T726" s="547"/>
      <c r="U726" s="547"/>
      <c r="V726" s="547"/>
      <c r="W726" s="549"/>
    </row>
    <row r="727" spans="1:23">
      <c r="A727" s="565">
        <v>1421</v>
      </c>
      <c r="B727" s="696" t="s">
        <v>6132</v>
      </c>
      <c r="C727" s="566">
        <f t="shared" si="11"/>
        <v>1421</v>
      </c>
      <c r="D727" s="700" t="s">
        <v>2223</v>
      </c>
      <c r="E727" s="701" t="s">
        <v>8605</v>
      </c>
      <c r="F727" s="566">
        <v>1</v>
      </c>
      <c r="G727" s="662">
        <v>0</v>
      </c>
      <c r="H727" s="662">
        <v>18696.15212772461</v>
      </c>
      <c r="I727" s="662">
        <v>19715.45686655906</v>
      </c>
      <c r="J727" s="662">
        <v>20251.92986916233</v>
      </c>
      <c r="K727" s="566" t="s">
        <v>3980</v>
      </c>
      <c r="L727" s="549"/>
      <c r="M727" s="540"/>
      <c r="O727" s="654"/>
      <c r="S727" s="550"/>
      <c r="T727" s="547"/>
      <c r="U727" s="547"/>
      <c r="V727" s="547"/>
      <c r="W727" s="549"/>
    </row>
    <row r="728" spans="1:23">
      <c r="A728" s="565">
        <v>1422</v>
      </c>
      <c r="B728" s="696" t="s">
        <v>6133</v>
      </c>
      <c r="C728" s="566">
        <f t="shared" si="11"/>
        <v>1422</v>
      </c>
      <c r="D728" s="700" t="s">
        <v>2223</v>
      </c>
      <c r="E728" s="701" t="s">
        <v>8606</v>
      </c>
      <c r="F728" s="566">
        <v>1</v>
      </c>
      <c r="G728" s="662">
        <v>0</v>
      </c>
      <c r="H728" s="662">
        <v>47754.719790990821</v>
      </c>
      <c r="I728" s="662">
        <v>49152.349321898429</v>
      </c>
      <c r="J728" s="662">
        <v>50623.562119781047</v>
      </c>
      <c r="K728" s="566" t="s">
        <v>3981</v>
      </c>
      <c r="L728" s="549"/>
      <c r="M728" s="540"/>
      <c r="O728" s="654"/>
      <c r="S728" s="550"/>
      <c r="T728" s="547"/>
      <c r="U728" s="547"/>
      <c r="V728" s="547"/>
      <c r="W728" s="549"/>
    </row>
    <row r="729" spans="1:23">
      <c r="A729" s="565">
        <v>1423</v>
      </c>
      <c r="B729" s="696" t="s">
        <v>6134</v>
      </c>
      <c r="C729" s="566">
        <f t="shared" si="11"/>
        <v>1423</v>
      </c>
      <c r="D729" s="700" t="s">
        <v>2223</v>
      </c>
      <c r="E729" s="701" t="s">
        <v>8607</v>
      </c>
      <c r="F729" s="566">
        <v>1</v>
      </c>
      <c r="G729" s="662">
        <v>13886.605607337546</v>
      </c>
      <c r="H729" s="662">
        <v>0</v>
      </c>
      <c r="I729" s="662">
        <v>0</v>
      </c>
      <c r="J729" s="662">
        <v>0</v>
      </c>
      <c r="K729" s="566" t="s">
        <v>5253</v>
      </c>
      <c r="L729" s="549"/>
      <c r="M729" s="540"/>
      <c r="O729" s="654"/>
      <c r="S729" s="550"/>
      <c r="T729" s="547"/>
      <c r="U729" s="547"/>
      <c r="V729" s="547"/>
      <c r="W729" s="549"/>
    </row>
    <row r="730" spans="1:23">
      <c r="A730" s="565">
        <v>1424</v>
      </c>
      <c r="B730" s="696" t="s">
        <v>6135</v>
      </c>
      <c r="C730" s="566">
        <f t="shared" si="11"/>
        <v>1424</v>
      </c>
      <c r="D730" s="700" t="s">
        <v>2223</v>
      </c>
      <c r="E730" s="701" t="s">
        <v>8608</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6136</v>
      </c>
      <c r="C731" s="566">
        <f t="shared" si="11"/>
        <v>1425</v>
      </c>
      <c r="D731" s="700" t="s">
        <v>2223</v>
      </c>
      <c r="E731" s="701" t="s">
        <v>8609</v>
      </c>
      <c r="F731" s="566">
        <v>1</v>
      </c>
      <c r="G731" s="662">
        <v>0</v>
      </c>
      <c r="H731" s="662">
        <v>0</v>
      </c>
      <c r="I731" s="662">
        <v>0</v>
      </c>
      <c r="J731" s="662">
        <v>18528.929809517886</v>
      </c>
      <c r="K731" s="566" t="s">
        <v>4732</v>
      </c>
      <c r="L731" s="549"/>
      <c r="M731" s="540"/>
      <c r="O731" s="654"/>
      <c r="S731" s="550"/>
      <c r="T731" s="547"/>
      <c r="U731" s="547"/>
      <c r="V731" s="547"/>
      <c r="W731" s="549"/>
    </row>
    <row r="732" spans="1:23">
      <c r="A732" s="565">
        <v>1426</v>
      </c>
      <c r="B732" s="695" t="s">
        <v>6137</v>
      </c>
      <c r="C732" s="566">
        <f t="shared" si="11"/>
        <v>1426</v>
      </c>
      <c r="D732" s="699" t="s">
        <v>2223</v>
      </c>
      <c r="E732" s="701" t="s">
        <v>8610</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6138</v>
      </c>
      <c r="C733" s="566">
        <f t="shared" si="11"/>
        <v>1427</v>
      </c>
      <c r="D733" s="700" t="s">
        <v>2223</v>
      </c>
      <c r="E733" s="701" t="s">
        <v>8611</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6139</v>
      </c>
      <c r="C734" s="566">
        <f t="shared" si="11"/>
        <v>1428</v>
      </c>
      <c r="D734" s="700" t="s">
        <v>2223</v>
      </c>
      <c r="E734" s="701" t="s">
        <v>8612</v>
      </c>
      <c r="F734" s="566">
        <v>1</v>
      </c>
      <c r="G734" s="662">
        <v>0</v>
      </c>
      <c r="H734" s="662">
        <v>12215.788337910333</v>
      </c>
      <c r="I734" s="662">
        <v>12549.764051486884</v>
      </c>
      <c r="J734" s="662">
        <v>12866.15098087056</v>
      </c>
      <c r="K734" s="566" t="s">
        <v>3982</v>
      </c>
      <c r="L734" s="549"/>
      <c r="M734" s="540"/>
      <c r="O734" s="654"/>
      <c r="S734" s="550"/>
      <c r="T734" s="547"/>
      <c r="U734" s="547"/>
      <c r="V734" s="547"/>
      <c r="W734" s="549"/>
    </row>
    <row r="735" spans="1:23">
      <c r="A735" s="565">
        <v>1429</v>
      </c>
      <c r="B735" s="696" t="s">
        <v>6140</v>
      </c>
      <c r="C735" s="566">
        <f t="shared" si="11"/>
        <v>1429</v>
      </c>
      <c r="D735" s="700" t="s">
        <v>2223</v>
      </c>
      <c r="E735" s="701" t="s">
        <v>8613</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6141</v>
      </c>
      <c r="C736" s="566">
        <f t="shared" si="11"/>
        <v>1430</v>
      </c>
      <c r="D736" s="700" t="s">
        <v>2223</v>
      </c>
      <c r="E736" s="701" t="s">
        <v>8614</v>
      </c>
      <c r="F736" s="566">
        <v>1</v>
      </c>
      <c r="G736" s="662">
        <v>14201.595836779494</v>
      </c>
      <c r="H736" s="662">
        <v>0</v>
      </c>
      <c r="I736" s="662">
        <v>0</v>
      </c>
      <c r="J736" s="662">
        <v>0</v>
      </c>
      <c r="K736" s="566" t="s">
        <v>5254</v>
      </c>
      <c r="L736" s="549"/>
      <c r="M736" s="540"/>
      <c r="O736" s="654"/>
      <c r="S736" s="550"/>
      <c r="T736" s="547"/>
      <c r="U736" s="547"/>
      <c r="V736" s="547"/>
      <c r="W736" s="549"/>
    </row>
    <row r="737" spans="1:23">
      <c r="A737" s="565">
        <v>1431</v>
      </c>
      <c r="B737" s="696" t="s">
        <v>6142</v>
      </c>
      <c r="C737" s="566">
        <f t="shared" si="11"/>
        <v>1431</v>
      </c>
      <c r="D737" s="700" t="s">
        <v>2223</v>
      </c>
      <c r="E737" s="701" t="s">
        <v>8615</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6143</v>
      </c>
      <c r="C738" s="566">
        <f t="shared" si="11"/>
        <v>1432</v>
      </c>
      <c r="D738" s="700" t="s">
        <v>2223</v>
      </c>
      <c r="E738" s="701" t="s">
        <v>8616</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6144</v>
      </c>
      <c r="C739" s="566">
        <f t="shared" si="11"/>
        <v>1433</v>
      </c>
      <c r="D739" s="700" t="s">
        <v>2223</v>
      </c>
      <c r="E739" s="701" t="s">
        <v>8617</v>
      </c>
      <c r="F739" s="566">
        <v>1</v>
      </c>
      <c r="G739" s="662">
        <v>14629.816861445943</v>
      </c>
      <c r="H739" s="662">
        <v>0</v>
      </c>
      <c r="I739" s="662">
        <v>0</v>
      </c>
      <c r="J739" s="662">
        <v>0</v>
      </c>
      <c r="K739" s="566" t="s">
        <v>5255</v>
      </c>
      <c r="L739" s="549"/>
      <c r="M739" s="540"/>
      <c r="O739" s="654"/>
      <c r="S739" s="550"/>
      <c r="T739" s="547"/>
      <c r="U739" s="547"/>
      <c r="V739" s="547"/>
      <c r="W739" s="549"/>
    </row>
    <row r="740" spans="1:23">
      <c r="A740" s="565">
        <v>1434</v>
      </c>
      <c r="B740" s="696" t="s">
        <v>6145</v>
      </c>
      <c r="C740" s="566">
        <f t="shared" si="11"/>
        <v>1434</v>
      </c>
      <c r="D740" s="700" t="s">
        <v>2223</v>
      </c>
      <c r="E740" s="701" t="s">
        <v>8618</v>
      </c>
      <c r="F740" s="566">
        <v>1</v>
      </c>
      <c r="G740" s="662">
        <v>0</v>
      </c>
      <c r="H740" s="662">
        <v>0</v>
      </c>
      <c r="I740" s="662">
        <v>15727.495203204911</v>
      </c>
      <c r="J740" s="662">
        <v>16132.610459022975</v>
      </c>
      <c r="K740" s="566" t="s">
        <v>4733</v>
      </c>
      <c r="L740" s="549"/>
      <c r="M740" s="540"/>
      <c r="O740" s="654"/>
      <c r="S740" s="550"/>
      <c r="T740" s="547"/>
      <c r="U740" s="547"/>
      <c r="V740" s="547"/>
      <c r="W740" s="549"/>
    </row>
    <row r="741" spans="1:23">
      <c r="A741" s="565">
        <v>1435</v>
      </c>
      <c r="B741" s="696" t="s">
        <v>6146</v>
      </c>
      <c r="C741" s="566">
        <f t="shared" si="11"/>
        <v>1435</v>
      </c>
      <c r="D741" s="700" t="s">
        <v>2223</v>
      </c>
      <c r="E741" s="701" t="s">
        <v>8619</v>
      </c>
      <c r="F741" s="566">
        <v>1</v>
      </c>
      <c r="G741" s="662">
        <v>16116.239369662748</v>
      </c>
      <c r="H741" s="662">
        <v>0</v>
      </c>
      <c r="I741" s="662">
        <v>0</v>
      </c>
      <c r="J741" s="662">
        <v>0</v>
      </c>
      <c r="K741" s="566" t="s">
        <v>5256</v>
      </c>
      <c r="L741" s="549"/>
      <c r="M741" s="540"/>
      <c r="O741" s="654"/>
      <c r="S741" s="550"/>
      <c r="T741" s="547"/>
      <c r="U741" s="547"/>
      <c r="V741" s="547"/>
      <c r="W741" s="549"/>
    </row>
    <row r="742" spans="1:23">
      <c r="A742" s="565">
        <v>1436</v>
      </c>
      <c r="B742" s="696" t="s">
        <v>6147</v>
      </c>
      <c r="C742" s="566">
        <f t="shared" si="11"/>
        <v>1436</v>
      </c>
      <c r="D742" s="700" t="s">
        <v>2223</v>
      </c>
      <c r="E742" s="701" t="s">
        <v>8620</v>
      </c>
      <c r="F742" s="566">
        <v>1</v>
      </c>
      <c r="G742" s="662">
        <v>9862.6711462116255</v>
      </c>
      <c r="H742" s="662">
        <v>0</v>
      </c>
      <c r="I742" s="662">
        <v>0</v>
      </c>
      <c r="J742" s="662">
        <v>0</v>
      </c>
      <c r="K742" s="566" t="s">
        <v>5257</v>
      </c>
      <c r="L742" s="549"/>
      <c r="M742" s="540"/>
      <c r="O742" s="654"/>
      <c r="S742" s="550"/>
      <c r="T742" s="547"/>
      <c r="U742" s="547"/>
      <c r="V742" s="547"/>
      <c r="W742" s="549"/>
    </row>
    <row r="743" spans="1:23">
      <c r="A743" s="565">
        <v>1437</v>
      </c>
      <c r="B743" s="696" t="s">
        <v>6148</v>
      </c>
      <c r="C743" s="566">
        <f t="shared" si="11"/>
        <v>1437</v>
      </c>
      <c r="D743" s="700" t="s">
        <v>2223</v>
      </c>
      <c r="E743" s="701" t="s">
        <v>8621</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6149</v>
      </c>
      <c r="C744" s="566">
        <f t="shared" si="11"/>
        <v>1438</v>
      </c>
      <c r="D744" s="700" t="s">
        <v>2223</v>
      </c>
      <c r="E744" s="701" t="s">
        <v>8622</v>
      </c>
      <c r="F744" s="566">
        <v>2</v>
      </c>
      <c r="G744" s="662">
        <v>0</v>
      </c>
      <c r="H744" s="662">
        <v>0</v>
      </c>
      <c r="I744" s="662">
        <v>0</v>
      </c>
      <c r="J744" s="662">
        <v>23585.339573233403</v>
      </c>
      <c r="K744" s="566" t="s">
        <v>4734</v>
      </c>
      <c r="L744" s="549"/>
      <c r="M744" s="540"/>
      <c r="O744" s="654"/>
      <c r="S744" s="550"/>
      <c r="T744" s="547"/>
      <c r="U744" s="547"/>
      <c r="V744" s="547"/>
      <c r="W744" s="549"/>
    </row>
    <row r="745" spans="1:23">
      <c r="A745" s="565">
        <v>1439</v>
      </c>
      <c r="B745" s="696" t="s">
        <v>6150</v>
      </c>
      <c r="C745" s="566">
        <f t="shared" si="11"/>
        <v>1439</v>
      </c>
      <c r="D745" s="700" t="s">
        <v>2223</v>
      </c>
      <c r="E745" s="701" t="s">
        <v>8623</v>
      </c>
      <c r="F745" s="566">
        <v>2</v>
      </c>
      <c r="G745" s="662">
        <v>0</v>
      </c>
      <c r="H745" s="662">
        <v>0</v>
      </c>
      <c r="I745" s="662">
        <v>0</v>
      </c>
      <c r="J745" s="662">
        <v>29504.846426115662</v>
      </c>
      <c r="K745" s="566" t="s">
        <v>4735</v>
      </c>
      <c r="L745" s="549"/>
      <c r="M745" s="540"/>
      <c r="O745" s="654"/>
      <c r="S745" s="550"/>
      <c r="T745" s="547"/>
      <c r="U745" s="547"/>
      <c r="V745" s="547"/>
      <c r="W745" s="549"/>
    </row>
    <row r="746" spans="1:23">
      <c r="A746" s="565">
        <v>1440</v>
      </c>
      <c r="B746" s="695" t="s">
        <v>6151</v>
      </c>
      <c r="C746" s="566">
        <f t="shared" si="11"/>
        <v>1440</v>
      </c>
      <c r="D746" s="699" t="s">
        <v>2223</v>
      </c>
      <c r="E746" s="701" t="s">
        <v>8624</v>
      </c>
      <c r="F746" s="567">
        <v>2</v>
      </c>
      <c r="G746" s="662">
        <v>0</v>
      </c>
      <c r="H746" s="662">
        <v>0</v>
      </c>
      <c r="I746" s="662">
        <v>0</v>
      </c>
      <c r="J746" s="662">
        <v>23070.599846895821</v>
      </c>
      <c r="K746" s="568" t="s">
        <v>4736</v>
      </c>
      <c r="L746" s="549"/>
      <c r="M746" s="540"/>
      <c r="O746" s="654"/>
      <c r="S746" s="550"/>
      <c r="T746" s="547"/>
      <c r="U746" s="547"/>
      <c r="V746" s="547"/>
      <c r="W746" s="549"/>
    </row>
    <row r="747" spans="1:23">
      <c r="A747" s="565">
        <v>1441</v>
      </c>
      <c r="B747" s="696" t="s">
        <v>6152</v>
      </c>
      <c r="C747" s="566">
        <f t="shared" si="11"/>
        <v>1441</v>
      </c>
      <c r="D747" s="700" t="s">
        <v>2223</v>
      </c>
      <c r="E747" s="701" t="s">
        <v>8625</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6153</v>
      </c>
      <c r="C748" s="566">
        <f t="shared" si="11"/>
        <v>1442</v>
      </c>
      <c r="D748" s="700" t="s">
        <v>2223</v>
      </c>
      <c r="E748" s="701" t="s">
        <v>8626</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6154</v>
      </c>
      <c r="C749" s="566">
        <f t="shared" si="11"/>
        <v>1443</v>
      </c>
      <c r="D749" s="699" t="s">
        <v>2223</v>
      </c>
      <c r="E749" s="701" t="s">
        <v>8627</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6155</v>
      </c>
      <c r="C750" s="566">
        <f t="shared" si="11"/>
        <v>1444</v>
      </c>
      <c r="D750" s="700" t="s">
        <v>2223</v>
      </c>
      <c r="E750" s="701" t="s">
        <v>8628</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6156</v>
      </c>
      <c r="C751" s="566">
        <f t="shared" si="11"/>
        <v>1445</v>
      </c>
      <c r="D751" s="699" t="s">
        <v>2223</v>
      </c>
      <c r="E751" s="701" t="s">
        <v>8629</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6157</v>
      </c>
      <c r="C752" s="566">
        <f t="shared" si="11"/>
        <v>1446</v>
      </c>
      <c r="D752" s="700" t="s">
        <v>2223</v>
      </c>
      <c r="E752" s="701" t="s">
        <v>8630</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6158</v>
      </c>
      <c r="C753" s="566">
        <f t="shared" si="11"/>
        <v>1447</v>
      </c>
      <c r="D753" s="700" t="s">
        <v>2223</v>
      </c>
      <c r="E753" s="701" t="s">
        <v>8631</v>
      </c>
      <c r="F753" s="566">
        <v>1</v>
      </c>
      <c r="G753" s="662">
        <v>0</v>
      </c>
      <c r="H753" s="662">
        <v>0</v>
      </c>
      <c r="I753" s="662">
        <v>15676.474403437529</v>
      </c>
      <c r="J753" s="662">
        <v>16078.836429163246</v>
      </c>
      <c r="K753" s="566" t="s">
        <v>3983</v>
      </c>
      <c r="L753" s="549"/>
      <c r="M753" s="540"/>
      <c r="O753" s="654"/>
      <c r="S753" s="550"/>
      <c r="T753" s="547"/>
      <c r="U753" s="547"/>
      <c r="V753" s="547"/>
      <c r="W753" s="549"/>
    </row>
    <row r="754" spans="1:23">
      <c r="A754" s="565">
        <v>1448</v>
      </c>
      <c r="B754" s="696" t="s">
        <v>6159</v>
      </c>
      <c r="C754" s="566">
        <f t="shared" si="11"/>
        <v>1448</v>
      </c>
      <c r="D754" s="700" t="s">
        <v>2223</v>
      </c>
      <c r="E754" s="701" t="s">
        <v>8632</v>
      </c>
      <c r="F754" s="566">
        <v>1</v>
      </c>
      <c r="G754" s="662">
        <v>14303.326480692354</v>
      </c>
      <c r="H754" s="662">
        <v>0</v>
      </c>
      <c r="I754" s="662">
        <v>0</v>
      </c>
      <c r="J754" s="662">
        <v>0</v>
      </c>
      <c r="K754" s="566" t="s">
        <v>5258</v>
      </c>
      <c r="L754" s="549"/>
      <c r="M754" s="540"/>
      <c r="O754" s="654"/>
      <c r="S754" s="550"/>
      <c r="T754" s="547"/>
      <c r="U754" s="547"/>
      <c r="V754" s="547"/>
      <c r="W754" s="549"/>
    </row>
    <row r="755" spans="1:23">
      <c r="A755" s="565">
        <v>1449</v>
      </c>
      <c r="B755" s="696" t="s">
        <v>6160</v>
      </c>
      <c r="C755" s="566">
        <f t="shared" si="11"/>
        <v>1449</v>
      </c>
      <c r="D755" s="700" t="s">
        <v>2223</v>
      </c>
      <c r="E755" s="701" t="s">
        <v>8633</v>
      </c>
      <c r="F755" s="566">
        <v>1</v>
      </c>
      <c r="G755" s="662">
        <v>0</v>
      </c>
      <c r="H755" s="662">
        <v>0</v>
      </c>
      <c r="I755" s="662">
        <v>0</v>
      </c>
      <c r="J755" s="662">
        <v>14868.823174901465</v>
      </c>
      <c r="K755" s="566" t="s">
        <v>4737</v>
      </c>
      <c r="L755" s="549"/>
      <c r="M755" s="540"/>
      <c r="O755" s="654"/>
      <c r="S755" s="550"/>
      <c r="T755" s="547"/>
      <c r="U755" s="547"/>
      <c r="V755" s="547"/>
      <c r="W755" s="549"/>
    </row>
    <row r="756" spans="1:23">
      <c r="A756" s="565">
        <v>1450</v>
      </c>
      <c r="B756" s="696" t="s">
        <v>6161</v>
      </c>
      <c r="C756" s="566">
        <f t="shared" si="11"/>
        <v>1450</v>
      </c>
      <c r="D756" s="700" t="s">
        <v>2223</v>
      </c>
      <c r="E756" s="701" t="s">
        <v>8634</v>
      </c>
      <c r="F756" s="566">
        <v>1</v>
      </c>
      <c r="G756" s="662">
        <v>12259.642412304716</v>
      </c>
      <c r="H756" s="662">
        <v>0</v>
      </c>
      <c r="I756" s="662">
        <v>0</v>
      </c>
      <c r="J756" s="662">
        <v>0</v>
      </c>
      <c r="K756" s="566" t="s">
        <v>5259</v>
      </c>
      <c r="L756" s="549"/>
      <c r="M756" s="540"/>
      <c r="O756" s="654"/>
      <c r="S756" s="550"/>
      <c r="T756" s="547"/>
      <c r="U756" s="547"/>
      <c r="V756" s="547"/>
      <c r="W756" s="549"/>
    </row>
    <row r="757" spans="1:23">
      <c r="A757" s="565">
        <v>1451</v>
      </c>
      <c r="B757" s="696" t="s">
        <v>6162</v>
      </c>
      <c r="C757" s="566">
        <f t="shared" si="11"/>
        <v>1451</v>
      </c>
      <c r="D757" s="700" t="s">
        <v>2223</v>
      </c>
      <c r="E757" s="701" t="s">
        <v>8635</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6163</v>
      </c>
      <c r="C758" s="566">
        <f t="shared" si="11"/>
        <v>1452</v>
      </c>
      <c r="D758" s="700" t="s">
        <v>2223</v>
      </c>
      <c r="E758" s="701" t="s">
        <v>8636</v>
      </c>
      <c r="F758" s="566">
        <v>1</v>
      </c>
      <c r="G758" s="662">
        <v>0</v>
      </c>
      <c r="H758" s="662">
        <v>0</v>
      </c>
      <c r="I758" s="662">
        <v>11284.049313285679</v>
      </c>
      <c r="J758" s="662">
        <v>11558.423114853593</v>
      </c>
      <c r="K758" s="566" t="s">
        <v>3984</v>
      </c>
      <c r="L758" s="549"/>
      <c r="M758" s="540"/>
      <c r="O758" s="654"/>
      <c r="S758" s="550"/>
      <c r="T758" s="547"/>
      <c r="U758" s="547"/>
      <c r="V758" s="547"/>
      <c r="W758" s="549"/>
    </row>
    <row r="759" spans="1:23">
      <c r="A759" s="565">
        <v>1453</v>
      </c>
      <c r="B759" s="696" t="s">
        <v>6164</v>
      </c>
      <c r="C759" s="566">
        <f t="shared" si="11"/>
        <v>1453</v>
      </c>
      <c r="D759" s="700" t="s">
        <v>2223</v>
      </c>
      <c r="E759" s="701" t="s">
        <v>8637</v>
      </c>
      <c r="F759" s="566">
        <v>1</v>
      </c>
      <c r="G759" s="662">
        <v>0</v>
      </c>
      <c r="H759" s="662">
        <v>0</v>
      </c>
      <c r="I759" s="662">
        <v>8527.7259029767229</v>
      </c>
      <c r="J759" s="662">
        <v>8719.2203412121889</v>
      </c>
      <c r="K759" s="566" t="s">
        <v>3985</v>
      </c>
      <c r="L759" s="549"/>
      <c r="M759" s="540"/>
      <c r="O759" s="654"/>
      <c r="S759" s="550"/>
      <c r="T759" s="547"/>
      <c r="U759" s="547"/>
      <c r="V759" s="547"/>
      <c r="W759" s="549"/>
    </row>
    <row r="760" spans="1:23">
      <c r="A760" s="565">
        <v>1454</v>
      </c>
      <c r="B760" s="696" t="s">
        <v>6165</v>
      </c>
      <c r="C760" s="566">
        <f t="shared" si="11"/>
        <v>1454</v>
      </c>
      <c r="D760" s="700" t="s">
        <v>2223</v>
      </c>
      <c r="E760" s="701" t="s">
        <v>8638</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6166</v>
      </c>
      <c r="C761" s="566">
        <f t="shared" si="11"/>
        <v>1455</v>
      </c>
      <c r="D761" s="700" t="s">
        <v>2223</v>
      </c>
      <c r="E761" s="701" t="s">
        <v>8639</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6167</v>
      </c>
      <c r="C762" s="566">
        <f t="shared" si="11"/>
        <v>1456</v>
      </c>
      <c r="D762" s="700" t="s">
        <v>2223</v>
      </c>
      <c r="E762" s="701" t="s">
        <v>8640</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6168</v>
      </c>
      <c r="C763" s="566">
        <f t="shared" si="11"/>
        <v>1457</v>
      </c>
      <c r="D763" s="700" t="s">
        <v>2223</v>
      </c>
      <c r="E763" s="701" t="s">
        <v>8641</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6169</v>
      </c>
      <c r="C764" s="566">
        <f t="shared" si="11"/>
        <v>1458</v>
      </c>
      <c r="D764" s="700" t="s">
        <v>2223</v>
      </c>
      <c r="E764" s="701" t="s">
        <v>8642</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6170</v>
      </c>
      <c r="C765" s="566">
        <f t="shared" si="11"/>
        <v>1459</v>
      </c>
      <c r="D765" s="699" t="s">
        <v>2223</v>
      </c>
      <c r="E765" s="701" t="s">
        <v>8643</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6171</v>
      </c>
      <c r="C766" s="566">
        <f t="shared" si="11"/>
        <v>1460</v>
      </c>
      <c r="D766" s="699" t="s">
        <v>2223</v>
      </c>
      <c r="E766" s="701" t="s">
        <v>8644</v>
      </c>
      <c r="F766" s="567">
        <v>1</v>
      </c>
      <c r="G766" s="662">
        <v>0</v>
      </c>
      <c r="H766" s="662">
        <v>0</v>
      </c>
      <c r="I766" s="662">
        <v>11130.840256313633</v>
      </c>
      <c r="J766" s="662">
        <v>11392.041009071299</v>
      </c>
      <c r="K766" s="568" t="s">
        <v>3986</v>
      </c>
      <c r="L766" s="549"/>
      <c r="M766" s="540"/>
      <c r="O766" s="654"/>
      <c r="S766" s="550"/>
      <c r="T766" s="547"/>
      <c r="U766" s="547"/>
      <c r="V766" s="547"/>
      <c r="W766" s="549"/>
    </row>
    <row r="767" spans="1:23">
      <c r="A767" s="565">
        <v>1461</v>
      </c>
      <c r="B767" s="696" t="s">
        <v>6172</v>
      </c>
      <c r="C767" s="566">
        <f t="shared" si="11"/>
        <v>1461</v>
      </c>
      <c r="D767" s="700" t="s">
        <v>2224</v>
      </c>
      <c r="E767" s="701" t="s">
        <v>8645</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6173</v>
      </c>
      <c r="C768" s="566">
        <f t="shared" si="11"/>
        <v>1462</v>
      </c>
      <c r="D768" s="700" t="s">
        <v>2224</v>
      </c>
      <c r="E768" s="701" t="s">
        <v>8646</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6174</v>
      </c>
      <c r="C769" s="566">
        <f t="shared" si="11"/>
        <v>1463</v>
      </c>
      <c r="D769" s="700" t="s">
        <v>2224</v>
      </c>
      <c r="E769" s="701" t="s">
        <v>8647</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6175</v>
      </c>
      <c r="C770" s="566">
        <f t="shared" si="11"/>
        <v>1464</v>
      </c>
      <c r="D770" s="700" t="s">
        <v>2224</v>
      </c>
      <c r="E770" s="701" t="s">
        <v>8648</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6176</v>
      </c>
      <c r="C771" s="566">
        <f t="shared" si="11"/>
        <v>1465</v>
      </c>
      <c r="D771" s="700" t="s">
        <v>2224</v>
      </c>
      <c r="E771" s="701" t="s">
        <v>8649</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6177</v>
      </c>
      <c r="C772" s="566">
        <f t="shared" si="11"/>
        <v>1466</v>
      </c>
      <c r="D772" s="700" t="s">
        <v>2224</v>
      </c>
      <c r="E772" s="701" t="s">
        <v>8650</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6178</v>
      </c>
      <c r="C773" s="566">
        <f t="shared" si="11"/>
        <v>1467</v>
      </c>
      <c r="D773" s="700" t="s">
        <v>2224</v>
      </c>
      <c r="E773" s="701" t="s">
        <v>8651</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6179</v>
      </c>
      <c r="C774" s="566">
        <f t="shared" si="11"/>
        <v>1468</v>
      </c>
      <c r="D774" s="700" t="s">
        <v>2224</v>
      </c>
      <c r="E774" s="701" t="s">
        <v>8652</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6180</v>
      </c>
      <c r="C775" s="566">
        <f t="shared" si="11"/>
        <v>1469</v>
      </c>
      <c r="D775" s="700" t="s">
        <v>2224</v>
      </c>
      <c r="E775" s="701" t="s">
        <v>8653</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6181</v>
      </c>
      <c r="C776" s="566">
        <f t="shared" si="11"/>
        <v>1470</v>
      </c>
      <c r="D776" s="700" t="s">
        <v>2224</v>
      </c>
      <c r="E776" s="701" t="s">
        <v>8654</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6182</v>
      </c>
      <c r="C777" s="566">
        <f t="shared" ref="C777:C840" si="12">A777</f>
        <v>1471</v>
      </c>
      <c r="D777" s="700" t="s">
        <v>2224</v>
      </c>
      <c r="E777" s="701" t="s">
        <v>8655</v>
      </c>
      <c r="F777" s="566">
        <v>1</v>
      </c>
      <c r="G777" s="662">
        <v>0</v>
      </c>
      <c r="H777" s="662">
        <v>0</v>
      </c>
      <c r="I777" s="662">
        <v>20059.323944249914</v>
      </c>
      <c r="J777" s="662">
        <v>20748.625018463445</v>
      </c>
      <c r="K777" s="566" t="s">
        <v>3987</v>
      </c>
      <c r="L777" s="549"/>
      <c r="M777" s="540"/>
      <c r="O777" s="654"/>
      <c r="S777" s="550"/>
      <c r="T777" s="547"/>
      <c r="U777" s="547"/>
      <c r="V777" s="547"/>
      <c r="W777" s="549"/>
    </row>
    <row r="778" spans="1:23">
      <c r="A778" s="565">
        <v>1472</v>
      </c>
      <c r="B778" s="696" t="s">
        <v>6183</v>
      </c>
      <c r="C778" s="566">
        <f t="shared" si="12"/>
        <v>1472</v>
      </c>
      <c r="D778" s="700" t="s">
        <v>2224</v>
      </c>
      <c r="E778" s="701" t="s">
        <v>8656</v>
      </c>
      <c r="F778" s="566">
        <v>1</v>
      </c>
      <c r="G778" s="662">
        <v>0</v>
      </c>
      <c r="H778" s="662">
        <v>0</v>
      </c>
      <c r="I778" s="662">
        <v>18393.156489726491</v>
      </c>
      <c r="J778" s="662">
        <v>19017.838430382984</v>
      </c>
      <c r="K778" s="566" t="s">
        <v>3988</v>
      </c>
      <c r="L778" s="549"/>
      <c r="M778" s="540"/>
      <c r="O778" s="654"/>
      <c r="S778" s="550"/>
      <c r="T778" s="547"/>
      <c r="U778" s="547"/>
      <c r="V778" s="547"/>
      <c r="W778" s="549"/>
    </row>
    <row r="779" spans="1:23">
      <c r="A779" s="565">
        <v>1473</v>
      </c>
      <c r="B779" s="696" t="s">
        <v>6184</v>
      </c>
      <c r="C779" s="566">
        <f t="shared" si="12"/>
        <v>1473</v>
      </c>
      <c r="D779" s="700" t="s">
        <v>2224</v>
      </c>
      <c r="E779" s="701" t="s">
        <v>8657</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6185</v>
      </c>
      <c r="C780" s="566">
        <f t="shared" si="12"/>
        <v>1474</v>
      </c>
      <c r="D780" s="700" t="s">
        <v>2224</v>
      </c>
      <c r="E780" s="701" t="s">
        <v>8658</v>
      </c>
      <c r="F780" s="566">
        <v>1</v>
      </c>
      <c r="G780" s="662">
        <v>0</v>
      </c>
      <c r="H780" s="662">
        <v>0</v>
      </c>
      <c r="I780" s="662">
        <v>20259.699255232365</v>
      </c>
      <c r="J780" s="662">
        <v>20956.776453188504</v>
      </c>
      <c r="K780" s="566" t="s">
        <v>3989</v>
      </c>
      <c r="L780" s="549"/>
      <c r="M780" s="540"/>
      <c r="O780" s="654"/>
      <c r="S780" s="550"/>
      <c r="T780" s="547"/>
      <c r="U780" s="547"/>
      <c r="V780" s="547"/>
      <c r="W780" s="549"/>
    </row>
    <row r="781" spans="1:23">
      <c r="A781" s="565">
        <v>1475</v>
      </c>
      <c r="B781" s="696" t="s">
        <v>6186</v>
      </c>
      <c r="C781" s="566">
        <f t="shared" si="12"/>
        <v>1475</v>
      </c>
      <c r="D781" s="700" t="s">
        <v>2224</v>
      </c>
      <c r="E781" s="701" t="s">
        <v>8659</v>
      </c>
      <c r="F781" s="566">
        <v>1</v>
      </c>
      <c r="G781" s="662">
        <v>0</v>
      </c>
      <c r="H781" s="662">
        <v>0</v>
      </c>
      <c r="I781" s="662">
        <v>20537.402925867835</v>
      </c>
      <c r="J781" s="662">
        <v>0</v>
      </c>
      <c r="K781" s="566" t="s">
        <v>4738</v>
      </c>
      <c r="L781" s="549"/>
      <c r="M781" s="540"/>
      <c r="O781" s="654"/>
      <c r="S781" s="550"/>
      <c r="T781" s="547"/>
      <c r="U781" s="547"/>
      <c r="V781" s="547"/>
      <c r="W781" s="549"/>
    </row>
    <row r="782" spans="1:23">
      <c r="A782" s="565">
        <v>1476</v>
      </c>
      <c r="B782" s="696" t="s">
        <v>6187</v>
      </c>
      <c r="C782" s="566">
        <f t="shared" si="12"/>
        <v>1476</v>
      </c>
      <c r="D782" s="700" t="s">
        <v>2224</v>
      </c>
      <c r="E782" s="701" t="s">
        <v>8660</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6188</v>
      </c>
      <c r="C783" s="566">
        <f t="shared" si="12"/>
        <v>1477</v>
      </c>
      <c r="D783" s="700" t="s">
        <v>2224</v>
      </c>
      <c r="E783" s="701" t="s">
        <v>8661</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6189</v>
      </c>
      <c r="C784" s="566">
        <f t="shared" si="12"/>
        <v>1478</v>
      </c>
      <c r="D784" s="700" t="s">
        <v>2224</v>
      </c>
      <c r="E784" s="701" t="s">
        <v>8662</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6190</v>
      </c>
      <c r="C785" s="566">
        <f t="shared" si="12"/>
        <v>1479</v>
      </c>
      <c r="D785" s="700" t="s">
        <v>2224</v>
      </c>
      <c r="E785" s="701" t="s">
        <v>8663</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6191</v>
      </c>
      <c r="C786" s="566">
        <f t="shared" si="12"/>
        <v>1480</v>
      </c>
      <c r="D786" s="700" t="s">
        <v>2224</v>
      </c>
      <c r="E786" s="701" t="s">
        <v>8664</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6192</v>
      </c>
      <c r="C787" s="566">
        <f t="shared" si="12"/>
        <v>1481</v>
      </c>
      <c r="D787" s="700" t="s">
        <v>2224</v>
      </c>
      <c r="E787" s="701" t="s">
        <v>8665</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6193</v>
      </c>
      <c r="C788" s="566">
        <f t="shared" si="12"/>
        <v>1482</v>
      </c>
      <c r="D788" s="700" t="s">
        <v>2224</v>
      </c>
      <c r="E788" s="701" t="s">
        <v>8666</v>
      </c>
      <c r="F788" s="566">
        <v>1</v>
      </c>
      <c r="G788" s="662">
        <v>0</v>
      </c>
      <c r="H788" s="662">
        <v>0</v>
      </c>
      <c r="I788" s="662">
        <v>21149.466050508177</v>
      </c>
      <c r="J788" s="662">
        <v>21897.785919101429</v>
      </c>
      <c r="K788" s="566" t="s">
        <v>3990</v>
      </c>
      <c r="L788" s="549"/>
      <c r="M788" s="540"/>
      <c r="O788" s="654"/>
      <c r="S788" s="550"/>
      <c r="T788" s="547"/>
      <c r="U788" s="547"/>
      <c r="V788" s="547"/>
      <c r="W788" s="549"/>
    </row>
    <row r="789" spans="1:23">
      <c r="A789" s="565">
        <v>1483</v>
      </c>
      <c r="B789" s="696" t="s">
        <v>6194</v>
      </c>
      <c r="C789" s="566">
        <f t="shared" si="12"/>
        <v>1483</v>
      </c>
      <c r="D789" s="700" t="s">
        <v>2224</v>
      </c>
      <c r="E789" s="701" t="s">
        <v>8667</v>
      </c>
      <c r="F789" s="566">
        <v>1</v>
      </c>
      <c r="G789" s="662">
        <v>0</v>
      </c>
      <c r="H789" s="662">
        <v>0</v>
      </c>
      <c r="I789" s="662">
        <v>22451.136189081757</v>
      </c>
      <c r="J789" s="662">
        <v>23251.096122544037</v>
      </c>
      <c r="K789" s="566" t="s">
        <v>3991</v>
      </c>
      <c r="L789" s="549"/>
      <c r="M789" s="540"/>
      <c r="O789" s="654"/>
      <c r="S789" s="550"/>
      <c r="T789" s="547"/>
      <c r="U789" s="547"/>
      <c r="V789" s="547"/>
      <c r="W789" s="549"/>
    </row>
    <row r="790" spans="1:23">
      <c r="A790" s="565">
        <v>1484</v>
      </c>
      <c r="B790" s="695" t="s">
        <v>6195</v>
      </c>
      <c r="C790" s="566">
        <f t="shared" si="12"/>
        <v>1484</v>
      </c>
      <c r="D790" s="699" t="s">
        <v>2224</v>
      </c>
      <c r="E790" s="701" t="s">
        <v>8668</v>
      </c>
      <c r="F790" s="567">
        <v>1</v>
      </c>
      <c r="G790" s="662">
        <v>0</v>
      </c>
      <c r="H790" s="662">
        <v>0</v>
      </c>
      <c r="I790" s="662">
        <v>23415.766738203241</v>
      </c>
      <c r="J790" s="662">
        <v>24253.995648309548</v>
      </c>
      <c r="K790" s="568" t="s">
        <v>3992</v>
      </c>
      <c r="L790" s="549"/>
      <c r="M790" s="540"/>
      <c r="O790" s="654"/>
      <c r="S790" s="550"/>
      <c r="T790" s="547"/>
      <c r="U790" s="547"/>
      <c r="V790" s="547"/>
      <c r="W790" s="549"/>
    </row>
    <row r="791" spans="1:23">
      <c r="A791" s="565">
        <v>1485</v>
      </c>
      <c r="B791" s="695" t="s">
        <v>6196</v>
      </c>
      <c r="C791" s="566">
        <f t="shared" si="12"/>
        <v>1485</v>
      </c>
      <c r="D791" s="699" t="s">
        <v>2224</v>
      </c>
      <c r="E791" s="701" t="s">
        <v>8669</v>
      </c>
      <c r="F791" s="567">
        <v>1</v>
      </c>
      <c r="G791" s="662">
        <v>0</v>
      </c>
      <c r="H791" s="662">
        <v>0</v>
      </c>
      <c r="I791" s="662">
        <v>0</v>
      </c>
      <c r="J791" s="662">
        <v>22371.059646279671</v>
      </c>
      <c r="K791" s="568" t="s">
        <v>4739</v>
      </c>
      <c r="L791" s="549"/>
      <c r="M791" s="540"/>
      <c r="O791" s="654"/>
      <c r="S791" s="550"/>
      <c r="T791" s="547"/>
      <c r="U791" s="547"/>
      <c r="V791" s="547"/>
      <c r="W791" s="549"/>
    </row>
    <row r="792" spans="1:23">
      <c r="A792" s="565">
        <v>1486</v>
      </c>
      <c r="B792" s="696" t="s">
        <v>6197</v>
      </c>
      <c r="C792" s="566">
        <f t="shared" si="12"/>
        <v>1486</v>
      </c>
      <c r="D792" s="700" t="s">
        <v>2224</v>
      </c>
      <c r="E792" s="701" t="s">
        <v>8670</v>
      </c>
      <c r="F792" s="566">
        <v>1</v>
      </c>
      <c r="G792" s="662">
        <v>0</v>
      </c>
      <c r="H792" s="662">
        <v>0</v>
      </c>
      <c r="I792" s="662">
        <v>25391.516055680993</v>
      </c>
      <c r="J792" s="662">
        <v>26308.127207106369</v>
      </c>
      <c r="K792" s="566" t="s">
        <v>3993</v>
      </c>
      <c r="L792" s="549"/>
      <c r="M792" s="540"/>
      <c r="O792" s="654"/>
      <c r="S792" s="550"/>
      <c r="T792" s="547"/>
      <c r="U792" s="547"/>
      <c r="V792" s="547"/>
      <c r="W792" s="549"/>
    </row>
    <row r="793" spans="1:23">
      <c r="A793" s="565">
        <v>1487</v>
      </c>
      <c r="B793" s="696" t="s">
        <v>6198</v>
      </c>
      <c r="C793" s="566">
        <f t="shared" si="12"/>
        <v>1487</v>
      </c>
      <c r="D793" s="700" t="s">
        <v>2224</v>
      </c>
      <c r="E793" s="701" t="s">
        <v>8671</v>
      </c>
      <c r="F793" s="566">
        <v>1</v>
      </c>
      <c r="G793" s="662">
        <v>0</v>
      </c>
      <c r="H793" s="662">
        <v>0</v>
      </c>
      <c r="I793" s="662">
        <v>26001.673933137361</v>
      </c>
      <c r="J793" s="662">
        <v>26942.491364970097</v>
      </c>
      <c r="K793" s="566" t="s">
        <v>3994</v>
      </c>
      <c r="L793" s="549"/>
      <c r="M793" s="540"/>
      <c r="O793" s="654"/>
      <c r="S793" s="550"/>
      <c r="T793" s="547"/>
      <c r="U793" s="547"/>
      <c r="V793" s="547"/>
      <c r="W793" s="549"/>
    </row>
    <row r="794" spans="1:23">
      <c r="A794" s="565">
        <v>1488</v>
      </c>
      <c r="B794" s="695" t="s">
        <v>6199</v>
      </c>
      <c r="C794" s="566">
        <f t="shared" si="12"/>
        <v>1488</v>
      </c>
      <c r="D794" s="699" t="s">
        <v>2224</v>
      </c>
      <c r="E794" s="701" t="s">
        <v>8672</v>
      </c>
      <c r="F794" s="567">
        <v>1</v>
      </c>
      <c r="G794" s="662">
        <v>0</v>
      </c>
      <c r="H794" s="662">
        <v>0</v>
      </c>
      <c r="I794" s="662">
        <v>0</v>
      </c>
      <c r="J794" s="662">
        <v>28492.858712591642</v>
      </c>
      <c r="K794" s="568" t="s">
        <v>4740</v>
      </c>
      <c r="L794" s="549"/>
      <c r="M794" s="540"/>
      <c r="O794" s="654"/>
      <c r="S794" s="550"/>
      <c r="T794" s="547"/>
      <c r="U794" s="547"/>
      <c r="V794" s="547"/>
      <c r="W794" s="549"/>
    </row>
    <row r="795" spans="1:23">
      <c r="A795" s="565">
        <v>1489</v>
      </c>
      <c r="B795" s="696" t="s">
        <v>6200</v>
      </c>
      <c r="C795" s="566">
        <f t="shared" si="12"/>
        <v>1489</v>
      </c>
      <c r="D795" s="700" t="s">
        <v>2224</v>
      </c>
      <c r="E795" s="701" t="s">
        <v>8673</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6201</v>
      </c>
      <c r="C796" s="566">
        <f t="shared" si="12"/>
        <v>1490</v>
      </c>
      <c r="D796" s="700" t="s">
        <v>2224</v>
      </c>
      <c r="E796" s="701" t="s">
        <v>8674</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6202</v>
      </c>
      <c r="C797" s="566">
        <f t="shared" si="12"/>
        <v>1491</v>
      </c>
      <c r="D797" s="700" t="s">
        <v>2224</v>
      </c>
      <c r="E797" s="701" t="s">
        <v>8675</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6203</v>
      </c>
      <c r="C798" s="566">
        <f t="shared" si="12"/>
        <v>1492</v>
      </c>
      <c r="D798" s="700" t="s">
        <v>2224</v>
      </c>
      <c r="E798" s="701" t="s">
        <v>8676</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6204</v>
      </c>
      <c r="C799" s="566">
        <f t="shared" si="12"/>
        <v>1493</v>
      </c>
      <c r="D799" s="700" t="s">
        <v>2224</v>
      </c>
      <c r="E799" s="701" t="s">
        <v>8677</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6205</v>
      </c>
      <c r="C800" s="566">
        <f t="shared" si="12"/>
        <v>1494</v>
      </c>
      <c r="D800" s="700" t="s">
        <v>2224</v>
      </c>
      <c r="E800" s="701" t="s">
        <v>8678</v>
      </c>
      <c r="F800" s="566">
        <v>1</v>
      </c>
      <c r="G800" s="662">
        <v>0</v>
      </c>
      <c r="H800" s="662">
        <v>0</v>
      </c>
      <c r="I800" s="662">
        <v>0</v>
      </c>
      <c r="J800" s="662">
        <v>22094.415518753587</v>
      </c>
      <c r="K800" s="566" t="s">
        <v>4741</v>
      </c>
      <c r="L800" s="549"/>
      <c r="M800" s="540"/>
      <c r="O800" s="654"/>
      <c r="S800" s="550"/>
      <c r="T800" s="547"/>
      <c r="U800" s="547"/>
      <c r="V800" s="547"/>
      <c r="W800" s="549"/>
    </row>
    <row r="801" spans="1:23">
      <c r="A801" s="565">
        <v>1495</v>
      </c>
      <c r="B801" s="696" t="s">
        <v>6206</v>
      </c>
      <c r="C801" s="566">
        <f t="shared" si="12"/>
        <v>1495</v>
      </c>
      <c r="D801" s="700" t="s">
        <v>2224</v>
      </c>
      <c r="E801" s="701" t="s">
        <v>8679</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6207</v>
      </c>
      <c r="C802" s="566">
        <f t="shared" si="12"/>
        <v>1496</v>
      </c>
      <c r="D802" s="700" t="s">
        <v>2224</v>
      </c>
      <c r="E802" s="701" t="s">
        <v>8680</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6208</v>
      </c>
      <c r="C803" s="566">
        <f t="shared" si="12"/>
        <v>1497</v>
      </c>
      <c r="D803" s="700" t="s">
        <v>2224</v>
      </c>
      <c r="E803" s="701" t="s">
        <v>8681</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6209</v>
      </c>
      <c r="C804" s="566">
        <f t="shared" si="12"/>
        <v>1498</v>
      </c>
      <c r="D804" s="700" t="s">
        <v>2224</v>
      </c>
      <c r="E804" s="701" t="s">
        <v>8682</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6210</v>
      </c>
      <c r="C805" s="566">
        <f t="shared" si="12"/>
        <v>1499</v>
      </c>
      <c r="D805" s="700" t="s">
        <v>2224</v>
      </c>
      <c r="E805" s="701" t="s">
        <v>8683</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6211</v>
      </c>
      <c r="C806" s="566">
        <f t="shared" si="12"/>
        <v>1500</v>
      </c>
      <c r="D806" s="700" t="s">
        <v>2224</v>
      </c>
      <c r="E806" s="701" t="s">
        <v>8684</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6212</v>
      </c>
      <c r="C807" s="566">
        <f t="shared" si="12"/>
        <v>1501</v>
      </c>
      <c r="D807" s="699" t="s">
        <v>2224</v>
      </c>
      <c r="E807" s="701" t="s">
        <v>8685</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6213</v>
      </c>
      <c r="C808" s="566">
        <f t="shared" si="12"/>
        <v>1502</v>
      </c>
      <c r="D808" s="700" t="s">
        <v>2224</v>
      </c>
      <c r="E808" s="701" t="s">
        <v>8686</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6214</v>
      </c>
      <c r="C809" s="566">
        <f t="shared" si="12"/>
        <v>1503</v>
      </c>
      <c r="D809" s="700" t="s">
        <v>2224</v>
      </c>
      <c r="E809" s="701" t="s">
        <v>8687</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6215</v>
      </c>
      <c r="C810" s="566">
        <f t="shared" si="12"/>
        <v>1504</v>
      </c>
      <c r="D810" s="700" t="s">
        <v>2224</v>
      </c>
      <c r="E810" s="701" t="s">
        <v>8688</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6216</v>
      </c>
      <c r="C811" s="566">
        <f t="shared" si="12"/>
        <v>1505</v>
      </c>
      <c r="D811" s="700" t="s">
        <v>2224</v>
      </c>
      <c r="E811" s="701" t="s">
        <v>8689</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6217</v>
      </c>
      <c r="C812" s="566">
        <f t="shared" si="12"/>
        <v>1506</v>
      </c>
      <c r="D812" s="700" t="s">
        <v>2224</v>
      </c>
      <c r="E812" s="701" t="s">
        <v>8690</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6218</v>
      </c>
      <c r="C813" s="566">
        <f t="shared" si="12"/>
        <v>1507</v>
      </c>
      <c r="D813" s="700" t="s">
        <v>2224</v>
      </c>
      <c r="E813" s="701" t="s">
        <v>8691</v>
      </c>
      <c r="F813" s="566">
        <v>2</v>
      </c>
      <c r="G813" s="662">
        <v>0</v>
      </c>
      <c r="H813" s="662">
        <v>0</v>
      </c>
      <c r="I813" s="662">
        <v>0</v>
      </c>
      <c r="J813" s="662">
        <v>31885.262410397798</v>
      </c>
      <c r="K813" s="566" t="s">
        <v>4742</v>
      </c>
      <c r="L813" s="549"/>
      <c r="M813" s="540"/>
      <c r="S813" s="550"/>
      <c r="T813" s="547"/>
      <c r="U813" s="547"/>
      <c r="V813" s="547"/>
      <c r="W813" s="549"/>
    </row>
    <row r="814" spans="1:23">
      <c r="A814" s="565">
        <v>1508</v>
      </c>
      <c r="B814" s="696" t="s">
        <v>6219</v>
      </c>
      <c r="C814" s="566">
        <f t="shared" si="12"/>
        <v>1508</v>
      </c>
      <c r="D814" s="700" t="s">
        <v>2224</v>
      </c>
      <c r="E814" s="701" t="s">
        <v>8692</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6220</v>
      </c>
      <c r="C815" s="566">
        <f t="shared" si="12"/>
        <v>1509</v>
      </c>
      <c r="D815" s="700" t="s">
        <v>2224</v>
      </c>
      <c r="E815" s="701" t="s">
        <v>8693</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6221</v>
      </c>
      <c r="C816" s="566">
        <f t="shared" si="12"/>
        <v>1510</v>
      </c>
      <c r="D816" s="700" t="s">
        <v>2224</v>
      </c>
      <c r="E816" s="701" t="s">
        <v>8694</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6222</v>
      </c>
      <c r="C817" s="566">
        <f t="shared" si="12"/>
        <v>1511</v>
      </c>
      <c r="D817" s="700" t="s">
        <v>2224</v>
      </c>
      <c r="E817" s="701" t="s">
        <v>8695</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6223</v>
      </c>
      <c r="C818" s="566">
        <f t="shared" si="12"/>
        <v>1512</v>
      </c>
      <c r="D818" s="700" t="s">
        <v>2224</v>
      </c>
      <c r="E818" s="701" t="s">
        <v>8696</v>
      </c>
      <c r="F818" s="566">
        <v>2</v>
      </c>
      <c r="G818" s="662">
        <v>0</v>
      </c>
      <c r="H818" s="662">
        <v>0</v>
      </c>
      <c r="I818" s="662">
        <v>21367.905898065248</v>
      </c>
      <c r="J818" s="662">
        <v>22106.24635144628</v>
      </c>
      <c r="K818" s="566" t="s">
        <v>3995</v>
      </c>
      <c r="L818" s="549"/>
      <c r="M818" s="540"/>
      <c r="S818" s="550"/>
      <c r="T818" s="547"/>
      <c r="U818" s="547"/>
      <c r="V818" s="547"/>
      <c r="W818" s="549"/>
    </row>
    <row r="819" spans="1:23">
      <c r="A819" s="565">
        <v>1513</v>
      </c>
      <c r="B819" s="696" t="s">
        <v>6224</v>
      </c>
      <c r="C819" s="566">
        <f t="shared" si="12"/>
        <v>1513</v>
      </c>
      <c r="D819" s="700" t="s">
        <v>2224</v>
      </c>
      <c r="E819" s="701" t="s">
        <v>8697</v>
      </c>
      <c r="F819" s="566">
        <v>2</v>
      </c>
      <c r="G819" s="662">
        <v>0</v>
      </c>
      <c r="H819" s="662">
        <v>0</v>
      </c>
      <c r="I819" s="662">
        <v>22871.936746757099</v>
      </c>
      <c r="J819" s="662">
        <v>23672.97502527196</v>
      </c>
      <c r="K819" s="566" t="s">
        <v>3996</v>
      </c>
      <c r="L819" s="549"/>
      <c r="M819" s="540"/>
      <c r="S819" s="550"/>
      <c r="T819" s="547"/>
      <c r="U819" s="547"/>
      <c r="V819" s="547"/>
      <c r="W819" s="549"/>
    </row>
    <row r="820" spans="1:23">
      <c r="A820" s="565">
        <v>1514</v>
      </c>
      <c r="B820" s="696" t="s">
        <v>6225</v>
      </c>
      <c r="C820" s="566">
        <f t="shared" si="12"/>
        <v>1514</v>
      </c>
      <c r="D820" s="700" t="s">
        <v>2224</v>
      </c>
      <c r="E820" s="701" t="s">
        <v>8698</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6226</v>
      </c>
      <c r="C821" s="566">
        <f t="shared" si="12"/>
        <v>1515</v>
      </c>
      <c r="D821" s="700" t="s">
        <v>2224</v>
      </c>
      <c r="E821" s="701" t="s">
        <v>8699</v>
      </c>
      <c r="F821" s="566">
        <v>2</v>
      </c>
      <c r="G821" s="662">
        <v>0</v>
      </c>
      <c r="H821" s="662">
        <v>0</v>
      </c>
      <c r="I821" s="662">
        <v>23224.86817334544</v>
      </c>
      <c r="J821" s="662">
        <v>24040.618937902535</v>
      </c>
      <c r="K821" s="566" t="s">
        <v>3997</v>
      </c>
      <c r="L821" s="549"/>
      <c r="M821" s="540"/>
      <c r="S821" s="550"/>
      <c r="T821" s="547"/>
      <c r="U821" s="547"/>
      <c r="V821" s="547"/>
      <c r="W821" s="549"/>
    </row>
    <row r="822" spans="1:23">
      <c r="A822" s="565">
        <v>1516</v>
      </c>
      <c r="B822" s="696" t="s">
        <v>6227</v>
      </c>
      <c r="C822" s="566">
        <f t="shared" si="12"/>
        <v>1516</v>
      </c>
      <c r="D822" s="700" t="s">
        <v>2224</v>
      </c>
      <c r="E822" s="701" t="s">
        <v>8700</v>
      </c>
      <c r="F822" s="566">
        <v>2</v>
      </c>
      <c r="G822" s="662">
        <v>0</v>
      </c>
      <c r="H822" s="662">
        <v>0</v>
      </c>
      <c r="I822" s="662">
        <v>24663.742450974827</v>
      </c>
      <c r="J822" s="662">
        <v>25539.474889396413</v>
      </c>
      <c r="K822" s="566" t="s">
        <v>3998</v>
      </c>
      <c r="L822" s="549"/>
      <c r="M822" s="540"/>
      <c r="S822" s="550"/>
      <c r="T822" s="547"/>
      <c r="U822" s="547"/>
      <c r="V822" s="547"/>
      <c r="W822" s="549"/>
    </row>
    <row r="823" spans="1:23">
      <c r="A823" s="565">
        <v>1517</v>
      </c>
      <c r="B823" s="696" t="s">
        <v>6228</v>
      </c>
      <c r="C823" s="566">
        <f t="shared" si="12"/>
        <v>1517</v>
      </c>
      <c r="D823" s="700" t="s">
        <v>2224</v>
      </c>
      <c r="E823" s="701" t="s">
        <v>8701</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6229</v>
      </c>
      <c r="C824" s="566">
        <f t="shared" si="12"/>
        <v>1518</v>
      </c>
      <c r="D824" s="700" t="s">
        <v>2224</v>
      </c>
      <c r="E824" s="701" t="s">
        <v>8702</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6230</v>
      </c>
      <c r="C825" s="566">
        <f t="shared" si="12"/>
        <v>1519</v>
      </c>
      <c r="D825" s="700" t="s">
        <v>2224</v>
      </c>
      <c r="E825" s="701" t="s">
        <v>8703</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6231</v>
      </c>
      <c r="C826" s="566">
        <f t="shared" si="12"/>
        <v>1520</v>
      </c>
      <c r="D826" s="700" t="s">
        <v>2224</v>
      </c>
      <c r="E826" s="701" t="s">
        <v>8704</v>
      </c>
      <c r="F826" s="566">
        <v>2</v>
      </c>
      <c r="G826" s="662">
        <v>0</v>
      </c>
      <c r="H826" s="662">
        <v>18316.406486639902</v>
      </c>
      <c r="I826" s="662">
        <v>18895.354129698768</v>
      </c>
      <c r="J826" s="662">
        <v>0</v>
      </c>
      <c r="K826" s="566" t="s">
        <v>3999</v>
      </c>
      <c r="L826" s="549"/>
      <c r="M826" s="540"/>
      <c r="S826" s="550"/>
      <c r="T826" s="547"/>
      <c r="U826" s="547"/>
      <c r="V826" s="547"/>
      <c r="W826" s="549"/>
    </row>
    <row r="827" spans="1:23">
      <c r="A827" s="565">
        <v>1521</v>
      </c>
      <c r="B827" s="696" t="s">
        <v>6232</v>
      </c>
      <c r="C827" s="566">
        <f t="shared" si="12"/>
        <v>1521</v>
      </c>
      <c r="D827" s="700" t="s">
        <v>2224</v>
      </c>
      <c r="E827" s="701" t="s">
        <v>8705</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6233</v>
      </c>
      <c r="C828" s="566">
        <f t="shared" si="12"/>
        <v>1522</v>
      </c>
      <c r="D828" s="700" t="s">
        <v>2224</v>
      </c>
      <c r="E828" s="701" t="s">
        <v>8706</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6234</v>
      </c>
      <c r="C829" s="566">
        <f t="shared" si="12"/>
        <v>1523</v>
      </c>
      <c r="D829" s="700" t="s">
        <v>2224</v>
      </c>
      <c r="E829" s="701" t="s">
        <v>8707</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6235</v>
      </c>
      <c r="C830" s="566">
        <f t="shared" si="12"/>
        <v>1524</v>
      </c>
      <c r="D830" s="700" t="s">
        <v>2224</v>
      </c>
      <c r="E830" s="701" t="s">
        <v>8708</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6236</v>
      </c>
      <c r="C831" s="566">
        <f t="shared" si="12"/>
        <v>1525</v>
      </c>
      <c r="D831" s="700" t="s">
        <v>2224</v>
      </c>
      <c r="E831" s="701" t="s">
        <v>8709</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6237</v>
      </c>
      <c r="C832" s="566">
        <f t="shared" si="12"/>
        <v>1526</v>
      </c>
      <c r="D832" s="700" t="s">
        <v>2224</v>
      </c>
      <c r="E832" s="701" t="s">
        <v>8710</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6238</v>
      </c>
      <c r="C833" s="566">
        <f t="shared" si="12"/>
        <v>1527</v>
      </c>
      <c r="D833" s="700" t="s">
        <v>2224</v>
      </c>
      <c r="E833" s="701" t="s">
        <v>8711</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6239</v>
      </c>
      <c r="C834" s="566">
        <f t="shared" si="12"/>
        <v>1528</v>
      </c>
      <c r="D834" s="700" t="s">
        <v>2224</v>
      </c>
      <c r="E834" s="701" t="s">
        <v>8712</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6240</v>
      </c>
      <c r="C835" s="566">
        <f t="shared" si="12"/>
        <v>1529</v>
      </c>
      <c r="D835" s="700" t="s">
        <v>2224</v>
      </c>
      <c r="E835" s="701" t="s">
        <v>8713</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6241</v>
      </c>
      <c r="C836" s="566">
        <f t="shared" si="12"/>
        <v>1530</v>
      </c>
      <c r="D836" s="700" t="s">
        <v>2224</v>
      </c>
      <c r="E836" s="701" t="s">
        <v>8714</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6242</v>
      </c>
      <c r="C837" s="566">
        <f t="shared" si="12"/>
        <v>1531</v>
      </c>
      <c r="D837" s="700" t="s">
        <v>2224</v>
      </c>
      <c r="E837" s="701" t="s">
        <v>8715</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6243</v>
      </c>
      <c r="C838" s="566">
        <f t="shared" si="12"/>
        <v>1532</v>
      </c>
      <c r="D838" s="700" t="s">
        <v>2224</v>
      </c>
      <c r="E838" s="701" t="s">
        <v>8716</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6244</v>
      </c>
      <c r="C839" s="566">
        <f t="shared" si="12"/>
        <v>1533</v>
      </c>
      <c r="D839" s="700" t="s">
        <v>2224</v>
      </c>
      <c r="E839" s="701" t="s">
        <v>8717</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6245</v>
      </c>
      <c r="C840" s="566">
        <f t="shared" si="12"/>
        <v>1534</v>
      </c>
      <c r="D840" s="700" t="s">
        <v>2224</v>
      </c>
      <c r="E840" s="701" t="s">
        <v>8718</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6246</v>
      </c>
      <c r="C841" s="566">
        <f t="shared" ref="C841:C904" si="13">A841</f>
        <v>1535</v>
      </c>
      <c r="D841" s="700" t="s">
        <v>2224</v>
      </c>
      <c r="E841" s="701" t="s">
        <v>8719</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6247</v>
      </c>
      <c r="C842" s="566">
        <f t="shared" si="13"/>
        <v>1536</v>
      </c>
      <c r="D842" s="700" t="s">
        <v>2224</v>
      </c>
      <c r="E842" s="701" t="s">
        <v>8720</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6248</v>
      </c>
      <c r="C843" s="566">
        <f t="shared" si="13"/>
        <v>1537</v>
      </c>
      <c r="D843" s="700" t="s">
        <v>2224</v>
      </c>
      <c r="E843" s="701" t="s">
        <v>8721</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6249</v>
      </c>
      <c r="C844" s="566">
        <f t="shared" si="13"/>
        <v>1538</v>
      </c>
      <c r="D844" s="700" t="s">
        <v>2224</v>
      </c>
      <c r="E844" s="701" t="s">
        <v>8722</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6250</v>
      </c>
      <c r="C845" s="566">
        <f t="shared" si="13"/>
        <v>1539</v>
      </c>
      <c r="D845" s="700" t="s">
        <v>2224</v>
      </c>
      <c r="E845" s="701" t="s">
        <v>8723</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6251</v>
      </c>
      <c r="C846" s="566">
        <f t="shared" si="13"/>
        <v>1540</v>
      </c>
      <c r="D846" s="700" t="s">
        <v>2224</v>
      </c>
      <c r="E846" s="701" t="s">
        <v>8724</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6252</v>
      </c>
      <c r="C847" s="566">
        <f t="shared" si="13"/>
        <v>1541</v>
      </c>
      <c r="D847" s="700" t="s">
        <v>2224</v>
      </c>
      <c r="E847" s="701" t="s">
        <v>8725</v>
      </c>
      <c r="F847" s="566">
        <v>2</v>
      </c>
      <c r="G847" s="662">
        <v>0</v>
      </c>
      <c r="H847" s="662">
        <v>0</v>
      </c>
      <c r="I847" s="662">
        <v>19952.660705289778</v>
      </c>
      <c r="J847" s="662">
        <v>20659.301721351181</v>
      </c>
      <c r="K847" s="566" t="s">
        <v>4000</v>
      </c>
      <c r="L847" s="549"/>
      <c r="M847" s="540"/>
      <c r="S847" s="550"/>
      <c r="T847" s="547"/>
      <c r="U847" s="547"/>
      <c r="V847" s="547"/>
      <c r="W847" s="549"/>
    </row>
    <row r="848" spans="1:23">
      <c r="A848" s="565">
        <v>1542</v>
      </c>
      <c r="B848" s="696" t="s">
        <v>6253</v>
      </c>
      <c r="C848" s="566">
        <f t="shared" si="13"/>
        <v>1542</v>
      </c>
      <c r="D848" s="700" t="s">
        <v>2224</v>
      </c>
      <c r="E848" s="701" t="s">
        <v>8726</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6254</v>
      </c>
      <c r="C849" s="566">
        <f t="shared" si="13"/>
        <v>1543</v>
      </c>
      <c r="D849" s="700" t="s">
        <v>2224</v>
      </c>
      <c r="E849" s="701" t="s">
        <v>8727</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6255</v>
      </c>
      <c r="C850" s="566">
        <f t="shared" si="13"/>
        <v>1544</v>
      </c>
      <c r="D850" s="700" t="s">
        <v>2224</v>
      </c>
      <c r="E850" s="701" t="s">
        <v>8728</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6256</v>
      </c>
      <c r="C851" s="566">
        <f t="shared" si="13"/>
        <v>1545</v>
      </c>
      <c r="D851" s="700" t="s">
        <v>2224</v>
      </c>
      <c r="E851" s="701" t="s">
        <v>8729</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6257</v>
      </c>
      <c r="C852" s="566">
        <f t="shared" si="13"/>
        <v>1546</v>
      </c>
      <c r="D852" s="700" t="s">
        <v>2224</v>
      </c>
      <c r="E852" s="701" t="s">
        <v>8730</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6258</v>
      </c>
      <c r="C853" s="566">
        <f t="shared" si="13"/>
        <v>1547</v>
      </c>
      <c r="D853" s="700" t="s">
        <v>2224</v>
      </c>
      <c r="E853" s="701" t="s">
        <v>8731</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6259</v>
      </c>
      <c r="C854" s="566">
        <f t="shared" si="13"/>
        <v>1548</v>
      </c>
      <c r="D854" s="700" t="s">
        <v>2224</v>
      </c>
      <c r="E854" s="701" t="s">
        <v>8732</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6260</v>
      </c>
      <c r="C855" s="566">
        <f t="shared" si="13"/>
        <v>1549</v>
      </c>
      <c r="D855" s="700" t="s">
        <v>2224</v>
      </c>
      <c r="E855" s="701" t="s">
        <v>8733</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6261</v>
      </c>
      <c r="C856" s="566">
        <f t="shared" si="13"/>
        <v>1550</v>
      </c>
      <c r="D856" s="700" t="s">
        <v>2224</v>
      </c>
      <c r="E856" s="701" t="s">
        <v>8734</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6262</v>
      </c>
      <c r="C857" s="566">
        <f t="shared" si="13"/>
        <v>1551</v>
      </c>
      <c r="D857" s="700" t="s">
        <v>2224</v>
      </c>
      <c r="E857" s="701" t="s">
        <v>8735</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6263</v>
      </c>
      <c r="C858" s="566">
        <f t="shared" si="13"/>
        <v>1552</v>
      </c>
      <c r="D858" s="700" t="s">
        <v>2224</v>
      </c>
      <c r="E858" s="701" t="s">
        <v>8736</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6264</v>
      </c>
      <c r="C859" s="566">
        <f t="shared" si="13"/>
        <v>1553</v>
      </c>
      <c r="D859" s="699" t="s">
        <v>2224</v>
      </c>
      <c r="E859" s="701" t="s">
        <v>8737</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6265</v>
      </c>
      <c r="C860" s="566">
        <f t="shared" si="13"/>
        <v>1554</v>
      </c>
      <c r="D860" s="700" t="s">
        <v>2224</v>
      </c>
      <c r="E860" s="701" t="s">
        <v>8738</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6266</v>
      </c>
      <c r="C861" s="566">
        <f t="shared" si="13"/>
        <v>1555</v>
      </c>
      <c r="D861" s="700" t="s">
        <v>2224</v>
      </c>
      <c r="E861" s="701" t="s">
        <v>8739</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6267</v>
      </c>
      <c r="C862" s="566">
        <f t="shared" si="13"/>
        <v>1556</v>
      </c>
      <c r="D862" s="700" t="s">
        <v>2224</v>
      </c>
      <c r="E862" s="701" t="s">
        <v>8740</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6268</v>
      </c>
      <c r="C863" s="566">
        <f t="shared" si="13"/>
        <v>1557</v>
      </c>
      <c r="D863" s="700" t="s">
        <v>2224</v>
      </c>
      <c r="E863" s="701" t="s">
        <v>8741</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6269</v>
      </c>
      <c r="C864" s="566">
        <f t="shared" si="13"/>
        <v>1558</v>
      </c>
      <c r="D864" s="700" t="s">
        <v>2224</v>
      </c>
      <c r="E864" s="701" t="s">
        <v>8742</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6270</v>
      </c>
      <c r="C865" s="566">
        <f t="shared" si="13"/>
        <v>1559</v>
      </c>
      <c r="D865" s="700" t="s">
        <v>2224</v>
      </c>
      <c r="E865" s="701" t="s">
        <v>8743</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6271</v>
      </c>
      <c r="C866" s="566">
        <f t="shared" si="13"/>
        <v>1560</v>
      </c>
      <c r="D866" s="700" t="s">
        <v>2224</v>
      </c>
      <c r="E866" s="701" t="s">
        <v>8744</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6272</v>
      </c>
      <c r="C867" s="566">
        <f t="shared" si="13"/>
        <v>1561</v>
      </c>
      <c r="D867" s="700" t="s">
        <v>2224</v>
      </c>
      <c r="E867" s="701" t="s">
        <v>8745</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6273</v>
      </c>
      <c r="C868" s="566">
        <f t="shared" si="13"/>
        <v>1562</v>
      </c>
      <c r="D868" s="699" t="s">
        <v>2224</v>
      </c>
      <c r="E868" s="701" t="s">
        <v>8746</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6274</v>
      </c>
      <c r="C869" s="566">
        <f t="shared" si="13"/>
        <v>1563</v>
      </c>
      <c r="D869" s="700" t="s">
        <v>2224</v>
      </c>
      <c r="E869" s="701" t="s">
        <v>8747</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6275</v>
      </c>
      <c r="C870" s="566">
        <f t="shared" si="13"/>
        <v>1564</v>
      </c>
      <c r="D870" s="699" t="s">
        <v>2224</v>
      </c>
      <c r="E870" s="701" t="s">
        <v>8748</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6276</v>
      </c>
      <c r="C871" s="566">
        <f t="shared" si="13"/>
        <v>1565</v>
      </c>
      <c r="D871" s="699" t="s">
        <v>2224</v>
      </c>
      <c r="E871" s="701" t="s">
        <v>8749</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6277</v>
      </c>
      <c r="C872" s="566">
        <f t="shared" si="13"/>
        <v>1566</v>
      </c>
      <c r="D872" s="700" t="s">
        <v>2224</v>
      </c>
      <c r="E872" s="701" t="s">
        <v>8750</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6278</v>
      </c>
      <c r="C873" s="566">
        <f t="shared" si="13"/>
        <v>1567</v>
      </c>
      <c r="D873" s="700" t="s">
        <v>2224</v>
      </c>
      <c r="E873" s="701" t="s">
        <v>8751</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6279</v>
      </c>
      <c r="C874" s="566">
        <f t="shared" si="13"/>
        <v>1568</v>
      </c>
      <c r="D874" s="700" t="s">
        <v>2224</v>
      </c>
      <c r="E874" s="701" t="s">
        <v>8752</v>
      </c>
      <c r="F874" s="566">
        <v>1</v>
      </c>
      <c r="G874" s="662">
        <v>0</v>
      </c>
      <c r="H874" s="662">
        <v>0</v>
      </c>
      <c r="I874" s="662">
        <v>17900.203608467182</v>
      </c>
      <c r="J874" s="662">
        <v>18339.950176412225</v>
      </c>
      <c r="K874" s="566" t="s">
        <v>4001</v>
      </c>
      <c r="L874" s="549"/>
      <c r="M874" s="540"/>
      <c r="O874" s="582"/>
      <c r="S874" s="550"/>
      <c r="T874" s="547"/>
      <c r="U874" s="547"/>
      <c r="V874" s="547"/>
      <c r="W874" s="549"/>
    </row>
    <row r="875" spans="1:23">
      <c r="A875" s="565">
        <v>1569</v>
      </c>
      <c r="B875" s="696" t="s">
        <v>6280</v>
      </c>
      <c r="C875" s="566">
        <f t="shared" si="13"/>
        <v>1569</v>
      </c>
      <c r="D875" s="700" t="s">
        <v>2224</v>
      </c>
      <c r="E875" s="701" t="s">
        <v>8753</v>
      </c>
      <c r="F875" s="566">
        <v>1</v>
      </c>
      <c r="G875" s="662">
        <v>0</v>
      </c>
      <c r="H875" s="662">
        <v>0</v>
      </c>
      <c r="I875" s="662">
        <v>16955.477396709335</v>
      </c>
      <c r="J875" s="662">
        <v>17368.619802928351</v>
      </c>
      <c r="K875" s="566" t="s">
        <v>4002</v>
      </c>
      <c r="L875" s="549"/>
      <c r="M875" s="540"/>
      <c r="O875" s="582"/>
      <c r="S875" s="550"/>
      <c r="T875" s="547"/>
      <c r="U875" s="547"/>
      <c r="V875" s="547"/>
      <c r="W875" s="549"/>
    </row>
    <row r="876" spans="1:23">
      <c r="A876" s="565">
        <v>1570</v>
      </c>
      <c r="B876" s="695" t="s">
        <v>6281</v>
      </c>
      <c r="C876" s="566">
        <f t="shared" si="13"/>
        <v>1570</v>
      </c>
      <c r="D876" s="699" t="s">
        <v>2224</v>
      </c>
      <c r="E876" s="701" t="s">
        <v>8754</v>
      </c>
      <c r="F876" s="567">
        <v>1</v>
      </c>
      <c r="G876" s="662">
        <v>0</v>
      </c>
      <c r="H876" s="662">
        <v>19171.65368438742</v>
      </c>
      <c r="I876" s="662">
        <v>20126.408593581378</v>
      </c>
      <c r="J876" s="662">
        <v>20628.892753432967</v>
      </c>
      <c r="K876" s="568" t="s">
        <v>4003</v>
      </c>
      <c r="L876" s="549"/>
      <c r="M876" s="540"/>
      <c r="O876" s="582"/>
      <c r="S876" s="550"/>
      <c r="T876" s="547"/>
      <c r="U876" s="547"/>
      <c r="V876" s="547"/>
      <c r="W876" s="549"/>
    </row>
    <row r="877" spans="1:23">
      <c r="A877" s="565">
        <v>1571</v>
      </c>
      <c r="B877" s="696" t="s">
        <v>6282</v>
      </c>
      <c r="C877" s="566">
        <f t="shared" si="13"/>
        <v>1571</v>
      </c>
      <c r="D877" s="700" t="s">
        <v>2224</v>
      </c>
      <c r="E877" s="701" t="s">
        <v>8755</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6283</v>
      </c>
      <c r="C878" s="566">
        <f t="shared" si="13"/>
        <v>1572</v>
      </c>
      <c r="D878" s="699" t="s">
        <v>2224</v>
      </c>
      <c r="E878" s="701" t="s">
        <v>8756</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6284</v>
      </c>
      <c r="C879" s="566">
        <f t="shared" si="13"/>
        <v>1573</v>
      </c>
      <c r="D879" s="700" t="s">
        <v>2224</v>
      </c>
      <c r="E879" s="701" t="s">
        <v>8757</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6285</v>
      </c>
      <c r="C880" s="566">
        <f t="shared" si="13"/>
        <v>1574</v>
      </c>
      <c r="D880" s="700" t="s">
        <v>2224</v>
      </c>
      <c r="E880" s="701" t="s">
        <v>8758</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6286</v>
      </c>
      <c r="C881" s="566">
        <f t="shared" si="13"/>
        <v>1575</v>
      </c>
      <c r="D881" s="700" t="s">
        <v>2224</v>
      </c>
      <c r="E881" s="701" t="s">
        <v>8759</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6287</v>
      </c>
      <c r="C882" s="566">
        <f t="shared" si="13"/>
        <v>1576</v>
      </c>
      <c r="D882" s="700" t="s">
        <v>2224</v>
      </c>
      <c r="E882" s="701" t="s">
        <v>8760</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6288</v>
      </c>
      <c r="C883" s="566">
        <f t="shared" si="13"/>
        <v>1577</v>
      </c>
      <c r="D883" s="700" t="s">
        <v>2224</v>
      </c>
      <c r="E883" s="701" t="s">
        <v>8761</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6289</v>
      </c>
      <c r="C884" s="566">
        <f t="shared" si="13"/>
        <v>1578</v>
      </c>
      <c r="D884" s="700" t="s">
        <v>2224</v>
      </c>
      <c r="E884" s="701" t="s">
        <v>8762</v>
      </c>
      <c r="F884" s="566">
        <v>1</v>
      </c>
      <c r="G884" s="662">
        <v>0</v>
      </c>
      <c r="H884" s="662">
        <v>0</v>
      </c>
      <c r="I884" s="662">
        <v>0</v>
      </c>
      <c r="J884" s="662">
        <v>15676.268520809524</v>
      </c>
      <c r="K884" s="566" t="s">
        <v>4743</v>
      </c>
      <c r="L884" s="549"/>
      <c r="M884" s="540"/>
      <c r="O884" s="581"/>
      <c r="S884" s="550"/>
      <c r="T884" s="547"/>
      <c r="U884" s="547"/>
      <c r="V884" s="547"/>
      <c r="W884" s="549"/>
    </row>
    <row r="885" spans="1:23">
      <c r="A885" s="565">
        <v>1579</v>
      </c>
      <c r="B885" s="696" t="s">
        <v>6290</v>
      </c>
      <c r="C885" s="566">
        <f t="shared" si="13"/>
        <v>1579</v>
      </c>
      <c r="D885" s="700" t="s">
        <v>2224</v>
      </c>
      <c r="E885" s="701" t="s">
        <v>8763</v>
      </c>
      <c r="F885" s="566">
        <v>1</v>
      </c>
      <c r="G885" s="662">
        <v>0</v>
      </c>
      <c r="H885" s="662">
        <v>0</v>
      </c>
      <c r="I885" s="662">
        <v>0</v>
      </c>
      <c r="J885" s="662">
        <v>14237.251699383974</v>
      </c>
      <c r="K885" s="566" t="s">
        <v>4744</v>
      </c>
      <c r="L885" s="549"/>
      <c r="M885" s="540"/>
      <c r="O885" s="581"/>
      <c r="S885" s="550"/>
      <c r="T885" s="547"/>
      <c r="U885" s="547"/>
      <c r="V885" s="547"/>
      <c r="W885" s="549"/>
    </row>
    <row r="886" spans="1:23">
      <c r="A886" s="565">
        <v>1580</v>
      </c>
      <c r="B886" s="696" t="s">
        <v>6291</v>
      </c>
      <c r="C886" s="566">
        <f t="shared" si="13"/>
        <v>1580</v>
      </c>
      <c r="D886" s="700" t="s">
        <v>2224</v>
      </c>
      <c r="E886" s="701" t="s">
        <v>8764</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6292</v>
      </c>
      <c r="C887" s="566">
        <f t="shared" si="13"/>
        <v>1581</v>
      </c>
      <c r="D887" s="700" t="s">
        <v>2224</v>
      </c>
      <c r="E887" s="701" t="s">
        <v>8765</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6293</v>
      </c>
      <c r="C888" s="566">
        <f t="shared" si="13"/>
        <v>1582</v>
      </c>
      <c r="D888" s="700" t="s">
        <v>2224</v>
      </c>
      <c r="E888" s="701" t="s">
        <v>8766</v>
      </c>
      <c r="F888" s="566">
        <v>1</v>
      </c>
      <c r="G888" s="662">
        <v>10819.917553406611</v>
      </c>
      <c r="H888" s="662">
        <v>0</v>
      </c>
      <c r="I888" s="662">
        <v>0</v>
      </c>
      <c r="J888" s="662">
        <v>0</v>
      </c>
      <c r="K888" s="566" t="s">
        <v>5260</v>
      </c>
      <c r="L888" s="549"/>
      <c r="M888" s="540"/>
      <c r="O888" s="580"/>
      <c r="S888" s="550"/>
      <c r="T888" s="547"/>
      <c r="U888" s="547"/>
      <c r="V888" s="547"/>
      <c r="W888" s="549"/>
    </row>
    <row r="889" spans="1:23">
      <c r="A889" s="565">
        <v>1583</v>
      </c>
      <c r="B889" s="696" t="s">
        <v>6294</v>
      </c>
      <c r="C889" s="566">
        <f t="shared" si="13"/>
        <v>1583</v>
      </c>
      <c r="D889" s="700" t="s">
        <v>2224</v>
      </c>
      <c r="E889" s="701" t="s">
        <v>8767</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6295</v>
      </c>
      <c r="C890" s="566">
        <f t="shared" si="13"/>
        <v>1584</v>
      </c>
      <c r="D890" s="700" t="s">
        <v>2224</v>
      </c>
      <c r="E890" s="701" t="s">
        <v>8768</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6296</v>
      </c>
      <c r="C891" s="566">
        <f t="shared" si="13"/>
        <v>1585</v>
      </c>
      <c r="D891" s="699" t="s">
        <v>2224</v>
      </c>
      <c r="E891" s="701" t="s">
        <v>8769</v>
      </c>
      <c r="F891" s="567">
        <v>1</v>
      </c>
      <c r="G891" s="662">
        <v>0</v>
      </c>
      <c r="H891" s="662">
        <v>0</v>
      </c>
      <c r="I891" s="662">
        <v>0</v>
      </c>
      <c r="J891" s="662">
        <v>23191.860919982038</v>
      </c>
      <c r="K891" s="568" t="s">
        <v>4745</v>
      </c>
      <c r="L891" s="549"/>
      <c r="M891" s="540"/>
      <c r="O891" s="580"/>
      <c r="S891" s="550"/>
      <c r="T891" s="547"/>
      <c r="U891" s="547"/>
      <c r="V891" s="547"/>
      <c r="W891" s="549"/>
    </row>
    <row r="892" spans="1:23">
      <c r="A892" s="565">
        <v>1586</v>
      </c>
      <c r="B892" s="696" t="s">
        <v>6297</v>
      </c>
      <c r="C892" s="566">
        <f t="shared" si="13"/>
        <v>1586</v>
      </c>
      <c r="D892" s="700" t="s">
        <v>2224</v>
      </c>
      <c r="E892" s="701" t="s">
        <v>8770</v>
      </c>
      <c r="F892" s="566">
        <v>1</v>
      </c>
      <c r="G892" s="662">
        <v>0</v>
      </c>
      <c r="H892" s="662">
        <v>0</v>
      </c>
      <c r="I892" s="662">
        <v>0</v>
      </c>
      <c r="J892" s="662">
        <v>19371.925357652402</v>
      </c>
      <c r="K892" s="566" t="s">
        <v>4746</v>
      </c>
      <c r="L892" s="549"/>
      <c r="M892" s="540"/>
      <c r="O892" s="580"/>
      <c r="S892" s="550"/>
      <c r="T892" s="547"/>
      <c r="U892" s="547"/>
      <c r="V892" s="547"/>
      <c r="W892" s="549"/>
    </row>
    <row r="893" spans="1:23">
      <c r="A893" s="565">
        <v>1587</v>
      </c>
      <c r="B893" s="696" t="s">
        <v>6298</v>
      </c>
      <c r="C893" s="566">
        <f t="shared" si="13"/>
        <v>1587</v>
      </c>
      <c r="D893" s="700" t="s">
        <v>2224</v>
      </c>
      <c r="E893" s="701" t="s">
        <v>8771</v>
      </c>
      <c r="F893" s="566">
        <v>1</v>
      </c>
      <c r="G893" s="662">
        <v>16082.425253101879</v>
      </c>
      <c r="H893" s="662">
        <v>0</v>
      </c>
      <c r="I893" s="662">
        <v>0</v>
      </c>
      <c r="J893" s="662">
        <v>0</v>
      </c>
      <c r="K893" s="566" t="s">
        <v>5261</v>
      </c>
      <c r="L893" s="549"/>
      <c r="M893" s="540"/>
      <c r="O893" s="580"/>
      <c r="S893" s="550"/>
      <c r="T893" s="547"/>
      <c r="U893" s="547"/>
      <c r="V893" s="547"/>
      <c r="W893" s="549"/>
    </row>
    <row r="894" spans="1:23">
      <c r="A894" s="565">
        <v>1588</v>
      </c>
      <c r="B894" s="696" t="s">
        <v>6299</v>
      </c>
      <c r="C894" s="566">
        <f t="shared" si="13"/>
        <v>1588</v>
      </c>
      <c r="D894" s="700" t="s">
        <v>2224</v>
      </c>
      <c r="E894" s="701" t="s">
        <v>8772</v>
      </c>
      <c r="F894" s="566">
        <v>1</v>
      </c>
      <c r="G894" s="662">
        <v>15174.841398459108</v>
      </c>
      <c r="H894" s="662">
        <v>0</v>
      </c>
      <c r="I894" s="662">
        <v>0</v>
      </c>
      <c r="J894" s="662">
        <v>0</v>
      </c>
      <c r="K894" s="566" t="s">
        <v>5262</v>
      </c>
      <c r="L894" s="549"/>
      <c r="M894" s="540"/>
      <c r="O894" s="580"/>
      <c r="S894" s="550"/>
      <c r="T894" s="547"/>
      <c r="U894" s="547"/>
      <c r="V894" s="547"/>
      <c r="W894" s="549"/>
    </row>
    <row r="895" spans="1:23">
      <c r="A895" s="565">
        <v>1589</v>
      </c>
      <c r="B895" s="695" t="s">
        <v>6300</v>
      </c>
      <c r="C895" s="566">
        <f t="shared" si="13"/>
        <v>1589</v>
      </c>
      <c r="D895" s="699" t="s">
        <v>2224</v>
      </c>
      <c r="E895" s="701" t="s">
        <v>8773</v>
      </c>
      <c r="F895" s="567">
        <v>1</v>
      </c>
      <c r="G895" s="662">
        <v>31823.187394530014</v>
      </c>
      <c r="H895" s="662">
        <v>0</v>
      </c>
      <c r="I895" s="662">
        <v>0</v>
      </c>
      <c r="J895" s="662">
        <v>0</v>
      </c>
      <c r="K895" s="568" t="s">
        <v>5263</v>
      </c>
      <c r="L895" s="549"/>
      <c r="M895" s="540"/>
      <c r="O895" s="580"/>
      <c r="S895" s="550"/>
      <c r="T895" s="547"/>
      <c r="U895" s="547"/>
      <c r="V895" s="547"/>
      <c r="W895" s="549"/>
    </row>
    <row r="896" spans="1:23">
      <c r="A896" s="565">
        <v>1590</v>
      </c>
      <c r="B896" s="695" t="s">
        <v>6301</v>
      </c>
      <c r="C896" s="566">
        <f t="shared" si="13"/>
        <v>1590</v>
      </c>
      <c r="D896" s="699" t="s">
        <v>2224</v>
      </c>
      <c r="E896" s="701" t="s">
        <v>8774</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6302</v>
      </c>
      <c r="C897" s="566">
        <f t="shared" si="13"/>
        <v>1591</v>
      </c>
      <c r="D897" s="700" t="s">
        <v>2224</v>
      </c>
      <c r="E897" s="701" t="s">
        <v>8775</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6303</v>
      </c>
      <c r="C898" s="566">
        <f t="shared" si="13"/>
        <v>1592</v>
      </c>
      <c r="D898" s="700" t="s">
        <v>2224</v>
      </c>
      <c r="E898" s="701" t="s">
        <v>8776</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6304</v>
      </c>
      <c r="C899" s="566">
        <f t="shared" si="13"/>
        <v>1593</v>
      </c>
      <c r="D899" s="700" t="s">
        <v>2224</v>
      </c>
      <c r="E899" s="701" t="s">
        <v>8777</v>
      </c>
      <c r="F899" s="566">
        <v>1</v>
      </c>
      <c r="G899" s="662">
        <v>0</v>
      </c>
      <c r="H899" s="662">
        <v>0</v>
      </c>
      <c r="I899" s="662">
        <v>20475.617429805407</v>
      </c>
      <c r="J899" s="662">
        <v>21113.681444020072</v>
      </c>
      <c r="K899" s="566" t="s">
        <v>4004</v>
      </c>
      <c r="L899" s="549"/>
      <c r="M899" s="540"/>
      <c r="O899" s="579"/>
      <c r="S899" s="550"/>
      <c r="T899" s="547"/>
      <c r="U899" s="547"/>
      <c r="V899" s="547"/>
      <c r="W899" s="549"/>
    </row>
    <row r="900" spans="1:23">
      <c r="A900" s="565">
        <v>1594</v>
      </c>
      <c r="B900" s="696" t="s">
        <v>6305</v>
      </c>
      <c r="C900" s="566">
        <f t="shared" si="13"/>
        <v>1594</v>
      </c>
      <c r="D900" s="700" t="s">
        <v>2224</v>
      </c>
      <c r="E900" s="701" t="s">
        <v>8778</v>
      </c>
      <c r="F900" s="566">
        <v>1</v>
      </c>
      <c r="G900" s="662">
        <v>0</v>
      </c>
      <c r="H900" s="662">
        <v>0</v>
      </c>
      <c r="I900" s="662">
        <v>20991.520992369242</v>
      </c>
      <c r="J900" s="662">
        <v>21647.710236723346</v>
      </c>
      <c r="K900" s="566" t="s">
        <v>4005</v>
      </c>
      <c r="L900" s="549"/>
      <c r="M900" s="540"/>
      <c r="O900" s="575"/>
      <c r="S900" s="550"/>
      <c r="T900" s="547"/>
      <c r="U900" s="547"/>
      <c r="V900" s="547"/>
      <c r="W900" s="549"/>
    </row>
    <row r="901" spans="1:23">
      <c r="A901" s="565">
        <v>1595</v>
      </c>
      <c r="B901" s="696" t="s">
        <v>6306</v>
      </c>
      <c r="C901" s="566">
        <f t="shared" si="13"/>
        <v>1595</v>
      </c>
      <c r="D901" s="700" t="s">
        <v>2224</v>
      </c>
      <c r="E901" s="701" t="s">
        <v>8779</v>
      </c>
      <c r="F901" s="566">
        <v>1</v>
      </c>
      <c r="G901" s="662">
        <v>0</v>
      </c>
      <c r="H901" s="662">
        <v>0</v>
      </c>
      <c r="I901" s="662">
        <v>22608.438255526627</v>
      </c>
      <c r="J901" s="662">
        <v>23321.332911396665</v>
      </c>
      <c r="K901" s="566" t="s">
        <v>4006</v>
      </c>
      <c r="L901" s="549"/>
      <c r="M901" s="540"/>
      <c r="O901" s="575"/>
      <c r="S901" s="550"/>
      <c r="T901" s="547"/>
      <c r="U901" s="547"/>
      <c r="V901" s="547"/>
      <c r="W901" s="549"/>
    </row>
    <row r="902" spans="1:23">
      <c r="A902" s="565">
        <v>1596</v>
      </c>
      <c r="B902" s="696" t="s">
        <v>6307</v>
      </c>
      <c r="C902" s="566">
        <f t="shared" si="13"/>
        <v>1596</v>
      </c>
      <c r="D902" s="700" t="s">
        <v>2224</v>
      </c>
      <c r="E902" s="701" t="s">
        <v>8780</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6308</v>
      </c>
      <c r="C903" s="566">
        <f t="shared" si="13"/>
        <v>1597</v>
      </c>
      <c r="D903" s="699" t="s">
        <v>2224</v>
      </c>
      <c r="E903" s="701" t="s">
        <v>8781</v>
      </c>
      <c r="F903" s="567">
        <v>1</v>
      </c>
      <c r="G903" s="662">
        <v>0</v>
      </c>
      <c r="H903" s="662">
        <v>0</v>
      </c>
      <c r="I903" s="662">
        <v>0</v>
      </c>
      <c r="J903" s="662">
        <v>17701.062904309667</v>
      </c>
      <c r="K903" s="568" t="s">
        <v>4747</v>
      </c>
      <c r="L903" s="549"/>
      <c r="M903" s="540"/>
      <c r="O903" s="575"/>
      <c r="S903" s="550"/>
      <c r="T903" s="547"/>
      <c r="U903" s="547"/>
      <c r="V903" s="547"/>
      <c r="W903" s="549"/>
    </row>
    <row r="904" spans="1:23">
      <c r="A904" s="565">
        <v>1598</v>
      </c>
      <c r="B904" s="696" t="s">
        <v>6309</v>
      </c>
      <c r="C904" s="566">
        <f t="shared" si="13"/>
        <v>1598</v>
      </c>
      <c r="D904" s="700" t="s">
        <v>2224</v>
      </c>
      <c r="E904" s="701" t="s">
        <v>8782</v>
      </c>
      <c r="F904" s="566">
        <v>1</v>
      </c>
      <c r="G904" s="662">
        <v>0</v>
      </c>
      <c r="H904" s="662">
        <v>0</v>
      </c>
      <c r="I904" s="662">
        <v>0</v>
      </c>
      <c r="J904" s="662">
        <v>16751.045368368952</v>
      </c>
      <c r="K904" s="566" t="s">
        <v>4748</v>
      </c>
      <c r="L904" s="549"/>
      <c r="M904" s="540"/>
      <c r="O904" s="575"/>
      <c r="S904" s="550"/>
      <c r="T904" s="547"/>
      <c r="U904" s="547"/>
      <c r="V904" s="547"/>
      <c r="W904" s="549"/>
    </row>
    <row r="905" spans="1:23">
      <c r="A905" s="565">
        <v>1599</v>
      </c>
      <c r="B905" s="696" t="s">
        <v>6310</v>
      </c>
      <c r="C905" s="566">
        <f t="shared" ref="C905:C968" si="14">A905</f>
        <v>1599</v>
      </c>
      <c r="D905" s="700" t="s">
        <v>2224</v>
      </c>
      <c r="E905" s="701" t="s">
        <v>8783</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6311</v>
      </c>
      <c r="C906" s="566">
        <f t="shared" si="14"/>
        <v>1600</v>
      </c>
      <c r="D906" s="700" t="s">
        <v>2224</v>
      </c>
      <c r="E906" s="701" t="s">
        <v>8784</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6312</v>
      </c>
      <c r="C907" s="566">
        <f t="shared" si="14"/>
        <v>1601</v>
      </c>
      <c r="D907" s="700" t="s">
        <v>2224</v>
      </c>
      <c r="E907" s="701" t="s">
        <v>8785</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6313</v>
      </c>
      <c r="C908" s="566">
        <f t="shared" si="14"/>
        <v>1602</v>
      </c>
      <c r="D908" s="700" t="s">
        <v>2224</v>
      </c>
      <c r="E908" s="701" t="s">
        <v>8786</v>
      </c>
      <c r="F908" s="566">
        <v>1</v>
      </c>
      <c r="G908" s="662">
        <v>17810.539463416841</v>
      </c>
      <c r="H908" s="662">
        <v>0</v>
      </c>
      <c r="I908" s="662">
        <v>0</v>
      </c>
      <c r="J908" s="662">
        <v>0</v>
      </c>
      <c r="K908" s="566" t="s">
        <v>5264</v>
      </c>
      <c r="L908" s="549"/>
      <c r="M908" s="540"/>
      <c r="O908" s="575"/>
      <c r="S908" s="550"/>
      <c r="T908" s="547"/>
      <c r="U908" s="547"/>
      <c r="V908" s="547"/>
      <c r="W908" s="549"/>
    </row>
    <row r="909" spans="1:23">
      <c r="A909" s="565">
        <v>1603</v>
      </c>
      <c r="B909" s="696" t="s">
        <v>6314</v>
      </c>
      <c r="C909" s="566">
        <f t="shared" si="14"/>
        <v>1603</v>
      </c>
      <c r="D909" s="700" t="s">
        <v>2224</v>
      </c>
      <c r="E909" s="701" t="s">
        <v>8787</v>
      </c>
      <c r="F909" s="566">
        <v>1</v>
      </c>
      <c r="G909" s="662">
        <v>17383.016808848366</v>
      </c>
      <c r="H909" s="662">
        <v>0</v>
      </c>
      <c r="I909" s="662">
        <v>0</v>
      </c>
      <c r="J909" s="662">
        <v>0</v>
      </c>
      <c r="K909" s="566" t="s">
        <v>5265</v>
      </c>
      <c r="L909" s="549"/>
      <c r="M909" s="540"/>
      <c r="O909" s="575"/>
      <c r="S909" s="550"/>
      <c r="T909" s="547"/>
      <c r="U909" s="547"/>
      <c r="V909" s="547"/>
      <c r="W909" s="549"/>
    </row>
    <row r="910" spans="1:23">
      <c r="A910" s="565">
        <v>1604</v>
      </c>
      <c r="B910" s="696" t="s">
        <v>6315</v>
      </c>
      <c r="C910" s="566">
        <f t="shared" si="14"/>
        <v>1604</v>
      </c>
      <c r="D910" s="700" t="s">
        <v>2224</v>
      </c>
      <c r="E910" s="701" t="s">
        <v>8788</v>
      </c>
      <c r="F910" s="566">
        <v>1</v>
      </c>
      <c r="G910" s="662">
        <v>16939.212368537836</v>
      </c>
      <c r="H910" s="662">
        <v>0</v>
      </c>
      <c r="I910" s="662">
        <v>0</v>
      </c>
      <c r="J910" s="662">
        <v>0</v>
      </c>
      <c r="K910" s="566" t="s">
        <v>5266</v>
      </c>
      <c r="L910" s="549"/>
      <c r="M910" s="540"/>
      <c r="O910" s="575"/>
      <c r="S910" s="550"/>
      <c r="T910" s="547"/>
      <c r="U910" s="547"/>
      <c r="V910" s="547"/>
      <c r="W910" s="549"/>
    </row>
    <row r="911" spans="1:23">
      <c r="A911" s="565">
        <v>1605</v>
      </c>
      <c r="B911" s="696" t="s">
        <v>6316</v>
      </c>
      <c r="C911" s="566">
        <f t="shared" si="14"/>
        <v>1605</v>
      </c>
      <c r="D911" s="700" t="s">
        <v>2224</v>
      </c>
      <c r="E911" s="701" t="s">
        <v>8789</v>
      </c>
      <c r="F911" s="566">
        <v>1</v>
      </c>
      <c r="G911" s="662">
        <v>22900.372227981814</v>
      </c>
      <c r="H911" s="662">
        <v>0</v>
      </c>
      <c r="I911" s="662">
        <v>0</v>
      </c>
      <c r="J911" s="662">
        <v>0</v>
      </c>
      <c r="K911" s="566" t="s">
        <v>5267</v>
      </c>
      <c r="L911" s="549"/>
      <c r="M911" s="540"/>
      <c r="O911" s="575"/>
      <c r="S911" s="550"/>
      <c r="T911" s="547"/>
      <c r="U911" s="547"/>
      <c r="V911" s="547"/>
      <c r="W911" s="549"/>
    </row>
    <row r="912" spans="1:23">
      <c r="A912" s="565">
        <v>1606</v>
      </c>
      <c r="B912" s="696" t="s">
        <v>6317</v>
      </c>
      <c r="C912" s="566">
        <f t="shared" si="14"/>
        <v>1606</v>
      </c>
      <c r="D912" s="700" t="s">
        <v>2224</v>
      </c>
      <c r="E912" s="701" t="s">
        <v>8790</v>
      </c>
      <c r="F912" s="566">
        <v>1</v>
      </c>
      <c r="G912" s="662">
        <v>0</v>
      </c>
      <c r="H912" s="662">
        <v>0</v>
      </c>
      <c r="I912" s="662">
        <v>26320.427303242006</v>
      </c>
      <c r="J912" s="662">
        <v>27163.553368468696</v>
      </c>
      <c r="K912" s="566" t="s">
        <v>4007</v>
      </c>
      <c r="L912" s="549"/>
      <c r="M912" s="540"/>
      <c r="O912" s="575"/>
      <c r="S912" s="550"/>
      <c r="T912" s="547"/>
      <c r="U912" s="547"/>
      <c r="V912" s="547"/>
      <c r="W912" s="549"/>
    </row>
    <row r="913" spans="1:23">
      <c r="A913" s="565">
        <v>1607</v>
      </c>
      <c r="B913" s="696" t="s">
        <v>6318</v>
      </c>
      <c r="C913" s="566">
        <f t="shared" si="14"/>
        <v>1607</v>
      </c>
      <c r="D913" s="700" t="s">
        <v>2224</v>
      </c>
      <c r="E913" s="701" t="s">
        <v>8791</v>
      </c>
      <c r="F913" s="566">
        <v>1</v>
      </c>
      <c r="G913" s="662">
        <v>0</v>
      </c>
      <c r="H913" s="662">
        <v>0</v>
      </c>
      <c r="I913" s="662">
        <v>0</v>
      </c>
      <c r="J913" s="662">
        <v>22967.054146577095</v>
      </c>
      <c r="K913" s="566" t="s">
        <v>4749</v>
      </c>
      <c r="L913" s="549"/>
      <c r="M913" s="540"/>
      <c r="O913" s="575"/>
      <c r="S913" s="550"/>
      <c r="T913" s="547"/>
      <c r="U913" s="547"/>
      <c r="V913" s="547"/>
      <c r="W913" s="549"/>
    </row>
    <row r="914" spans="1:23">
      <c r="A914" s="565">
        <v>1608</v>
      </c>
      <c r="B914" s="695" t="s">
        <v>6319</v>
      </c>
      <c r="C914" s="566">
        <f t="shared" si="14"/>
        <v>1608</v>
      </c>
      <c r="D914" s="699" t="s">
        <v>2224</v>
      </c>
      <c r="E914" s="701" t="s">
        <v>8792</v>
      </c>
      <c r="F914" s="567">
        <v>1</v>
      </c>
      <c r="G914" s="662">
        <v>0</v>
      </c>
      <c r="H914" s="662">
        <v>0</v>
      </c>
      <c r="I914" s="662">
        <v>25357.826753580233</v>
      </c>
      <c r="J914" s="662">
        <v>26167.171862891504</v>
      </c>
      <c r="K914" s="568" t="s">
        <v>4008</v>
      </c>
      <c r="L914" s="549"/>
      <c r="M914" s="540"/>
      <c r="O914" s="575"/>
      <c r="S914" s="550"/>
      <c r="T914" s="547"/>
      <c r="U914" s="547"/>
      <c r="V914" s="547"/>
      <c r="W914" s="549"/>
    </row>
    <row r="915" spans="1:23">
      <c r="A915" s="565">
        <v>1609</v>
      </c>
      <c r="B915" s="695" t="s">
        <v>6320</v>
      </c>
      <c r="C915" s="566">
        <f t="shared" si="14"/>
        <v>1609</v>
      </c>
      <c r="D915" s="699" t="s">
        <v>2224</v>
      </c>
      <c r="E915" s="701" t="s">
        <v>8793</v>
      </c>
      <c r="F915" s="567">
        <v>1</v>
      </c>
      <c r="G915" s="662">
        <v>0</v>
      </c>
      <c r="H915" s="662">
        <v>0</v>
      </c>
      <c r="I915" s="662">
        <v>0</v>
      </c>
      <c r="J915" s="662">
        <v>18418.294686410612</v>
      </c>
      <c r="K915" s="568" t="s">
        <v>4750</v>
      </c>
      <c r="L915" s="549"/>
      <c r="M915" s="540"/>
      <c r="O915" s="575"/>
      <c r="S915" s="550"/>
      <c r="T915" s="547"/>
      <c r="U915" s="547"/>
      <c r="V915" s="547"/>
      <c r="W915" s="549"/>
    </row>
    <row r="916" spans="1:23">
      <c r="A916" s="565">
        <v>1610</v>
      </c>
      <c r="B916" s="696" t="s">
        <v>6321</v>
      </c>
      <c r="C916" s="566">
        <f t="shared" si="14"/>
        <v>1610</v>
      </c>
      <c r="D916" s="700" t="s">
        <v>2224</v>
      </c>
      <c r="E916" s="701" t="s">
        <v>8794</v>
      </c>
      <c r="F916" s="566">
        <v>1</v>
      </c>
      <c r="G916" s="662">
        <v>0</v>
      </c>
      <c r="H916" s="662">
        <v>0</v>
      </c>
      <c r="I916" s="662">
        <v>0</v>
      </c>
      <c r="J916" s="662">
        <v>18418.294686410612</v>
      </c>
      <c r="K916" s="566" t="s">
        <v>4751</v>
      </c>
      <c r="L916" s="549"/>
      <c r="M916" s="540"/>
      <c r="O916" s="575"/>
      <c r="S916" s="550"/>
      <c r="T916" s="547"/>
      <c r="U916" s="547"/>
      <c r="V916" s="547"/>
      <c r="W916" s="549"/>
    </row>
    <row r="917" spans="1:23">
      <c r="A917" s="565">
        <v>1611</v>
      </c>
      <c r="B917" s="695" t="s">
        <v>6322</v>
      </c>
      <c r="C917" s="566">
        <f t="shared" si="14"/>
        <v>1611</v>
      </c>
      <c r="D917" s="699" t="s">
        <v>2224</v>
      </c>
      <c r="E917" s="701" t="s">
        <v>8795</v>
      </c>
      <c r="F917" s="567">
        <v>1</v>
      </c>
      <c r="G917" s="662">
        <v>0</v>
      </c>
      <c r="H917" s="662">
        <v>0</v>
      </c>
      <c r="I917" s="662">
        <v>0</v>
      </c>
      <c r="J917" s="662">
        <v>20532.240991550221</v>
      </c>
      <c r="K917" s="568" t="s">
        <v>4752</v>
      </c>
      <c r="L917" s="549"/>
      <c r="M917" s="540"/>
      <c r="O917" s="575"/>
      <c r="S917" s="550"/>
      <c r="T917" s="547"/>
      <c r="U917" s="547"/>
      <c r="V917" s="547"/>
      <c r="W917" s="549"/>
    </row>
    <row r="918" spans="1:23">
      <c r="A918" s="565">
        <v>1612</v>
      </c>
      <c r="B918" s="696" t="s">
        <v>6323</v>
      </c>
      <c r="C918" s="566">
        <f t="shared" si="14"/>
        <v>1612</v>
      </c>
      <c r="D918" s="700" t="s">
        <v>2224</v>
      </c>
      <c r="E918" s="701" t="s">
        <v>8796</v>
      </c>
      <c r="F918" s="566">
        <v>1</v>
      </c>
      <c r="G918" s="662">
        <v>0</v>
      </c>
      <c r="H918" s="662">
        <v>0</v>
      </c>
      <c r="I918" s="662">
        <v>0</v>
      </c>
      <c r="J918" s="662">
        <v>19670.304551656995</v>
      </c>
      <c r="K918" s="566" t="s">
        <v>4753</v>
      </c>
      <c r="L918" s="549"/>
      <c r="M918" s="540"/>
      <c r="O918" s="575"/>
      <c r="S918" s="550"/>
      <c r="T918" s="547"/>
      <c r="U918" s="547"/>
      <c r="V918" s="547"/>
      <c r="W918" s="549"/>
    </row>
    <row r="919" spans="1:23">
      <c r="A919" s="565">
        <v>1613</v>
      </c>
      <c r="B919" s="696" t="s">
        <v>6324</v>
      </c>
      <c r="C919" s="566">
        <f t="shared" si="14"/>
        <v>1613</v>
      </c>
      <c r="D919" s="700" t="s">
        <v>2224</v>
      </c>
      <c r="E919" s="701" t="s">
        <v>8797</v>
      </c>
      <c r="F919" s="566">
        <v>1</v>
      </c>
      <c r="G919" s="662">
        <v>0</v>
      </c>
      <c r="H919" s="662">
        <v>0</v>
      </c>
      <c r="I919" s="662">
        <v>0</v>
      </c>
      <c r="J919" s="662">
        <v>19670.304551656995</v>
      </c>
      <c r="K919" s="566" t="s">
        <v>4754</v>
      </c>
      <c r="L919" s="549"/>
      <c r="M919" s="540"/>
      <c r="O919" s="575"/>
      <c r="S919" s="550"/>
      <c r="T919" s="547"/>
      <c r="U919" s="547"/>
      <c r="V919" s="547"/>
      <c r="W919" s="549"/>
    </row>
    <row r="920" spans="1:23">
      <c r="A920" s="565">
        <v>1614</v>
      </c>
      <c r="B920" s="696" t="s">
        <v>6325</v>
      </c>
      <c r="C920" s="566">
        <f t="shared" si="14"/>
        <v>1614</v>
      </c>
      <c r="D920" s="700" t="s">
        <v>2224</v>
      </c>
      <c r="E920" s="701" t="s">
        <v>8798</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6326</v>
      </c>
      <c r="C921" s="566">
        <f t="shared" si="14"/>
        <v>1615</v>
      </c>
      <c r="D921" s="700" t="s">
        <v>2224</v>
      </c>
      <c r="E921" s="701" t="s">
        <v>8799</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6327</v>
      </c>
      <c r="C922" s="566">
        <f t="shared" si="14"/>
        <v>1616</v>
      </c>
      <c r="D922" s="700" t="s">
        <v>2224</v>
      </c>
      <c r="E922" s="701" t="s">
        <v>8800</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6328</v>
      </c>
      <c r="C923" s="566">
        <f t="shared" si="14"/>
        <v>1617</v>
      </c>
      <c r="D923" s="700" t="s">
        <v>2224</v>
      </c>
      <c r="E923" s="701" t="s">
        <v>8801</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6329</v>
      </c>
      <c r="C924" s="566">
        <f t="shared" si="14"/>
        <v>1618</v>
      </c>
      <c r="D924" s="699" t="s">
        <v>2224</v>
      </c>
      <c r="E924" s="701" t="s">
        <v>8802</v>
      </c>
      <c r="F924" s="567">
        <v>1</v>
      </c>
      <c r="G924" s="662">
        <v>0</v>
      </c>
      <c r="H924" s="662">
        <v>18870.224247466387</v>
      </c>
      <c r="I924" s="662">
        <v>19896.196337296209</v>
      </c>
      <c r="J924" s="662">
        <v>20436.184872199628</v>
      </c>
      <c r="K924" s="568" t="s">
        <v>4009</v>
      </c>
      <c r="L924" s="549"/>
      <c r="M924" s="540"/>
      <c r="O924" s="575"/>
      <c r="S924" s="550"/>
      <c r="T924" s="547"/>
      <c r="U924" s="547"/>
      <c r="V924" s="547"/>
      <c r="W924" s="549"/>
    </row>
    <row r="925" spans="1:23">
      <c r="A925" s="565">
        <v>1619</v>
      </c>
      <c r="B925" s="695" t="s">
        <v>6330</v>
      </c>
      <c r="C925" s="566">
        <f t="shared" si="14"/>
        <v>1619</v>
      </c>
      <c r="D925" s="699" t="s">
        <v>2224</v>
      </c>
      <c r="E925" s="701" t="s">
        <v>8803</v>
      </c>
      <c r="F925" s="567">
        <v>1</v>
      </c>
      <c r="G925" s="662">
        <v>0</v>
      </c>
      <c r="H925" s="662">
        <v>20296.226638192529</v>
      </c>
      <c r="I925" s="662">
        <v>21410.420136039247</v>
      </c>
      <c r="J925" s="662">
        <v>21996.816807451556</v>
      </c>
      <c r="K925" s="568" t="s">
        <v>4010</v>
      </c>
      <c r="L925" s="549"/>
      <c r="M925" s="540"/>
      <c r="O925" s="575"/>
      <c r="S925" s="550"/>
      <c r="T925" s="547"/>
      <c r="U925" s="547"/>
      <c r="V925" s="547"/>
      <c r="W925" s="549"/>
    </row>
    <row r="926" spans="1:23">
      <c r="A926" s="565">
        <v>1620</v>
      </c>
      <c r="B926" s="695" t="s">
        <v>6331</v>
      </c>
      <c r="C926" s="566">
        <f t="shared" si="14"/>
        <v>1620</v>
      </c>
      <c r="D926" s="699" t="s">
        <v>2224</v>
      </c>
      <c r="E926" s="701" t="s">
        <v>8804</v>
      </c>
      <c r="F926" s="567">
        <v>1</v>
      </c>
      <c r="G926" s="662">
        <v>18407.739170634402</v>
      </c>
      <c r="H926" s="662">
        <v>0</v>
      </c>
      <c r="I926" s="662">
        <v>0</v>
      </c>
      <c r="J926" s="662">
        <v>0</v>
      </c>
      <c r="K926" s="568" t="s">
        <v>5268</v>
      </c>
      <c r="L926" s="549"/>
      <c r="M926" s="540"/>
      <c r="O926" s="575"/>
      <c r="S926" s="550"/>
      <c r="T926" s="547"/>
      <c r="U926" s="547"/>
      <c r="V926" s="547"/>
      <c r="W926" s="549"/>
    </row>
    <row r="927" spans="1:23">
      <c r="A927" s="565">
        <v>1621</v>
      </c>
      <c r="B927" s="695" t="s">
        <v>6332</v>
      </c>
      <c r="C927" s="566">
        <f t="shared" si="14"/>
        <v>1621</v>
      </c>
      <c r="D927" s="699" t="s">
        <v>2224</v>
      </c>
      <c r="E927" s="701" t="s">
        <v>8805</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6333</v>
      </c>
      <c r="C928" s="566">
        <f t="shared" si="14"/>
        <v>1622</v>
      </c>
      <c r="D928" s="699" t="s">
        <v>2224</v>
      </c>
      <c r="E928" s="701" t="s">
        <v>8806</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6334</v>
      </c>
      <c r="C929" s="566">
        <f t="shared" si="14"/>
        <v>1623</v>
      </c>
      <c r="D929" s="700" t="s">
        <v>2224</v>
      </c>
      <c r="E929" s="701" t="s">
        <v>8807</v>
      </c>
      <c r="F929" s="566">
        <v>1</v>
      </c>
      <c r="G929" s="662">
        <v>0</v>
      </c>
      <c r="H929" s="662">
        <v>0</v>
      </c>
      <c r="I929" s="662">
        <v>24049.10625356013</v>
      </c>
      <c r="J929" s="662">
        <v>24716.433813854608</v>
      </c>
      <c r="K929" s="566" t="s">
        <v>4011</v>
      </c>
      <c r="L929" s="549"/>
      <c r="M929" s="540"/>
      <c r="O929" s="575"/>
      <c r="S929" s="550"/>
      <c r="T929" s="547"/>
      <c r="U929" s="547"/>
      <c r="V929" s="547"/>
      <c r="W929" s="549"/>
    </row>
    <row r="930" spans="1:23">
      <c r="A930" s="565">
        <v>1624</v>
      </c>
      <c r="B930" s="696" t="s">
        <v>6335</v>
      </c>
      <c r="C930" s="566">
        <f t="shared" si="14"/>
        <v>1624</v>
      </c>
      <c r="D930" s="700" t="s">
        <v>2224</v>
      </c>
      <c r="E930" s="701" t="s">
        <v>8808</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6336</v>
      </c>
      <c r="C931" s="566">
        <f t="shared" si="14"/>
        <v>1625</v>
      </c>
      <c r="D931" s="700" t="s">
        <v>2224</v>
      </c>
      <c r="E931" s="701" t="s">
        <v>8809</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6337</v>
      </c>
      <c r="C932" s="566">
        <f t="shared" si="14"/>
        <v>1626</v>
      </c>
      <c r="D932" s="700" t="s">
        <v>2224</v>
      </c>
      <c r="E932" s="701" t="s">
        <v>8810</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6338</v>
      </c>
      <c r="C933" s="566">
        <f t="shared" si="14"/>
        <v>1627</v>
      </c>
      <c r="D933" s="700" t="s">
        <v>2224</v>
      </c>
      <c r="E933" s="701" t="s">
        <v>8811</v>
      </c>
      <c r="F933" s="566">
        <v>1</v>
      </c>
      <c r="G933" s="662">
        <v>23382.73695411444</v>
      </c>
      <c r="H933" s="662">
        <v>0</v>
      </c>
      <c r="I933" s="662">
        <v>0</v>
      </c>
      <c r="J933" s="662">
        <v>0</v>
      </c>
      <c r="K933" s="566" t="s">
        <v>5269</v>
      </c>
      <c r="L933" s="549"/>
      <c r="M933" s="540"/>
      <c r="O933" s="575"/>
      <c r="S933" s="550"/>
      <c r="T933" s="547"/>
      <c r="U933" s="547"/>
      <c r="V933" s="547"/>
      <c r="W933" s="549"/>
    </row>
    <row r="934" spans="1:23">
      <c r="A934" s="565">
        <v>1628</v>
      </c>
      <c r="B934" s="696" t="s">
        <v>6339</v>
      </c>
      <c r="C934" s="566">
        <f t="shared" si="14"/>
        <v>1628</v>
      </c>
      <c r="D934" s="700" t="s">
        <v>2224</v>
      </c>
      <c r="E934" s="701" t="s">
        <v>8812</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6340</v>
      </c>
      <c r="C935" s="566">
        <f t="shared" si="14"/>
        <v>1629</v>
      </c>
      <c r="D935" s="700" t="s">
        <v>2224</v>
      </c>
      <c r="E935" s="701" t="s">
        <v>8813</v>
      </c>
      <c r="F935" s="566">
        <v>1</v>
      </c>
      <c r="G935" s="662">
        <v>0</v>
      </c>
      <c r="H935" s="662">
        <v>0</v>
      </c>
      <c r="I935" s="662">
        <v>26423.024689048045</v>
      </c>
      <c r="J935" s="662">
        <v>27363.674863338849</v>
      </c>
      <c r="K935" s="566" t="s">
        <v>4012</v>
      </c>
      <c r="L935" s="549"/>
      <c r="M935" s="540"/>
      <c r="O935" s="575"/>
      <c r="S935" s="550"/>
      <c r="T935" s="547"/>
      <c r="U935" s="547"/>
      <c r="V935" s="547"/>
      <c r="W935" s="549"/>
    </row>
    <row r="936" spans="1:23">
      <c r="A936" s="565">
        <v>1630</v>
      </c>
      <c r="B936" s="696" t="s">
        <v>6341</v>
      </c>
      <c r="C936" s="566">
        <f t="shared" si="14"/>
        <v>1630</v>
      </c>
      <c r="D936" s="700" t="s">
        <v>2224</v>
      </c>
      <c r="E936" s="701" t="s">
        <v>8814</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6342</v>
      </c>
      <c r="C937" s="566">
        <f t="shared" si="14"/>
        <v>1631</v>
      </c>
      <c r="D937" s="700" t="s">
        <v>2224</v>
      </c>
      <c r="E937" s="701" t="s">
        <v>8815</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6343</v>
      </c>
      <c r="C938" s="566">
        <f t="shared" si="14"/>
        <v>1632</v>
      </c>
      <c r="D938" s="700" t="s">
        <v>2224</v>
      </c>
      <c r="E938" s="701" t="s">
        <v>8816</v>
      </c>
      <c r="F938" s="566">
        <v>1</v>
      </c>
      <c r="G938" s="662">
        <v>0</v>
      </c>
      <c r="H938" s="662">
        <v>0</v>
      </c>
      <c r="I938" s="662">
        <v>19561.482509828187</v>
      </c>
      <c r="J938" s="662">
        <v>19992.264379085165</v>
      </c>
      <c r="K938" s="566" t="s">
        <v>4013</v>
      </c>
      <c r="L938" s="549"/>
      <c r="M938" s="540"/>
      <c r="O938" s="575"/>
      <c r="S938" s="550"/>
      <c r="T938" s="547"/>
      <c r="U938" s="547"/>
      <c r="V938" s="547"/>
      <c r="W938" s="549"/>
    </row>
    <row r="939" spans="1:23">
      <c r="A939" s="565">
        <v>1633</v>
      </c>
      <c r="B939" s="696" t="s">
        <v>6344</v>
      </c>
      <c r="C939" s="566">
        <f t="shared" si="14"/>
        <v>1633</v>
      </c>
      <c r="D939" s="700" t="s">
        <v>2224</v>
      </c>
      <c r="E939" s="701" t="s">
        <v>8817</v>
      </c>
      <c r="F939" s="566">
        <v>1</v>
      </c>
      <c r="G939" s="662">
        <v>0</v>
      </c>
      <c r="H939" s="662">
        <v>0</v>
      </c>
      <c r="I939" s="662">
        <v>20952.241016697852</v>
      </c>
      <c r="J939" s="662">
        <v>21417.690438976839</v>
      </c>
      <c r="K939" s="566" t="s">
        <v>4014</v>
      </c>
      <c r="L939" s="549"/>
      <c r="M939" s="540"/>
      <c r="O939" s="575"/>
      <c r="S939" s="550"/>
      <c r="T939" s="547"/>
      <c r="U939" s="547"/>
      <c r="V939" s="547"/>
      <c r="W939" s="549"/>
    </row>
    <row r="940" spans="1:23">
      <c r="A940" s="565">
        <v>1634</v>
      </c>
      <c r="B940" s="696" t="s">
        <v>6345</v>
      </c>
      <c r="C940" s="566">
        <f t="shared" si="14"/>
        <v>1634</v>
      </c>
      <c r="D940" s="700" t="s">
        <v>2224</v>
      </c>
      <c r="E940" s="701" t="s">
        <v>8818</v>
      </c>
      <c r="F940" s="566">
        <v>1</v>
      </c>
      <c r="G940" s="662">
        <v>0</v>
      </c>
      <c r="H940" s="662">
        <v>0</v>
      </c>
      <c r="I940" s="662">
        <v>23733.758030437188</v>
      </c>
      <c r="J940" s="662">
        <v>24268.579166524712</v>
      </c>
      <c r="K940" s="566" t="s">
        <v>4015</v>
      </c>
      <c r="L940" s="549"/>
      <c r="M940" s="540"/>
      <c r="O940" s="575"/>
      <c r="S940" s="550"/>
      <c r="T940" s="547"/>
      <c r="U940" s="547"/>
      <c r="V940" s="547"/>
      <c r="W940" s="549"/>
    </row>
    <row r="941" spans="1:23">
      <c r="A941" s="565">
        <v>1635</v>
      </c>
      <c r="B941" s="696" t="s">
        <v>6346</v>
      </c>
      <c r="C941" s="566">
        <f t="shared" si="14"/>
        <v>1635</v>
      </c>
      <c r="D941" s="700" t="s">
        <v>2224</v>
      </c>
      <c r="E941" s="701" t="s">
        <v>8819</v>
      </c>
      <c r="F941" s="566">
        <v>1</v>
      </c>
      <c r="G941" s="662">
        <v>0</v>
      </c>
      <c r="H941" s="662">
        <v>0</v>
      </c>
      <c r="I941" s="662">
        <v>24602.982097230732</v>
      </c>
      <c r="J941" s="662">
        <v>25159.475029927573</v>
      </c>
      <c r="K941" s="566" t="s">
        <v>4016</v>
      </c>
      <c r="L941" s="549"/>
      <c r="M941" s="540"/>
      <c r="O941" s="575"/>
      <c r="S941" s="550"/>
      <c r="T941" s="547"/>
      <c r="U941" s="547"/>
      <c r="V941" s="547"/>
      <c r="W941" s="549"/>
    </row>
    <row r="942" spans="1:23">
      <c r="A942" s="565">
        <v>1636</v>
      </c>
      <c r="B942" s="696" t="s">
        <v>6347</v>
      </c>
      <c r="C942" s="566">
        <f t="shared" si="14"/>
        <v>1636</v>
      </c>
      <c r="D942" s="700" t="s">
        <v>2224</v>
      </c>
      <c r="E942" s="701" t="s">
        <v>8820</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6348</v>
      </c>
      <c r="C943" s="566">
        <f t="shared" si="14"/>
        <v>1637</v>
      </c>
      <c r="D943" s="700" t="s">
        <v>2224</v>
      </c>
      <c r="E943" s="701" t="s">
        <v>8821</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6349</v>
      </c>
      <c r="C944" s="566">
        <f t="shared" si="14"/>
        <v>1638</v>
      </c>
      <c r="D944" s="700" t="s">
        <v>2224</v>
      </c>
      <c r="E944" s="701" t="s">
        <v>8822</v>
      </c>
      <c r="F944" s="566">
        <v>1</v>
      </c>
      <c r="G944" s="662">
        <v>0</v>
      </c>
      <c r="H944" s="662">
        <v>0</v>
      </c>
      <c r="I944" s="662">
        <v>35961.98103348766</v>
      </c>
      <c r="J944" s="662">
        <v>36809.245030545506</v>
      </c>
      <c r="K944" s="566" t="s">
        <v>4017</v>
      </c>
      <c r="L944" s="549"/>
      <c r="M944" s="540"/>
      <c r="O944" s="575"/>
      <c r="S944" s="550"/>
      <c r="T944" s="547"/>
      <c r="U944" s="547"/>
      <c r="V944" s="547"/>
      <c r="W944" s="549"/>
    </row>
    <row r="945" spans="1:23">
      <c r="A945" s="565">
        <v>1639</v>
      </c>
      <c r="B945" s="696" t="s">
        <v>6350</v>
      </c>
      <c r="C945" s="566">
        <f t="shared" si="14"/>
        <v>1639</v>
      </c>
      <c r="D945" s="700" t="s">
        <v>2224</v>
      </c>
      <c r="E945" s="701" t="s">
        <v>8823</v>
      </c>
      <c r="F945" s="566">
        <v>1</v>
      </c>
      <c r="G945" s="662">
        <v>0</v>
      </c>
      <c r="H945" s="662">
        <v>0</v>
      </c>
      <c r="I945" s="662">
        <v>36843.575337249335</v>
      </c>
      <c r="J945" s="662">
        <v>37713.009275390301</v>
      </c>
      <c r="K945" s="566" t="s">
        <v>4018</v>
      </c>
      <c r="L945" s="549"/>
      <c r="M945" s="540"/>
      <c r="O945" s="575"/>
      <c r="S945" s="550"/>
      <c r="T945" s="547"/>
      <c r="U945" s="547"/>
      <c r="V945" s="547"/>
      <c r="W945" s="549"/>
    </row>
    <row r="946" spans="1:23">
      <c r="A946" s="565">
        <v>1640</v>
      </c>
      <c r="B946" s="696" t="s">
        <v>6351</v>
      </c>
      <c r="C946" s="566">
        <f t="shared" si="14"/>
        <v>1640</v>
      </c>
      <c r="D946" s="700" t="s">
        <v>2224</v>
      </c>
      <c r="E946" s="701" t="s">
        <v>8824</v>
      </c>
      <c r="F946" s="566">
        <v>1</v>
      </c>
      <c r="G946" s="662">
        <v>0</v>
      </c>
      <c r="H946" s="662">
        <v>0</v>
      </c>
      <c r="I946" s="662">
        <v>38879.531958186279</v>
      </c>
      <c r="J946" s="662">
        <v>39800.208852603333</v>
      </c>
      <c r="K946" s="566" t="s">
        <v>4019</v>
      </c>
      <c r="L946" s="549"/>
      <c r="M946" s="540"/>
      <c r="O946" s="575"/>
      <c r="S946" s="550"/>
      <c r="T946" s="547"/>
      <c r="U946" s="547"/>
      <c r="V946" s="547"/>
      <c r="W946" s="549"/>
    </row>
    <row r="947" spans="1:23">
      <c r="A947" s="565">
        <v>1641</v>
      </c>
      <c r="B947" s="696" t="s">
        <v>6352</v>
      </c>
      <c r="C947" s="566">
        <f t="shared" si="14"/>
        <v>1641</v>
      </c>
      <c r="D947" s="700" t="s">
        <v>2224</v>
      </c>
      <c r="E947" s="701" t="s">
        <v>8825</v>
      </c>
      <c r="F947" s="566">
        <v>1</v>
      </c>
      <c r="G947" s="662">
        <v>0</v>
      </c>
      <c r="H947" s="662">
        <v>0</v>
      </c>
      <c r="I947" s="662">
        <v>36843.575337249335</v>
      </c>
      <c r="J947" s="662">
        <v>37713.009275390301</v>
      </c>
      <c r="K947" s="566" t="s">
        <v>4020</v>
      </c>
      <c r="L947" s="549"/>
      <c r="M947" s="540"/>
      <c r="O947" s="575"/>
      <c r="S947" s="550"/>
      <c r="T947" s="547"/>
      <c r="U947" s="547"/>
      <c r="V947" s="547"/>
      <c r="W947" s="549"/>
    </row>
    <row r="948" spans="1:23">
      <c r="A948" s="565">
        <v>1642</v>
      </c>
      <c r="B948" s="696" t="s">
        <v>6353</v>
      </c>
      <c r="C948" s="566">
        <f t="shared" si="14"/>
        <v>1642</v>
      </c>
      <c r="D948" s="700" t="s">
        <v>2224</v>
      </c>
      <c r="E948" s="701" t="s">
        <v>8826</v>
      </c>
      <c r="F948" s="566">
        <v>1</v>
      </c>
      <c r="G948" s="662">
        <v>0</v>
      </c>
      <c r="H948" s="662">
        <v>0</v>
      </c>
      <c r="I948" s="662">
        <v>38786.383616051906</v>
      </c>
      <c r="J948" s="662">
        <v>39704.704512479257</v>
      </c>
      <c r="K948" s="566" t="s">
        <v>4021</v>
      </c>
      <c r="L948" s="549"/>
      <c r="M948" s="540"/>
      <c r="O948" s="575"/>
      <c r="S948" s="550"/>
      <c r="T948" s="547"/>
      <c r="U948" s="547"/>
      <c r="V948" s="547"/>
      <c r="W948" s="549"/>
    </row>
    <row r="949" spans="1:23">
      <c r="A949" s="565">
        <v>1643</v>
      </c>
      <c r="B949" s="695" t="s">
        <v>6354</v>
      </c>
      <c r="C949" s="566">
        <f t="shared" si="14"/>
        <v>1643</v>
      </c>
      <c r="D949" s="699" t="s">
        <v>2224</v>
      </c>
      <c r="E949" s="701" t="s">
        <v>8827</v>
      </c>
      <c r="F949" s="567">
        <v>1</v>
      </c>
      <c r="G949" s="662">
        <v>0</v>
      </c>
      <c r="H949" s="662">
        <v>17172.392684336904</v>
      </c>
      <c r="I949" s="662">
        <v>0</v>
      </c>
      <c r="J949" s="662">
        <v>0</v>
      </c>
      <c r="K949" s="568" t="s">
        <v>4755</v>
      </c>
      <c r="L949" s="549"/>
      <c r="M949" s="540"/>
      <c r="O949" s="575"/>
      <c r="S949" s="550"/>
      <c r="T949" s="547"/>
      <c r="U949" s="547"/>
      <c r="V949" s="547"/>
      <c r="W949" s="549"/>
    </row>
    <row r="950" spans="1:23">
      <c r="A950" s="565">
        <v>1644</v>
      </c>
      <c r="B950" s="695" t="s">
        <v>6355</v>
      </c>
      <c r="C950" s="566">
        <f t="shared" si="14"/>
        <v>1644</v>
      </c>
      <c r="D950" s="699" t="s">
        <v>2224</v>
      </c>
      <c r="E950" s="701" t="s">
        <v>8828</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6356</v>
      </c>
      <c r="C951" s="566">
        <f t="shared" si="14"/>
        <v>1645</v>
      </c>
      <c r="D951" s="700" t="s">
        <v>2224</v>
      </c>
      <c r="E951" s="701" t="s">
        <v>8829</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6357</v>
      </c>
      <c r="C952" s="566">
        <f t="shared" si="14"/>
        <v>1646</v>
      </c>
      <c r="D952" s="699" t="s">
        <v>2224</v>
      </c>
      <c r="E952" s="701" t="s">
        <v>8830</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6358</v>
      </c>
      <c r="C953" s="566">
        <f t="shared" si="14"/>
        <v>1647</v>
      </c>
      <c r="D953" s="699" t="s">
        <v>2224</v>
      </c>
      <c r="E953" s="701" t="s">
        <v>8831</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6359</v>
      </c>
      <c r="C954" s="566">
        <f t="shared" si="14"/>
        <v>1648</v>
      </c>
      <c r="D954" s="700" t="s">
        <v>2224</v>
      </c>
      <c r="E954" s="701" t="s">
        <v>8832</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6360</v>
      </c>
      <c r="C955" s="566">
        <f t="shared" si="14"/>
        <v>1649</v>
      </c>
      <c r="D955" s="700" t="s">
        <v>2224</v>
      </c>
      <c r="E955" s="701" t="s">
        <v>8833</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6361</v>
      </c>
      <c r="C956" s="566">
        <f t="shared" si="14"/>
        <v>1650</v>
      </c>
      <c r="D956" s="700" t="s">
        <v>2224</v>
      </c>
      <c r="E956" s="701" t="s">
        <v>8834</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6362</v>
      </c>
      <c r="C957" s="566">
        <f t="shared" si="14"/>
        <v>1651</v>
      </c>
      <c r="D957" s="700" t="s">
        <v>2224</v>
      </c>
      <c r="E957" s="701" t="s">
        <v>8835</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6363</v>
      </c>
      <c r="C958" s="566">
        <f t="shared" si="14"/>
        <v>1652</v>
      </c>
      <c r="D958" s="699" t="s">
        <v>2224</v>
      </c>
      <c r="E958" s="701" t="s">
        <v>8836</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6364</v>
      </c>
      <c r="C959" s="566">
        <f t="shared" si="14"/>
        <v>1653</v>
      </c>
      <c r="D959" s="700" t="s">
        <v>2224</v>
      </c>
      <c r="E959" s="701" t="s">
        <v>8837</v>
      </c>
      <c r="F959" s="566">
        <v>2</v>
      </c>
      <c r="G959" s="662">
        <v>0</v>
      </c>
      <c r="H959" s="662">
        <v>24283.154931326862</v>
      </c>
      <c r="I959" s="662">
        <v>25919.348813908113</v>
      </c>
      <c r="J959" s="662">
        <v>0</v>
      </c>
      <c r="K959" s="566" t="s">
        <v>4756</v>
      </c>
      <c r="L959" s="549"/>
      <c r="M959" s="540"/>
      <c r="O959" s="575"/>
      <c r="S959" s="550"/>
      <c r="T959" s="547"/>
      <c r="U959" s="547"/>
      <c r="V959" s="547"/>
      <c r="W959" s="549"/>
    </row>
    <row r="960" spans="1:23">
      <c r="A960" s="565">
        <v>1654</v>
      </c>
      <c r="B960" s="696" t="s">
        <v>6365</v>
      </c>
      <c r="C960" s="566">
        <f t="shared" si="14"/>
        <v>1654</v>
      </c>
      <c r="D960" s="700" t="s">
        <v>2224</v>
      </c>
      <c r="E960" s="701" t="s">
        <v>8838</v>
      </c>
      <c r="F960" s="566">
        <v>2</v>
      </c>
      <c r="G960" s="662">
        <v>0</v>
      </c>
      <c r="H960" s="662">
        <v>25086.715972986556</v>
      </c>
      <c r="I960" s="662">
        <v>26788.096862841958</v>
      </c>
      <c r="J960" s="662">
        <v>0</v>
      </c>
      <c r="K960" s="566" t="s">
        <v>4757</v>
      </c>
      <c r="L960" s="549"/>
      <c r="M960" s="540"/>
      <c r="O960" s="575"/>
      <c r="S960" s="550"/>
      <c r="T960" s="547"/>
      <c r="U960" s="547"/>
      <c r="V960" s="547"/>
      <c r="W960" s="549"/>
    </row>
    <row r="961" spans="1:23">
      <c r="A961" s="565">
        <v>1655</v>
      </c>
      <c r="B961" s="696" t="s">
        <v>6366</v>
      </c>
      <c r="C961" s="566">
        <f t="shared" si="14"/>
        <v>1655</v>
      </c>
      <c r="D961" s="700" t="s">
        <v>2224</v>
      </c>
      <c r="E961" s="701" t="s">
        <v>8839</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6367</v>
      </c>
      <c r="C962" s="566">
        <f t="shared" si="14"/>
        <v>1656</v>
      </c>
      <c r="D962" s="700" t="s">
        <v>2224</v>
      </c>
      <c r="E962" s="701" t="s">
        <v>8840</v>
      </c>
      <c r="F962" s="566">
        <v>2</v>
      </c>
      <c r="G962" s="662">
        <v>0</v>
      </c>
      <c r="H962" s="662">
        <v>0</v>
      </c>
      <c r="I962" s="662">
        <v>45054.209748291432</v>
      </c>
      <c r="J962" s="662">
        <v>46653.328520485506</v>
      </c>
      <c r="K962" s="566" t="s">
        <v>4758</v>
      </c>
      <c r="L962" s="549"/>
      <c r="M962" s="540"/>
      <c r="O962" s="575"/>
      <c r="S962" s="550"/>
      <c r="T962" s="547"/>
      <c r="U962" s="547"/>
      <c r="V962" s="547"/>
      <c r="W962" s="549"/>
    </row>
    <row r="963" spans="1:23">
      <c r="A963" s="565">
        <v>1657</v>
      </c>
      <c r="B963" s="696" t="s">
        <v>6368</v>
      </c>
      <c r="C963" s="566">
        <f t="shared" si="14"/>
        <v>1657</v>
      </c>
      <c r="D963" s="700" t="s">
        <v>2224</v>
      </c>
      <c r="E963" s="701" t="s">
        <v>8841</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6369</v>
      </c>
      <c r="C964" s="566">
        <f t="shared" si="14"/>
        <v>1658</v>
      </c>
      <c r="D964" s="700" t="s">
        <v>2224</v>
      </c>
      <c r="E964" s="701" t="s">
        <v>8842</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6370</v>
      </c>
      <c r="C965" s="566">
        <f t="shared" si="14"/>
        <v>1659</v>
      </c>
      <c r="D965" s="700" t="s">
        <v>2224</v>
      </c>
      <c r="E965" s="701" t="s">
        <v>8843</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6371</v>
      </c>
      <c r="C966" s="566">
        <f t="shared" si="14"/>
        <v>1660</v>
      </c>
      <c r="D966" s="700" t="s">
        <v>2224</v>
      </c>
      <c r="E966" s="701" t="s">
        <v>8844</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6372</v>
      </c>
      <c r="C967" s="566">
        <f t="shared" si="14"/>
        <v>1661</v>
      </c>
      <c r="D967" s="700" t="s">
        <v>2224</v>
      </c>
      <c r="E967" s="701" t="s">
        <v>8845</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6373</v>
      </c>
      <c r="C968" s="566">
        <f t="shared" si="14"/>
        <v>1662</v>
      </c>
      <c r="D968" s="700" t="s">
        <v>2224</v>
      </c>
      <c r="E968" s="701" t="s">
        <v>8846</v>
      </c>
      <c r="F968" s="566">
        <v>2</v>
      </c>
      <c r="G968" s="662">
        <v>0</v>
      </c>
      <c r="H968" s="662">
        <v>0</v>
      </c>
      <c r="I968" s="662">
        <v>0</v>
      </c>
      <c r="J968" s="662">
        <v>32259.259284712763</v>
      </c>
      <c r="K968" s="566" t="s">
        <v>4759</v>
      </c>
      <c r="L968" s="549"/>
      <c r="M968" s="540"/>
      <c r="O968" s="575"/>
      <c r="S968" s="550"/>
      <c r="T968" s="547"/>
      <c r="U968" s="547"/>
      <c r="V968" s="547"/>
      <c r="W968" s="549"/>
    </row>
    <row r="969" spans="1:23">
      <c r="A969" s="565">
        <v>1663</v>
      </c>
      <c r="B969" s="696" t="s">
        <v>6374</v>
      </c>
      <c r="C969" s="566">
        <f t="shared" ref="C969:C1032" si="15">A969</f>
        <v>1663</v>
      </c>
      <c r="D969" s="700" t="s">
        <v>2224</v>
      </c>
      <c r="E969" s="701" t="s">
        <v>8847</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6375</v>
      </c>
      <c r="C970" s="566">
        <f t="shared" si="15"/>
        <v>1664</v>
      </c>
      <c r="D970" s="700" t="s">
        <v>2224</v>
      </c>
      <c r="E970" s="701" t="s">
        <v>8848</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6376</v>
      </c>
      <c r="C971" s="566">
        <f t="shared" si="15"/>
        <v>1665</v>
      </c>
      <c r="D971" s="700" t="s">
        <v>2224</v>
      </c>
      <c r="E971" s="701" t="s">
        <v>8849</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6377</v>
      </c>
      <c r="C972" s="566">
        <f t="shared" si="15"/>
        <v>1666</v>
      </c>
      <c r="D972" s="700" t="s">
        <v>2224</v>
      </c>
      <c r="E972" s="701" t="s">
        <v>8850</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6378</v>
      </c>
      <c r="C973" s="566">
        <f t="shared" si="15"/>
        <v>1667</v>
      </c>
      <c r="D973" s="700" t="s">
        <v>2224</v>
      </c>
      <c r="E973" s="701" t="s">
        <v>8851</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6379</v>
      </c>
      <c r="C974" s="566">
        <f t="shared" si="15"/>
        <v>1668</v>
      </c>
      <c r="D974" s="700" t="s">
        <v>2224</v>
      </c>
      <c r="E974" s="701" t="s">
        <v>8852</v>
      </c>
      <c r="F974" s="566">
        <v>1</v>
      </c>
      <c r="G974" s="662">
        <v>18923.145032720291</v>
      </c>
      <c r="H974" s="662">
        <v>0</v>
      </c>
      <c r="I974" s="662">
        <v>0</v>
      </c>
      <c r="J974" s="662">
        <v>0</v>
      </c>
      <c r="K974" s="566" t="s">
        <v>5270</v>
      </c>
      <c r="L974" s="549"/>
      <c r="M974" s="540"/>
      <c r="O974" s="575"/>
      <c r="S974" s="550"/>
      <c r="T974" s="547"/>
      <c r="U974" s="547"/>
      <c r="V974" s="547"/>
      <c r="W974" s="549"/>
    </row>
    <row r="975" spans="1:23">
      <c r="A975" s="565">
        <v>1669</v>
      </c>
      <c r="B975" s="696" t="s">
        <v>6380</v>
      </c>
      <c r="C975" s="566">
        <f t="shared" si="15"/>
        <v>1669</v>
      </c>
      <c r="D975" s="700" t="s">
        <v>2224</v>
      </c>
      <c r="E975" s="701" t="s">
        <v>8853</v>
      </c>
      <c r="F975" s="566">
        <v>1</v>
      </c>
      <c r="G975" s="662">
        <v>0</v>
      </c>
      <c r="H975" s="662">
        <v>0</v>
      </c>
      <c r="I975" s="662">
        <v>0</v>
      </c>
      <c r="J975" s="662">
        <v>31820.262066633044</v>
      </c>
      <c r="K975" s="566" t="s">
        <v>4760</v>
      </c>
      <c r="L975" s="549"/>
      <c r="M975" s="540"/>
      <c r="O975" s="575"/>
      <c r="S975" s="550"/>
      <c r="T975" s="547"/>
      <c r="U975" s="547"/>
      <c r="V975" s="547"/>
      <c r="W975" s="549"/>
    </row>
    <row r="976" spans="1:23">
      <c r="A976" s="565">
        <v>1670</v>
      </c>
      <c r="B976" s="696" t="s">
        <v>6381</v>
      </c>
      <c r="C976" s="566">
        <f t="shared" si="15"/>
        <v>1670</v>
      </c>
      <c r="D976" s="700" t="s">
        <v>2224</v>
      </c>
      <c r="E976" s="701" t="s">
        <v>8854</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6382</v>
      </c>
      <c r="C977" s="566">
        <f t="shared" si="15"/>
        <v>1671</v>
      </c>
      <c r="D977" s="700" t="s">
        <v>2224</v>
      </c>
      <c r="E977" s="701" t="s">
        <v>8855</v>
      </c>
      <c r="F977" s="566">
        <v>1</v>
      </c>
      <c r="G977" s="662">
        <v>0</v>
      </c>
      <c r="H977" s="662">
        <v>29754.562175130166</v>
      </c>
      <c r="I977" s="662">
        <v>0</v>
      </c>
      <c r="J977" s="662">
        <v>32157.452799489853</v>
      </c>
      <c r="K977" s="566" t="s">
        <v>4761</v>
      </c>
      <c r="L977" s="549"/>
      <c r="M977" s="540"/>
      <c r="O977" s="575"/>
      <c r="S977" s="550"/>
      <c r="T977" s="547"/>
      <c r="U977" s="547"/>
      <c r="V977" s="547"/>
      <c r="W977" s="549"/>
    </row>
    <row r="978" spans="1:23">
      <c r="A978" s="565">
        <v>1672</v>
      </c>
      <c r="B978" s="696" t="s">
        <v>6383</v>
      </c>
      <c r="C978" s="566">
        <f t="shared" si="15"/>
        <v>1672</v>
      </c>
      <c r="D978" s="700" t="s">
        <v>2224</v>
      </c>
      <c r="E978" s="701" t="s">
        <v>8856</v>
      </c>
      <c r="F978" s="566">
        <v>1</v>
      </c>
      <c r="G978" s="662">
        <v>0</v>
      </c>
      <c r="H978" s="662">
        <v>0</v>
      </c>
      <c r="I978" s="662">
        <v>0</v>
      </c>
      <c r="J978" s="662">
        <v>32232.495673227768</v>
      </c>
      <c r="K978" s="566" t="s">
        <v>4762</v>
      </c>
      <c r="L978" s="549"/>
      <c r="M978" s="540"/>
      <c r="O978" s="575"/>
      <c r="S978" s="550"/>
      <c r="T978" s="547"/>
      <c r="U978" s="547"/>
      <c r="V978" s="547"/>
      <c r="W978" s="549"/>
    </row>
    <row r="979" spans="1:23">
      <c r="A979" s="565">
        <v>1673</v>
      </c>
      <c r="B979" s="695" t="s">
        <v>6384</v>
      </c>
      <c r="C979" s="566">
        <f t="shared" si="15"/>
        <v>1673</v>
      </c>
      <c r="D979" s="699" t="s">
        <v>2224</v>
      </c>
      <c r="E979" s="701" t="s">
        <v>8857</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6385</v>
      </c>
      <c r="C980" s="566">
        <f t="shared" si="15"/>
        <v>1674</v>
      </c>
      <c r="D980" s="700" t="s">
        <v>2224</v>
      </c>
      <c r="E980" s="701" t="s">
        <v>8858</v>
      </c>
      <c r="F980" s="566">
        <v>1</v>
      </c>
      <c r="G980" s="662">
        <v>0</v>
      </c>
      <c r="H980" s="662">
        <v>0</v>
      </c>
      <c r="I980" s="662">
        <v>0</v>
      </c>
      <c r="J980" s="662">
        <v>48134.554120172965</v>
      </c>
      <c r="K980" s="566" t="s">
        <v>4763</v>
      </c>
      <c r="L980" s="549"/>
      <c r="M980" s="540"/>
      <c r="O980" s="575"/>
      <c r="S980" s="550"/>
      <c r="T980" s="547"/>
      <c r="U980" s="547"/>
      <c r="V980" s="547"/>
      <c r="W980" s="549"/>
    </row>
    <row r="981" spans="1:23">
      <c r="A981" s="565">
        <v>1675</v>
      </c>
      <c r="B981" s="696" t="s">
        <v>6386</v>
      </c>
      <c r="C981" s="566">
        <f t="shared" si="15"/>
        <v>1675</v>
      </c>
      <c r="D981" s="700" t="s">
        <v>2224</v>
      </c>
      <c r="E981" s="701" t="s">
        <v>8859</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6387</v>
      </c>
      <c r="C982" s="566">
        <f t="shared" si="15"/>
        <v>1676</v>
      </c>
      <c r="D982" s="700" t="s">
        <v>2224</v>
      </c>
      <c r="E982" s="701" t="s">
        <v>8860</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6388</v>
      </c>
      <c r="C983" s="566">
        <f t="shared" si="15"/>
        <v>1677</v>
      </c>
      <c r="D983" s="700" t="s">
        <v>2224</v>
      </c>
      <c r="E983" s="701" t="s">
        <v>8861</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6389</v>
      </c>
      <c r="C984" s="566">
        <f t="shared" si="15"/>
        <v>1678</v>
      </c>
      <c r="D984" s="700" t="s">
        <v>2224</v>
      </c>
      <c r="E984" s="701" t="s">
        <v>8862</v>
      </c>
      <c r="F984" s="566">
        <v>1</v>
      </c>
      <c r="G984" s="662">
        <v>0</v>
      </c>
      <c r="H984" s="662">
        <v>0</v>
      </c>
      <c r="I984" s="662">
        <v>0</v>
      </c>
      <c r="J984" s="662">
        <v>41297.473941182841</v>
      </c>
      <c r="K984" s="566" t="s">
        <v>4764</v>
      </c>
      <c r="L984" s="549"/>
      <c r="M984" s="540"/>
      <c r="O984" s="575"/>
      <c r="S984" s="550"/>
      <c r="T984" s="547"/>
      <c r="U984" s="547"/>
      <c r="V984" s="547"/>
      <c r="W984" s="549"/>
    </row>
    <row r="985" spans="1:23">
      <c r="A985" s="565">
        <v>1679</v>
      </c>
      <c r="B985" s="696" t="s">
        <v>6390</v>
      </c>
      <c r="C985" s="566">
        <f t="shared" si="15"/>
        <v>1679</v>
      </c>
      <c r="D985" s="700" t="s">
        <v>2224</v>
      </c>
      <c r="E985" s="701" t="s">
        <v>8863</v>
      </c>
      <c r="F985" s="566">
        <v>1</v>
      </c>
      <c r="G985" s="662">
        <v>0</v>
      </c>
      <c r="H985" s="662">
        <v>0</v>
      </c>
      <c r="I985" s="662">
        <v>0</v>
      </c>
      <c r="J985" s="662">
        <v>41297.473941182841</v>
      </c>
      <c r="K985" s="566" t="s">
        <v>4765</v>
      </c>
      <c r="L985" s="549"/>
      <c r="M985" s="540"/>
      <c r="O985" s="575"/>
      <c r="S985" s="550"/>
      <c r="T985" s="547"/>
      <c r="U985" s="547"/>
      <c r="V985" s="547"/>
      <c r="W985" s="549"/>
    </row>
    <row r="986" spans="1:23">
      <c r="A986" s="565">
        <v>1680</v>
      </c>
      <c r="B986" s="696" t="s">
        <v>6391</v>
      </c>
      <c r="C986" s="566">
        <f t="shared" si="15"/>
        <v>1680</v>
      </c>
      <c r="D986" s="700" t="s">
        <v>2224</v>
      </c>
      <c r="E986" s="701" t="s">
        <v>8864</v>
      </c>
      <c r="F986" s="566">
        <v>1</v>
      </c>
      <c r="G986" s="662">
        <v>36404.621179303227</v>
      </c>
      <c r="H986" s="662">
        <v>0</v>
      </c>
      <c r="I986" s="662">
        <v>0</v>
      </c>
      <c r="J986" s="662">
        <v>0</v>
      </c>
      <c r="K986" s="566" t="s">
        <v>5271</v>
      </c>
      <c r="L986" s="549"/>
      <c r="M986" s="540"/>
      <c r="O986" s="575"/>
      <c r="S986" s="550"/>
      <c r="T986" s="547"/>
      <c r="U986" s="547"/>
      <c r="V986" s="547"/>
      <c r="W986" s="549"/>
    </row>
    <row r="987" spans="1:23">
      <c r="A987" s="565">
        <v>1681</v>
      </c>
      <c r="B987" s="696" t="s">
        <v>6392</v>
      </c>
      <c r="C987" s="566">
        <f t="shared" si="15"/>
        <v>1681</v>
      </c>
      <c r="D987" s="700" t="s">
        <v>2224</v>
      </c>
      <c r="E987" s="701" t="s">
        <v>8865</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6393</v>
      </c>
      <c r="C988" s="566">
        <f t="shared" si="15"/>
        <v>1682</v>
      </c>
      <c r="D988" s="700" t="s">
        <v>2224</v>
      </c>
      <c r="E988" s="701" t="s">
        <v>8866</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6394</v>
      </c>
      <c r="C989" s="566">
        <f t="shared" si="15"/>
        <v>1683</v>
      </c>
      <c r="D989" s="700" t="s">
        <v>2224</v>
      </c>
      <c r="E989" s="701" t="s">
        <v>8867</v>
      </c>
      <c r="F989" s="566">
        <v>1</v>
      </c>
      <c r="G989" s="662">
        <v>0</v>
      </c>
      <c r="H989" s="662">
        <v>0</v>
      </c>
      <c r="I989" s="662">
        <v>0</v>
      </c>
      <c r="J989" s="662">
        <v>42897.336354524698</v>
      </c>
      <c r="K989" s="566" t="s">
        <v>4766</v>
      </c>
      <c r="L989" s="549"/>
      <c r="M989" s="540"/>
      <c r="O989" s="575"/>
      <c r="S989" s="550"/>
      <c r="T989" s="547"/>
      <c r="U989" s="547"/>
      <c r="V989" s="547"/>
      <c r="W989" s="549"/>
    </row>
    <row r="990" spans="1:23">
      <c r="A990" s="565">
        <v>1684</v>
      </c>
      <c r="B990" s="696" t="s">
        <v>6395</v>
      </c>
      <c r="C990" s="566">
        <f t="shared" si="15"/>
        <v>1684</v>
      </c>
      <c r="D990" s="700" t="s">
        <v>2224</v>
      </c>
      <c r="E990" s="701" t="s">
        <v>8868</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6396</v>
      </c>
      <c r="C991" s="566">
        <f t="shared" si="15"/>
        <v>1685</v>
      </c>
      <c r="D991" s="700" t="s">
        <v>2224</v>
      </c>
      <c r="E991" s="701" t="s">
        <v>8869</v>
      </c>
      <c r="F991" s="566">
        <v>1</v>
      </c>
      <c r="G991" s="662">
        <v>0</v>
      </c>
      <c r="H991" s="662">
        <v>0</v>
      </c>
      <c r="I991" s="662">
        <v>63831.858875294085</v>
      </c>
      <c r="J991" s="662">
        <v>66502.605825437291</v>
      </c>
      <c r="K991" s="566" t="s">
        <v>4022</v>
      </c>
      <c r="L991" s="549"/>
      <c r="M991" s="540"/>
      <c r="O991" s="575"/>
      <c r="S991" s="550"/>
      <c r="T991" s="547"/>
      <c r="U991" s="547"/>
      <c r="V991" s="547"/>
      <c r="W991" s="549"/>
    </row>
    <row r="992" spans="1:23">
      <c r="A992" s="565">
        <v>1686</v>
      </c>
      <c r="B992" s="696" t="s">
        <v>6397</v>
      </c>
      <c r="C992" s="566">
        <f t="shared" si="15"/>
        <v>1686</v>
      </c>
      <c r="D992" s="700" t="s">
        <v>2224</v>
      </c>
      <c r="E992" s="701" t="s">
        <v>8870</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6398</v>
      </c>
      <c r="C993" s="566">
        <f t="shared" si="15"/>
        <v>1687</v>
      </c>
      <c r="D993" s="700" t="s">
        <v>2224</v>
      </c>
      <c r="E993" s="701" t="s">
        <v>8871</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6399</v>
      </c>
      <c r="C994" s="566">
        <f t="shared" si="15"/>
        <v>1688</v>
      </c>
      <c r="D994" s="700" t="s">
        <v>2224</v>
      </c>
      <c r="E994" s="701" t="s">
        <v>8872</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6400</v>
      </c>
      <c r="C995" s="566">
        <f t="shared" si="15"/>
        <v>1689</v>
      </c>
      <c r="D995" s="700" t="s">
        <v>2224</v>
      </c>
      <c r="E995" s="701" t="s">
        <v>8873</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6401</v>
      </c>
      <c r="C996" s="566">
        <f t="shared" si="15"/>
        <v>1690</v>
      </c>
      <c r="D996" s="700" t="s">
        <v>2224</v>
      </c>
      <c r="E996" s="701" t="s">
        <v>8874</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6402</v>
      </c>
      <c r="C997" s="566">
        <f t="shared" si="15"/>
        <v>1691</v>
      </c>
      <c r="D997" s="700" t="s">
        <v>2224</v>
      </c>
      <c r="E997" s="701" t="s">
        <v>8875</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6403</v>
      </c>
      <c r="C998" s="566">
        <f t="shared" si="15"/>
        <v>1692</v>
      </c>
      <c r="D998" s="700" t="s">
        <v>2224</v>
      </c>
      <c r="E998" s="701" t="s">
        <v>8876</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6404</v>
      </c>
      <c r="C999" s="566">
        <f t="shared" si="15"/>
        <v>1693</v>
      </c>
      <c r="D999" s="700" t="s">
        <v>2224</v>
      </c>
      <c r="E999" s="701" t="s">
        <v>8877</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6405</v>
      </c>
      <c r="C1000" s="566">
        <f t="shared" si="15"/>
        <v>1694</v>
      </c>
      <c r="D1000" s="700" t="s">
        <v>2224</v>
      </c>
      <c r="E1000" s="701" t="s">
        <v>8878</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6406</v>
      </c>
      <c r="C1001" s="566">
        <f t="shared" si="15"/>
        <v>1695</v>
      </c>
      <c r="D1001" s="700" t="s">
        <v>2224</v>
      </c>
      <c r="E1001" s="701" t="s">
        <v>8879</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6407</v>
      </c>
      <c r="C1002" s="566">
        <f t="shared" si="15"/>
        <v>1696</v>
      </c>
      <c r="D1002" s="700" t="s">
        <v>2224</v>
      </c>
      <c r="E1002" s="701" t="s">
        <v>8880</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6408</v>
      </c>
      <c r="C1003" s="566">
        <f t="shared" si="15"/>
        <v>1697</v>
      </c>
      <c r="D1003" s="700" t="s">
        <v>2224</v>
      </c>
      <c r="E1003" s="701" t="s">
        <v>8881</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6409</v>
      </c>
      <c r="C1004" s="566">
        <f t="shared" si="15"/>
        <v>1698</v>
      </c>
      <c r="D1004" s="700" t="s">
        <v>2224</v>
      </c>
      <c r="E1004" s="701" t="s">
        <v>8882</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6410</v>
      </c>
      <c r="C1005" s="566">
        <f t="shared" si="15"/>
        <v>1699</v>
      </c>
      <c r="D1005" s="700" t="s">
        <v>2224</v>
      </c>
      <c r="E1005" s="701" t="s">
        <v>8883</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6411</v>
      </c>
      <c r="C1006" s="566">
        <f t="shared" si="15"/>
        <v>1700</v>
      </c>
      <c r="D1006" s="699" t="s">
        <v>2224</v>
      </c>
      <c r="E1006" s="701" t="s">
        <v>8884</v>
      </c>
      <c r="F1006" s="567">
        <v>1</v>
      </c>
      <c r="G1006" s="662">
        <v>17812.430469818089</v>
      </c>
      <c r="H1006" s="662">
        <v>0</v>
      </c>
      <c r="I1006" s="662">
        <v>0</v>
      </c>
      <c r="J1006" s="662">
        <v>0</v>
      </c>
      <c r="K1006" s="568" t="s">
        <v>5272</v>
      </c>
      <c r="L1006" s="549"/>
      <c r="M1006" s="540"/>
      <c r="O1006" s="575"/>
      <c r="S1006" s="550"/>
      <c r="T1006" s="547"/>
      <c r="U1006" s="547"/>
      <c r="V1006" s="547"/>
      <c r="W1006" s="549"/>
    </row>
    <row r="1007" spans="1:23">
      <c r="A1007" s="565">
        <v>1701</v>
      </c>
      <c r="B1007" s="695" t="s">
        <v>6412</v>
      </c>
      <c r="C1007" s="566">
        <f t="shared" si="15"/>
        <v>1701</v>
      </c>
      <c r="D1007" s="699" t="s">
        <v>2224</v>
      </c>
      <c r="E1007" s="701" t="s">
        <v>8885</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6413</v>
      </c>
      <c r="C1008" s="566">
        <f t="shared" si="15"/>
        <v>1702</v>
      </c>
      <c r="D1008" s="699" t="s">
        <v>2224</v>
      </c>
      <c r="E1008" s="701" t="s">
        <v>8886</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6414</v>
      </c>
      <c r="C1009" s="566">
        <f t="shared" si="15"/>
        <v>1703</v>
      </c>
      <c r="D1009" s="700" t="s">
        <v>2224</v>
      </c>
      <c r="E1009" s="701" t="s">
        <v>8887</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6415</v>
      </c>
      <c r="C1010" s="566">
        <f t="shared" si="15"/>
        <v>1704</v>
      </c>
      <c r="D1010" s="700" t="s">
        <v>2224</v>
      </c>
      <c r="E1010" s="701" t="s">
        <v>8888</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6416</v>
      </c>
      <c r="C1011" s="566">
        <f t="shared" si="15"/>
        <v>1705</v>
      </c>
      <c r="D1011" s="700" t="s">
        <v>2224</v>
      </c>
      <c r="E1011" s="701" t="s">
        <v>8889</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6417</v>
      </c>
      <c r="C1012" s="566">
        <f t="shared" si="15"/>
        <v>1706</v>
      </c>
      <c r="D1012" s="700" t="s">
        <v>2224</v>
      </c>
      <c r="E1012" s="701" t="s">
        <v>8890</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6418</v>
      </c>
      <c r="C1013" s="566">
        <f t="shared" si="15"/>
        <v>1707</v>
      </c>
      <c r="D1013" s="700" t="s">
        <v>2224</v>
      </c>
      <c r="E1013" s="701" t="s">
        <v>8891</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6419</v>
      </c>
      <c r="C1014" s="566">
        <f t="shared" si="15"/>
        <v>1708</v>
      </c>
      <c r="D1014" s="700" t="s">
        <v>2224</v>
      </c>
      <c r="E1014" s="701" t="s">
        <v>8892</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6420</v>
      </c>
      <c r="C1015" s="566">
        <f t="shared" si="15"/>
        <v>1709</v>
      </c>
      <c r="D1015" s="700" t="s">
        <v>2225</v>
      </c>
      <c r="E1015" s="701" t="s">
        <v>8893</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6421</v>
      </c>
      <c r="C1016" s="566">
        <f t="shared" si="15"/>
        <v>1710</v>
      </c>
      <c r="D1016" s="700" t="s">
        <v>2225</v>
      </c>
      <c r="E1016" s="701" t="s">
        <v>8894</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6422</v>
      </c>
      <c r="C1017" s="566">
        <f t="shared" si="15"/>
        <v>1711</v>
      </c>
      <c r="D1017" s="700" t="s">
        <v>2225</v>
      </c>
      <c r="E1017" s="701" t="s">
        <v>8895</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6423</v>
      </c>
      <c r="C1018" s="566">
        <f t="shared" si="15"/>
        <v>1712</v>
      </c>
      <c r="D1018" s="700" t="s">
        <v>2225</v>
      </c>
      <c r="E1018" s="701" t="s">
        <v>8896</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6424</v>
      </c>
      <c r="C1019" s="566">
        <f t="shared" si="15"/>
        <v>1713</v>
      </c>
      <c r="D1019" s="700" t="s">
        <v>2225</v>
      </c>
      <c r="E1019" s="701" t="s">
        <v>8897</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6425</v>
      </c>
      <c r="C1020" s="566">
        <f t="shared" si="15"/>
        <v>1714</v>
      </c>
      <c r="D1020" s="700" t="s">
        <v>2225</v>
      </c>
      <c r="E1020" s="701" t="s">
        <v>8898</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6426</v>
      </c>
      <c r="C1021" s="566">
        <f t="shared" si="15"/>
        <v>1715</v>
      </c>
      <c r="D1021" s="700" t="s">
        <v>2225</v>
      </c>
      <c r="E1021" s="701" t="s">
        <v>8899</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6427</v>
      </c>
      <c r="C1022" s="566">
        <f t="shared" si="15"/>
        <v>1716</v>
      </c>
      <c r="D1022" s="700" t="s">
        <v>2225</v>
      </c>
      <c r="E1022" s="701" t="s">
        <v>8900</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6428</v>
      </c>
      <c r="C1023" s="566">
        <f t="shared" si="15"/>
        <v>1717</v>
      </c>
      <c r="D1023" s="700" t="s">
        <v>2225</v>
      </c>
      <c r="E1023" s="701" t="s">
        <v>8901</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6429</v>
      </c>
      <c r="C1024" s="566">
        <f t="shared" si="15"/>
        <v>1718</v>
      </c>
      <c r="D1024" s="700" t="s">
        <v>2225</v>
      </c>
      <c r="E1024" s="701" t="s">
        <v>8902</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6430</v>
      </c>
      <c r="C1025" s="566">
        <f t="shared" si="15"/>
        <v>1719</v>
      </c>
      <c r="D1025" s="700" t="s">
        <v>2225</v>
      </c>
      <c r="E1025" s="701" t="s">
        <v>8903</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6431</v>
      </c>
      <c r="C1026" s="566">
        <f t="shared" si="15"/>
        <v>1720</v>
      </c>
      <c r="D1026" s="700" t="s">
        <v>2225</v>
      </c>
      <c r="E1026" s="701" t="s">
        <v>8904</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6432</v>
      </c>
      <c r="C1027" s="566">
        <f t="shared" si="15"/>
        <v>1721</v>
      </c>
      <c r="D1027" s="699" t="s">
        <v>2225</v>
      </c>
      <c r="E1027" s="701" t="s">
        <v>8905</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6433</v>
      </c>
      <c r="C1028" s="566">
        <f t="shared" si="15"/>
        <v>1722</v>
      </c>
      <c r="D1028" s="699" t="s">
        <v>2225</v>
      </c>
      <c r="E1028" s="701" t="s">
        <v>8906</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6434</v>
      </c>
      <c r="C1029" s="566">
        <f t="shared" si="15"/>
        <v>1723</v>
      </c>
      <c r="D1029" s="699" t="s">
        <v>2225</v>
      </c>
      <c r="E1029" s="701" t="s">
        <v>8907</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6435</v>
      </c>
      <c r="C1030" s="566">
        <f t="shared" si="15"/>
        <v>1724</v>
      </c>
      <c r="D1030" s="700" t="s">
        <v>2225</v>
      </c>
      <c r="E1030" s="701" t="s">
        <v>8908</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6436</v>
      </c>
      <c r="C1031" s="566">
        <f t="shared" si="15"/>
        <v>1725</v>
      </c>
      <c r="D1031" s="700" t="s">
        <v>2226</v>
      </c>
      <c r="E1031" s="701" t="s">
        <v>8909</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6437</v>
      </c>
      <c r="C1032" s="566">
        <f t="shared" si="15"/>
        <v>1726</v>
      </c>
      <c r="D1032" s="700" t="s">
        <v>2226</v>
      </c>
      <c r="E1032" s="701" t="s">
        <v>8910</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6438</v>
      </c>
      <c r="C1033" s="566">
        <f t="shared" ref="C1033:C1096" si="16">A1033</f>
        <v>1727</v>
      </c>
      <c r="D1033" s="700" t="s">
        <v>2226</v>
      </c>
      <c r="E1033" s="701" t="s">
        <v>8911</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6439</v>
      </c>
      <c r="C1034" s="566">
        <f t="shared" si="16"/>
        <v>1728</v>
      </c>
      <c r="D1034" s="700" t="s">
        <v>2226</v>
      </c>
      <c r="E1034" s="701" t="s">
        <v>8912</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6440</v>
      </c>
      <c r="C1035" s="566">
        <f t="shared" si="16"/>
        <v>1729</v>
      </c>
      <c r="D1035" s="700" t="s">
        <v>2226</v>
      </c>
      <c r="E1035" s="701" t="s">
        <v>8913</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6441</v>
      </c>
      <c r="C1036" s="566">
        <f t="shared" si="16"/>
        <v>1730</v>
      </c>
      <c r="D1036" s="700" t="s">
        <v>2226</v>
      </c>
      <c r="E1036" s="701" t="s">
        <v>8914</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6442</v>
      </c>
      <c r="C1037" s="566">
        <f t="shared" si="16"/>
        <v>1731</v>
      </c>
      <c r="D1037" s="700" t="s">
        <v>2226</v>
      </c>
      <c r="E1037" s="701" t="s">
        <v>8915</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6443</v>
      </c>
      <c r="C1038" s="566">
        <f t="shared" si="16"/>
        <v>1732</v>
      </c>
      <c r="D1038" s="699" t="s">
        <v>2226</v>
      </c>
      <c r="E1038" s="701" t="s">
        <v>8916</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6444</v>
      </c>
      <c r="C1039" s="566">
        <f t="shared" si="16"/>
        <v>1733</v>
      </c>
      <c r="D1039" s="699" t="s">
        <v>2226</v>
      </c>
      <c r="E1039" s="701" t="s">
        <v>8917</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6445</v>
      </c>
      <c r="C1040" s="566">
        <f t="shared" si="16"/>
        <v>1734</v>
      </c>
      <c r="D1040" s="700" t="s">
        <v>2226</v>
      </c>
      <c r="E1040" s="701" t="s">
        <v>8918</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6446</v>
      </c>
      <c r="C1041" s="566">
        <f t="shared" si="16"/>
        <v>1735</v>
      </c>
      <c r="D1041" s="700" t="s">
        <v>2226</v>
      </c>
      <c r="E1041" s="701" t="s">
        <v>8919</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6447</v>
      </c>
      <c r="C1042" s="566">
        <f t="shared" si="16"/>
        <v>1736</v>
      </c>
      <c r="D1042" s="700" t="s">
        <v>2226</v>
      </c>
      <c r="E1042" s="701" t="s">
        <v>8920</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6448</v>
      </c>
      <c r="C1043" s="566">
        <f t="shared" si="16"/>
        <v>1737</v>
      </c>
      <c r="D1043" s="700" t="s">
        <v>2226</v>
      </c>
      <c r="E1043" s="701" t="s">
        <v>8921</v>
      </c>
      <c r="F1043" s="566">
        <v>1</v>
      </c>
      <c r="G1043" s="662">
        <v>0</v>
      </c>
      <c r="H1043" s="662">
        <v>0</v>
      </c>
      <c r="I1043" s="662">
        <v>10290.725857557381</v>
      </c>
      <c r="J1043" s="662">
        <v>10506.127107482516</v>
      </c>
      <c r="K1043" s="566" t="s">
        <v>4023</v>
      </c>
      <c r="L1043" s="549"/>
      <c r="M1043" s="540"/>
      <c r="O1043" s="559"/>
      <c r="S1043" s="550"/>
      <c r="T1043" s="547"/>
      <c r="U1043" s="547"/>
      <c r="V1043" s="547"/>
      <c r="W1043" s="549"/>
    </row>
    <row r="1044" spans="1:23">
      <c r="A1044" s="565">
        <v>1738</v>
      </c>
      <c r="B1044" s="695" t="s">
        <v>6449</v>
      </c>
      <c r="C1044" s="566">
        <f t="shared" si="16"/>
        <v>1738</v>
      </c>
      <c r="D1044" s="699" t="s">
        <v>2226</v>
      </c>
      <c r="E1044" s="701" t="s">
        <v>8922</v>
      </c>
      <c r="F1044" s="567">
        <v>1</v>
      </c>
      <c r="G1044" s="662">
        <v>0</v>
      </c>
      <c r="H1044" s="662">
        <v>0</v>
      </c>
      <c r="I1044" s="662">
        <v>11838.574605175207</v>
      </c>
      <c r="J1044" s="662">
        <v>12082.359340770841</v>
      </c>
      <c r="K1044" s="568" t="s">
        <v>4024</v>
      </c>
      <c r="L1044" s="549"/>
      <c r="M1044" s="540"/>
      <c r="O1044" s="559"/>
      <c r="S1044" s="550"/>
      <c r="T1044" s="547"/>
      <c r="U1044" s="547"/>
      <c r="V1044" s="547"/>
      <c r="W1044" s="549"/>
    </row>
    <row r="1045" spans="1:23">
      <c r="A1045" s="565">
        <v>1739</v>
      </c>
      <c r="B1045" s="695" t="s">
        <v>6450</v>
      </c>
      <c r="C1045" s="566">
        <f t="shared" si="16"/>
        <v>1739</v>
      </c>
      <c r="D1045" s="699" t="s">
        <v>2226</v>
      </c>
      <c r="E1045" s="701" t="s">
        <v>8923</v>
      </c>
      <c r="F1045" s="567">
        <v>1</v>
      </c>
      <c r="G1045" s="662">
        <v>0</v>
      </c>
      <c r="H1045" s="662">
        <v>0</v>
      </c>
      <c r="I1045" s="662">
        <v>11184.6418517191</v>
      </c>
      <c r="J1045" s="662">
        <v>11417.769994834396</v>
      </c>
      <c r="K1045" s="568" t="s">
        <v>4025</v>
      </c>
      <c r="L1045" s="549"/>
      <c r="M1045" s="540"/>
      <c r="O1045" s="559"/>
      <c r="S1045" s="550"/>
      <c r="T1045" s="547"/>
      <c r="U1045" s="547"/>
      <c r="V1045" s="547"/>
      <c r="W1045" s="549"/>
    </row>
    <row r="1046" spans="1:23">
      <c r="A1046" s="565">
        <v>1740</v>
      </c>
      <c r="B1046" s="696" t="s">
        <v>6451</v>
      </c>
      <c r="C1046" s="566">
        <f t="shared" si="16"/>
        <v>1740</v>
      </c>
      <c r="D1046" s="700" t="s">
        <v>2226</v>
      </c>
      <c r="E1046" s="701" t="s">
        <v>8924</v>
      </c>
      <c r="F1046" s="566">
        <v>1</v>
      </c>
      <c r="G1046" s="662">
        <v>0</v>
      </c>
      <c r="H1046" s="662">
        <v>0</v>
      </c>
      <c r="I1046" s="662">
        <v>10082.808348032961</v>
      </c>
      <c r="J1046" s="662">
        <v>10287.054376675431</v>
      </c>
      <c r="K1046" s="566" t="s">
        <v>4028</v>
      </c>
      <c r="L1046" s="549"/>
      <c r="M1046" s="540"/>
      <c r="O1046" s="559"/>
      <c r="S1046" s="550"/>
      <c r="T1046" s="547"/>
      <c r="U1046" s="547"/>
      <c r="V1046" s="547"/>
      <c r="W1046" s="549"/>
    </row>
    <row r="1047" spans="1:23">
      <c r="A1047" s="565">
        <v>1741</v>
      </c>
      <c r="B1047" s="696" t="s">
        <v>6452</v>
      </c>
      <c r="C1047" s="566">
        <f t="shared" si="16"/>
        <v>1741</v>
      </c>
      <c r="D1047" s="700" t="s">
        <v>2226</v>
      </c>
      <c r="E1047" s="701" t="s">
        <v>8925</v>
      </c>
      <c r="F1047" s="566">
        <v>1</v>
      </c>
      <c r="G1047" s="662">
        <v>0</v>
      </c>
      <c r="H1047" s="662">
        <v>0</v>
      </c>
      <c r="I1047" s="662">
        <v>10718.503750348475</v>
      </c>
      <c r="J1047" s="662">
        <v>10939.40270245303</v>
      </c>
      <c r="K1047" s="566" t="s">
        <v>4027</v>
      </c>
      <c r="L1047" s="549"/>
      <c r="M1047" s="540"/>
      <c r="O1047" s="559"/>
      <c r="S1047" s="550"/>
      <c r="T1047" s="547"/>
      <c r="U1047" s="547"/>
      <c r="V1047" s="547"/>
      <c r="W1047" s="549"/>
    </row>
    <row r="1048" spans="1:23">
      <c r="A1048" s="565">
        <v>1742</v>
      </c>
      <c r="B1048" s="696" t="s">
        <v>6453</v>
      </c>
      <c r="C1048" s="566">
        <f t="shared" si="16"/>
        <v>1742</v>
      </c>
      <c r="D1048" s="700" t="s">
        <v>2226</v>
      </c>
      <c r="E1048" s="701" t="s">
        <v>8926</v>
      </c>
      <c r="F1048" s="566">
        <v>1</v>
      </c>
      <c r="G1048" s="662">
        <v>0</v>
      </c>
      <c r="H1048" s="662">
        <v>0</v>
      </c>
      <c r="I1048" s="662">
        <v>11816.52308162072</v>
      </c>
      <c r="J1048" s="662">
        <v>12066.189080012951</v>
      </c>
      <c r="K1048" s="566" t="s">
        <v>4026</v>
      </c>
      <c r="L1048" s="549"/>
      <c r="M1048" s="540"/>
      <c r="O1048" s="559"/>
      <c r="S1048" s="550"/>
      <c r="T1048" s="547"/>
      <c r="U1048" s="547"/>
      <c r="V1048" s="547"/>
      <c r="W1048" s="549"/>
    </row>
    <row r="1049" spans="1:23">
      <c r="A1049" s="565">
        <v>1743</v>
      </c>
      <c r="B1049" s="695" t="s">
        <v>6454</v>
      </c>
      <c r="C1049" s="566">
        <f t="shared" si="16"/>
        <v>1743</v>
      </c>
      <c r="D1049" s="699" t="s">
        <v>2226</v>
      </c>
      <c r="E1049" s="701" t="s">
        <v>8927</v>
      </c>
      <c r="F1049" s="567">
        <v>1</v>
      </c>
      <c r="G1049" s="662">
        <v>0</v>
      </c>
      <c r="H1049" s="662">
        <v>0</v>
      </c>
      <c r="I1049" s="662">
        <v>11868.534523628352</v>
      </c>
      <c r="J1049" s="662">
        <v>12119.574947565436</v>
      </c>
      <c r="K1049" s="568" t="s">
        <v>4029</v>
      </c>
      <c r="L1049" s="549"/>
      <c r="M1049" s="540"/>
      <c r="O1049" s="559"/>
      <c r="S1049" s="550"/>
      <c r="T1049" s="547"/>
      <c r="U1049" s="547"/>
      <c r="V1049" s="547"/>
      <c r="W1049" s="549"/>
    </row>
    <row r="1050" spans="1:23">
      <c r="A1050" s="565">
        <v>1744</v>
      </c>
      <c r="B1050" s="696" t="s">
        <v>6455</v>
      </c>
      <c r="C1050" s="566">
        <f t="shared" si="16"/>
        <v>1744</v>
      </c>
      <c r="D1050" s="700" t="s">
        <v>2226</v>
      </c>
      <c r="E1050" s="701" t="s">
        <v>8928</v>
      </c>
      <c r="F1050" s="566">
        <v>1</v>
      </c>
      <c r="G1050" s="662">
        <v>0</v>
      </c>
      <c r="H1050" s="662">
        <v>0</v>
      </c>
      <c r="I1050" s="662">
        <v>12625.589957295013</v>
      </c>
      <c r="J1050" s="662">
        <v>12896.447679785822</v>
      </c>
      <c r="K1050" s="566" t="s">
        <v>4030</v>
      </c>
      <c r="L1050" s="549"/>
      <c r="M1050" s="540"/>
      <c r="O1050" s="559"/>
      <c r="S1050" s="550"/>
      <c r="T1050" s="547"/>
      <c r="U1050" s="547"/>
      <c r="V1050" s="547"/>
      <c r="W1050" s="549"/>
    </row>
    <row r="1051" spans="1:23">
      <c r="A1051" s="565">
        <v>1745</v>
      </c>
      <c r="B1051" s="696" t="s">
        <v>6456</v>
      </c>
      <c r="C1051" s="566">
        <f t="shared" si="16"/>
        <v>1745</v>
      </c>
      <c r="D1051" s="700" t="s">
        <v>2226</v>
      </c>
      <c r="E1051" s="701" t="s">
        <v>8929</v>
      </c>
      <c r="F1051" s="566">
        <v>1</v>
      </c>
      <c r="G1051" s="662">
        <v>0</v>
      </c>
      <c r="H1051" s="662">
        <v>0</v>
      </c>
      <c r="I1051" s="662">
        <v>11643.151608261947</v>
      </c>
      <c r="J1051" s="662">
        <v>11888.278806017677</v>
      </c>
      <c r="K1051" s="566" t="s">
        <v>4031</v>
      </c>
      <c r="L1051" s="549"/>
      <c r="M1051" s="540"/>
      <c r="O1051" s="559"/>
      <c r="S1051" s="550"/>
      <c r="T1051" s="547"/>
      <c r="U1051" s="547"/>
      <c r="V1051" s="547"/>
      <c r="W1051" s="549"/>
    </row>
    <row r="1052" spans="1:23">
      <c r="A1052" s="565">
        <v>1746</v>
      </c>
      <c r="B1052" s="696" t="s">
        <v>6457</v>
      </c>
      <c r="C1052" s="566">
        <f t="shared" si="16"/>
        <v>1746</v>
      </c>
      <c r="D1052" s="700" t="s">
        <v>2226</v>
      </c>
      <c r="E1052" s="701" t="s">
        <v>8930</v>
      </c>
      <c r="F1052" s="566">
        <v>1</v>
      </c>
      <c r="G1052" s="662">
        <v>0</v>
      </c>
      <c r="H1052" s="662">
        <v>0</v>
      </c>
      <c r="I1052" s="662">
        <v>13902.759811037991</v>
      </c>
      <c r="J1052" s="662">
        <v>14207.0831973768</v>
      </c>
      <c r="K1052" s="566" t="s">
        <v>4032</v>
      </c>
      <c r="L1052" s="549"/>
      <c r="M1052" s="540"/>
      <c r="O1052" s="559"/>
      <c r="S1052" s="550"/>
      <c r="T1052" s="547"/>
      <c r="U1052" s="547"/>
      <c r="V1052" s="547"/>
      <c r="W1052" s="549"/>
    </row>
    <row r="1053" spans="1:23">
      <c r="A1053" s="565">
        <v>1747</v>
      </c>
      <c r="B1053" s="696" t="s">
        <v>6458</v>
      </c>
      <c r="C1053" s="566">
        <f t="shared" si="16"/>
        <v>1747</v>
      </c>
      <c r="D1053" s="700" t="s">
        <v>2226</v>
      </c>
      <c r="E1053" s="701" t="s">
        <v>8931</v>
      </c>
      <c r="F1053" s="566">
        <v>1</v>
      </c>
      <c r="G1053" s="662">
        <v>0</v>
      </c>
      <c r="H1053" s="662">
        <v>0</v>
      </c>
      <c r="I1053" s="662">
        <v>13093.692935363702</v>
      </c>
      <c r="J1053" s="662">
        <v>13376.824597603923</v>
      </c>
      <c r="K1053" s="566" t="s">
        <v>4033</v>
      </c>
      <c r="L1053" s="549"/>
      <c r="M1053" s="540"/>
      <c r="O1053" s="559"/>
      <c r="S1053" s="550"/>
      <c r="T1053" s="547"/>
      <c r="U1053" s="547"/>
      <c r="V1053" s="547"/>
      <c r="W1053" s="549"/>
    </row>
    <row r="1054" spans="1:23">
      <c r="A1054" s="565">
        <v>1748</v>
      </c>
      <c r="B1054" s="696" t="s">
        <v>6459</v>
      </c>
      <c r="C1054" s="566">
        <f t="shared" si="16"/>
        <v>1748</v>
      </c>
      <c r="D1054" s="700" t="s">
        <v>2226</v>
      </c>
      <c r="E1054" s="701" t="s">
        <v>8932</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6460</v>
      </c>
      <c r="C1055" s="566">
        <f t="shared" si="16"/>
        <v>1749</v>
      </c>
      <c r="D1055" s="699" t="s">
        <v>2226</v>
      </c>
      <c r="E1055" s="701" t="s">
        <v>8933</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6461</v>
      </c>
      <c r="C1056" s="566">
        <f t="shared" si="16"/>
        <v>1750</v>
      </c>
      <c r="D1056" s="700" t="s">
        <v>2226</v>
      </c>
      <c r="E1056" s="701" t="s">
        <v>8934</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6462</v>
      </c>
      <c r="C1057" s="566">
        <f t="shared" si="16"/>
        <v>1751</v>
      </c>
      <c r="D1057" s="700" t="s">
        <v>2226</v>
      </c>
      <c r="E1057" s="701" t="s">
        <v>8935</v>
      </c>
      <c r="F1057" s="566">
        <v>1</v>
      </c>
      <c r="G1057" s="662">
        <v>0</v>
      </c>
      <c r="H1057" s="662">
        <v>0</v>
      </c>
      <c r="I1057" s="662">
        <v>0</v>
      </c>
      <c r="J1057" s="662">
        <v>26375.121244575297</v>
      </c>
      <c r="K1057" s="566" t="s">
        <v>4767</v>
      </c>
      <c r="L1057" s="549"/>
      <c r="M1057" s="540"/>
      <c r="O1057" s="559"/>
      <c r="S1057" s="550"/>
      <c r="T1057" s="547"/>
      <c r="U1057" s="547"/>
      <c r="V1057" s="547"/>
      <c r="W1057" s="549"/>
    </row>
    <row r="1058" spans="1:23">
      <c r="A1058" s="565">
        <v>1752</v>
      </c>
      <c r="B1058" s="695" t="s">
        <v>6463</v>
      </c>
      <c r="C1058" s="566">
        <f t="shared" si="16"/>
        <v>1752</v>
      </c>
      <c r="D1058" s="699" t="s">
        <v>2226</v>
      </c>
      <c r="E1058" s="701" t="s">
        <v>8936</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6464</v>
      </c>
      <c r="C1059" s="566">
        <f t="shared" si="16"/>
        <v>1753</v>
      </c>
      <c r="D1059" s="699" t="s">
        <v>2226</v>
      </c>
      <c r="E1059" s="701" t="s">
        <v>8937</v>
      </c>
      <c r="F1059" s="567">
        <v>1</v>
      </c>
      <c r="G1059" s="662">
        <v>0</v>
      </c>
      <c r="H1059" s="662">
        <v>0</v>
      </c>
      <c r="I1059" s="662">
        <v>32398.689673826408</v>
      </c>
      <c r="J1059" s="662">
        <v>33629.442506878309</v>
      </c>
      <c r="K1059" s="568" t="s">
        <v>4034</v>
      </c>
      <c r="L1059" s="549"/>
      <c r="M1059" s="540"/>
      <c r="O1059" s="559"/>
      <c r="S1059" s="550"/>
      <c r="T1059" s="547"/>
      <c r="U1059" s="547"/>
      <c r="V1059" s="547"/>
      <c r="W1059" s="549"/>
    </row>
    <row r="1060" spans="1:23">
      <c r="A1060" s="565">
        <v>1754</v>
      </c>
      <c r="B1060" s="695" t="s">
        <v>6465</v>
      </c>
      <c r="C1060" s="566">
        <f t="shared" si="16"/>
        <v>1754</v>
      </c>
      <c r="D1060" s="699" t="s">
        <v>2226</v>
      </c>
      <c r="E1060" s="701" t="s">
        <v>8938</v>
      </c>
      <c r="F1060" s="567">
        <v>1</v>
      </c>
      <c r="G1060" s="662">
        <v>0</v>
      </c>
      <c r="H1060" s="662">
        <v>0</v>
      </c>
      <c r="I1060" s="662">
        <v>18373.258909580461</v>
      </c>
      <c r="J1060" s="662">
        <v>18737.667460927893</v>
      </c>
      <c r="K1060" s="568" t="s">
        <v>4035</v>
      </c>
      <c r="L1060" s="549"/>
      <c r="M1060" s="540"/>
      <c r="O1060" s="559"/>
      <c r="S1060" s="550"/>
      <c r="T1060" s="547"/>
      <c r="U1060" s="547"/>
      <c r="V1060" s="547"/>
      <c r="W1060" s="549"/>
    </row>
    <row r="1061" spans="1:23">
      <c r="A1061" s="565">
        <v>1755</v>
      </c>
      <c r="B1061" s="695" t="s">
        <v>6466</v>
      </c>
      <c r="C1061" s="566">
        <f t="shared" si="16"/>
        <v>1755</v>
      </c>
      <c r="D1061" s="699" t="s">
        <v>2226</v>
      </c>
      <c r="E1061" s="701" t="s">
        <v>8939</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6467</v>
      </c>
      <c r="C1062" s="566">
        <f t="shared" si="16"/>
        <v>1756</v>
      </c>
      <c r="D1062" s="700" t="s">
        <v>2226</v>
      </c>
      <c r="E1062" s="701" t="s">
        <v>8940</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6468</v>
      </c>
      <c r="C1063" s="566">
        <f t="shared" si="16"/>
        <v>1757</v>
      </c>
      <c r="D1063" s="700" t="s">
        <v>2226</v>
      </c>
      <c r="E1063" s="701" t="s">
        <v>8941</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6469</v>
      </c>
      <c r="C1064" s="566">
        <f t="shared" si="16"/>
        <v>1758</v>
      </c>
      <c r="D1064" s="699" t="s">
        <v>2226</v>
      </c>
      <c r="E1064" s="701" t="s">
        <v>8942</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6470</v>
      </c>
      <c r="C1065" s="566">
        <f t="shared" si="16"/>
        <v>1759</v>
      </c>
      <c r="D1065" s="699" t="s">
        <v>2226</v>
      </c>
      <c r="E1065" s="701" t="s">
        <v>8943</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6471</v>
      </c>
      <c r="C1066" s="566">
        <f t="shared" si="16"/>
        <v>1760</v>
      </c>
      <c r="D1066" s="699" t="s">
        <v>2226</v>
      </c>
      <c r="E1066" s="701" t="s">
        <v>8944</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6472</v>
      </c>
      <c r="C1067" s="566">
        <f t="shared" si="16"/>
        <v>1761</v>
      </c>
      <c r="D1067" s="699" t="s">
        <v>2226</v>
      </c>
      <c r="E1067" s="701" t="s">
        <v>8945</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6473</v>
      </c>
      <c r="C1068" s="566">
        <f t="shared" si="16"/>
        <v>1762</v>
      </c>
      <c r="D1068" s="699" t="s">
        <v>2226</v>
      </c>
      <c r="E1068" s="701" t="s">
        <v>8946</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6474</v>
      </c>
      <c r="C1069" s="566">
        <f t="shared" si="16"/>
        <v>1763</v>
      </c>
      <c r="D1069" s="700" t="s">
        <v>2226</v>
      </c>
      <c r="E1069" s="701" t="s">
        <v>8947</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6475</v>
      </c>
      <c r="C1070" s="566">
        <f t="shared" si="16"/>
        <v>1764</v>
      </c>
      <c r="D1070" s="700" t="s">
        <v>2226</v>
      </c>
      <c r="E1070" s="701" t="s">
        <v>8948</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6476</v>
      </c>
      <c r="C1071" s="566">
        <f t="shared" si="16"/>
        <v>1765</v>
      </c>
      <c r="D1071" s="700" t="s">
        <v>2226</v>
      </c>
      <c r="E1071" s="701" t="s">
        <v>8949</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6477</v>
      </c>
      <c r="C1072" s="566">
        <f t="shared" si="16"/>
        <v>1766</v>
      </c>
      <c r="D1072" s="700" t="s">
        <v>2226</v>
      </c>
      <c r="E1072" s="701" t="s">
        <v>8950</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6478</v>
      </c>
      <c r="C1073" s="566">
        <f t="shared" si="16"/>
        <v>1767</v>
      </c>
      <c r="D1073" s="700" t="s">
        <v>2226</v>
      </c>
      <c r="E1073" s="701" t="s">
        <v>8951</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6479</v>
      </c>
      <c r="C1074" s="566">
        <f t="shared" si="16"/>
        <v>1768</v>
      </c>
      <c r="D1074" s="700" t="s">
        <v>2226</v>
      </c>
      <c r="E1074" s="701" t="s">
        <v>8952</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6480</v>
      </c>
      <c r="C1075" s="566">
        <f t="shared" si="16"/>
        <v>1769</v>
      </c>
      <c r="D1075" s="700" t="s">
        <v>2226</v>
      </c>
      <c r="E1075" s="701" t="s">
        <v>8953</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6481</v>
      </c>
      <c r="C1076" s="566">
        <f t="shared" si="16"/>
        <v>1770</v>
      </c>
      <c r="D1076" s="700" t="s">
        <v>2226</v>
      </c>
      <c r="E1076" s="701" t="s">
        <v>8954</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6482</v>
      </c>
      <c r="C1077" s="566">
        <f t="shared" si="16"/>
        <v>1771</v>
      </c>
      <c r="D1077" s="700" t="s">
        <v>2226</v>
      </c>
      <c r="E1077" s="701" t="s">
        <v>8955</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6483</v>
      </c>
      <c r="C1078" s="566">
        <f t="shared" si="16"/>
        <v>1772</v>
      </c>
      <c r="D1078" s="700" t="s">
        <v>2226</v>
      </c>
      <c r="E1078" s="701" t="s">
        <v>8956</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6484</v>
      </c>
      <c r="C1079" s="566">
        <f t="shared" si="16"/>
        <v>1773</v>
      </c>
      <c r="D1079" s="700" t="s">
        <v>2226</v>
      </c>
      <c r="E1079" s="701" t="s">
        <v>8957</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6485</v>
      </c>
      <c r="C1080" s="566">
        <f t="shared" si="16"/>
        <v>1774</v>
      </c>
      <c r="D1080" s="700" t="s">
        <v>2226</v>
      </c>
      <c r="E1080" s="701" t="s">
        <v>8958</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6486</v>
      </c>
      <c r="C1081" s="566">
        <f t="shared" si="16"/>
        <v>1775</v>
      </c>
      <c r="D1081" s="700" t="s">
        <v>2226</v>
      </c>
      <c r="E1081" s="701" t="s">
        <v>8959</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6487</v>
      </c>
      <c r="C1082" s="566">
        <f t="shared" si="16"/>
        <v>1776</v>
      </c>
      <c r="D1082" s="700" t="s">
        <v>2226</v>
      </c>
      <c r="E1082" s="701" t="s">
        <v>8960</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6488</v>
      </c>
      <c r="C1083" s="566">
        <f t="shared" si="16"/>
        <v>1777</v>
      </c>
      <c r="D1083" s="700" t="s">
        <v>2226</v>
      </c>
      <c r="E1083" s="701" t="s">
        <v>8961</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6489</v>
      </c>
      <c r="C1084" s="566">
        <f t="shared" si="16"/>
        <v>1778</v>
      </c>
      <c r="D1084" s="700" t="s">
        <v>2226</v>
      </c>
      <c r="E1084" s="701" t="s">
        <v>8962</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6490</v>
      </c>
      <c r="C1085" s="566">
        <f t="shared" si="16"/>
        <v>1779</v>
      </c>
      <c r="D1085" s="700" t="s">
        <v>2226</v>
      </c>
      <c r="E1085" s="701" t="s">
        <v>8963</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6491</v>
      </c>
      <c r="C1086" s="566">
        <f t="shared" si="16"/>
        <v>1780</v>
      </c>
      <c r="D1086" s="700" t="s">
        <v>2226</v>
      </c>
      <c r="E1086" s="701" t="s">
        <v>8964</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6492</v>
      </c>
      <c r="C1087" s="566">
        <f t="shared" si="16"/>
        <v>1781</v>
      </c>
      <c r="D1087" s="700" t="s">
        <v>2226</v>
      </c>
      <c r="E1087" s="701" t="s">
        <v>8965</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6493</v>
      </c>
      <c r="C1088" s="566">
        <f t="shared" si="16"/>
        <v>1782</v>
      </c>
      <c r="D1088" s="700" t="s">
        <v>2226</v>
      </c>
      <c r="E1088" s="701" t="s">
        <v>8966</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6494</v>
      </c>
      <c r="C1089" s="566">
        <f t="shared" si="16"/>
        <v>1783</v>
      </c>
      <c r="D1089" s="700" t="s">
        <v>2226</v>
      </c>
      <c r="E1089" s="701" t="s">
        <v>8967</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6495</v>
      </c>
      <c r="C1090" s="566">
        <f t="shared" si="16"/>
        <v>1784</v>
      </c>
      <c r="D1090" s="700" t="s">
        <v>2226</v>
      </c>
      <c r="E1090" s="701" t="s">
        <v>8968</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6496</v>
      </c>
      <c r="C1091" s="566">
        <f t="shared" si="16"/>
        <v>1785</v>
      </c>
      <c r="D1091" s="700" t="s">
        <v>2226</v>
      </c>
      <c r="E1091" s="701" t="s">
        <v>8969</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6497</v>
      </c>
      <c r="C1092" s="566">
        <f t="shared" si="16"/>
        <v>1786</v>
      </c>
      <c r="D1092" s="700" t="s">
        <v>2226</v>
      </c>
      <c r="E1092" s="701" t="s">
        <v>8970</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6498</v>
      </c>
      <c r="C1093" s="566">
        <f t="shared" si="16"/>
        <v>1787</v>
      </c>
      <c r="D1093" s="700" t="s">
        <v>2226</v>
      </c>
      <c r="E1093" s="701" t="s">
        <v>8971</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6499</v>
      </c>
      <c r="C1094" s="566">
        <f t="shared" si="16"/>
        <v>1788</v>
      </c>
      <c r="D1094" s="700" t="s">
        <v>2226</v>
      </c>
      <c r="E1094" s="701" t="s">
        <v>8972</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6500</v>
      </c>
      <c r="C1095" s="566">
        <f t="shared" si="16"/>
        <v>1789</v>
      </c>
      <c r="D1095" s="700" t="s">
        <v>2226</v>
      </c>
      <c r="E1095" s="701" t="s">
        <v>8973</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6501</v>
      </c>
      <c r="C1096" s="566">
        <f t="shared" si="16"/>
        <v>1790</v>
      </c>
      <c r="D1096" s="700" t="s">
        <v>2226</v>
      </c>
      <c r="E1096" s="701" t="s">
        <v>8974</v>
      </c>
      <c r="F1096" s="566">
        <v>1</v>
      </c>
      <c r="G1096" s="662">
        <v>0</v>
      </c>
      <c r="H1096" s="662">
        <v>0</v>
      </c>
      <c r="I1096" s="662">
        <v>27284.079950586616</v>
      </c>
      <c r="J1096" s="662">
        <v>27968.166246407887</v>
      </c>
      <c r="K1096" s="566" t="s">
        <v>4036</v>
      </c>
      <c r="L1096" s="549"/>
      <c r="M1096" s="540"/>
      <c r="O1096" s="557"/>
      <c r="S1096" s="550"/>
      <c r="T1096" s="547"/>
      <c r="U1096" s="547"/>
      <c r="V1096" s="547"/>
      <c r="W1096" s="549"/>
    </row>
    <row r="1097" spans="1:23">
      <c r="A1097" s="565">
        <v>1791</v>
      </c>
      <c r="B1097" s="696" t="s">
        <v>6502</v>
      </c>
      <c r="C1097" s="566">
        <f t="shared" ref="C1097:C1160" si="17">A1097</f>
        <v>1791</v>
      </c>
      <c r="D1097" s="700" t="s">
        <v>2226</v>
      </c>
      <c r="E1097" s="701" t="s">
        <v>8975</v>
      </c>
      <c r="F1097" s="566">
        <v>1</v>
      </c>
      <c r="G1097" s="662">
        <v>0</v>
      </c>
      <c r="H1097" s="662">
        <v>0</v>
      </c>
      <c r="I1097" s="662">
        <v>27284.079950586616</v>
      </c>
      <c r="J1097" s="662">
        <v>27968.166246407887</v>
      </c>
      <c r="K1097" s="566" t="s">
        <v>4037</v>
      </c>
      <c r="L1097" s="549"/>
      <c r="M1097" s="540"/>
      <c r="O1097" s="557"/>
      <c r="S1097" s="550"/>
      <c r="T1097" s="547"/>
      <c r="U1097" s="547"/>
      <c r="V1097" s="547"/>
      <c r="W1097" s="549"/>
    </row>
    <row r="1098" spans="1:23">
      <c r="A1098" s="565">
        <v>1792</v>
      </c>
      <c r="B1098" s="695" t="s">
        <v>6503</v>
      </c>
      <c r="C1098" s="566">
        <f t="shared" si="17"/>
        <v>1792</v>
      </c>
      <c r="D1098" s="699" t="s">
        <v>2226</v>
      </c>
      <c r="E1098" s="701" t="s">
        <v>8976</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6504</v>
      </c>
      <c r="C1099" s="566">
        <f t="shared" si="17"/>
        <v>1793</v>
      </c>
      <c r="D1099" s="700" t="s">
        <v>2226</v>
      </c>
      <c r="E1099" s="701" t="s">
        <v>8977</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6505</v>
      </c>
      <c r="C1100" s="566">
        <f t="shared" si="17"/>
        <v>1794</v>
      </c>
      <c r="D1100" s="700" t="s">
        <v>2226</v>
      </c>
      <c r="E1100" s="701" t="s">
        <v>8978</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6506</v>
      </c>
      <c r="C1101" s="566">
        <f t="shared" si="17"/>
        <v>1795</v>
      </c>
      <c r="D1101" s="700" t="s">
        <v>2226</v>
      </c>
      <c r="E1101" s="701" t="s">
        <v>8979</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6507</v>
      </c>
      <c r="C1102" s="566">
        <f t="shared" si="17"/>
        <v>1796</v>
      </c>
      <c r="D1102" s="700" t="s">
        <v>2226</v>
      </c>
      <c r="E1102" s="701" t="s">
        <v>8980</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6508</v>
      </c>
      <c r="C1103" s="566">
        <f t="shared" si="17"/>
        <v>1797</v>
      </c>
      <c r="D1103" s="700" t="s">
        <v>2226</v>
      </c>
      <c r="E1103" s="701" t="s">
        <v>8981</v>
      </c>
      <c r="F1103" s="566">
        <v>1</v>
      </c>
      <c r="G1103" s="662">
        <v>25116.698242669929</v>
      </c>
      <c r="H1103" s="662">
        <v>0</v>
      </c>
      <c r="I1103" s="662">
        <v>0</v>
      </c>
      <c r="J1103" s="662">
        <v>0</v>
      </c>
      <c r="K1103" s="566" t="s">
        <v>5273</v>
      </c>
      <c r="L1103" s="549"/>
      <c r="M1103" s="540"/>
      <c r="O1103" s="541"/>
      <c r="S1103" s="550"/>
      <c r="T1103" s="547"/>
      <c r="U1103" s="547"/>
      <c r="V1103" s="547"/>
      <c r="W1103" s="549"/>
    </row>
    <row r="1104" spans="1:23">
      <c r="A1104" s="565">
        <v>1798</v>
      </c>
      <c r="B1104" s="696" t="s">
        <v>6509</v>
      </c>
      <c r="C1104" s="566">
        <f t="shared" si="17"/>
        <v>1798</v>
      </c>
      <c r="D1104" s="700" t="s">
        <v>2226</v>
      </c>
      <c r="E1104" s="701" t="s">
        <v>8982</v>
      </c>
      <c r="F1104" s="566">
        <v>1</v>
      </c>
      <c r="G1104" s="662">
        <v>24687.927549281165</v>
      </c>
      <c r="H1104" s="662">
        <v>0</v>
      </c>
      <c r="I1104" s="662">
        <v>0</v>
      </c>
      <c r="J1104" s="662">
        <v>0</v>
      </c>
      <c r="K1104" s="566" t="s">
        <v>5274</v>
      </c>
      <c r="L1104" s="549"/>
      <c r="M1104" s="540"/>
      <c r="O1104" s="541"/>
      <c r="S1104" s="550"/>
      <c r="T1104" s="547"/>
      <c r="U1104" s="547"/>
      <c r="V1104" s="547"/>
      <c r="W1104" s="549"/>
    </row>
    <row r="1105" spans="1:23">
      <c r="A1105" s="565">
        <v>1799</v>
      </c>
      <c r="B1105" s="696" t="s">
        <v>6510</v>
      </c>
      <c r="C1105" s="566">
        <f t="shared" si="17"/>
        <v>1799</v>
      </c>
      <c r="D1105" s="700" t="s">
        <v>2226</v>
      </c>
      <c r="E1105" s="701" t="s">
        <v>8983</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6511</v>
      </c>
      <c r="C1106" s="566">
        <f t="shared" si="17"/>
        <v>1800</v>
      </c>
      <c r="D1106" s="700" t="s">
        <v>2226</v>
      </c>
      <c r="E1106" s="701" t="s">
        <v>8984</v>
      </c>
      <c r="F1106" s="566">
        <v>1</v>
      </c>
      <c r="G1106" s="662">
        <v>46186.961517689808</v>
      </c>
      <c r="H1106" s="662">
        <v>0</v>
      </c>
      <c r="I1106" s="662">
        <v>0</v>
      </c>
      <c r="J1106" s="662">
        <v>0</v>
      </c>
      <c r="K1106" s="566" t="s">
        <v>5275</v>
      </c>
      <c r="L1106" s="549"/>
      <c r="M1106" s="540"/>
      <c r="O1106" s="541"/>
      <c r="S1106" s="550"/>
      <c r="T1106" s="547"/>
      <c r="U1106" s="547"/>
      <c r="V1106" s="547"/>
      <c r="W1106" s="549"/>
    </row>
    <row r="1107" spans="1:23">
      <c r="A1107" s="565">
        <v>1801</v>
      </c>
      <c r="B1107" s="696" t="s">
        <v>6512</v>
      </c>
      <c r="C1107" s="566">
        <f t="shared" si="17"/>
        <v>1801</v>
      </c>
      <c r="D1107" s="700" t="s">
        <v>2226</v>
      </c>
      <c r="E1107" s="701" t="s">
        <v>8985</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6513</v>
      </c>
      <c r="C1108" s="566">
        <f t="shared" si="17"/>
        <v>1802</v>
      </c>
      <c r="D1108" s="700" t="s">
        <v>2226</v>
      </c>
      <c r="E1108" s="701" t="s">
        <v>8986</v>
      </c>
      <c r="F1108" s="566">
        <v>1</v>
      </c>
      <c r="G1108" s="662">
        <v>0</v>
      </c>
      <c r="H1108" s="662">
        <v>0</v>
      </c>
      <c r="I1108" s="662">
        <v>47298.528907996595</v>
      </c>
      <c r="J1108" s="662">
        <v>49068.973910408036</v>
      </c>
      <c r="K1108" s="566" t="s">
        <v>4038</v>
      </c>
      <c r="L1108" s="549"/>
      <c r="M1108" s="540"/>
      <c r="O1108" s="541"/>
      <c r="S1108" s="550"/>
      <c r="T1108" s="547"/>
      <c r="U1108" s="547"/>
      <c r="V1108" s="547"/>
      <c r="W1108" s="549"/>
    </row>
    <row r="1109" spans="1:23">
      <c r="A1109" s="565">
        <v>1803</v>
      </c>
      <c r="B1109" s="696" t="s">
        <v>6514</v>
      </c>
      <c r="C1109" s="566">
        <f t="shared" si="17"/>
        <v>1803</v>
      </c>
      <c r="D1109" s="700" t="s">
        <v>2226</v>
      </c>
      <c r="E1109" s="701" t="s">
        <v>8987</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6515</v>
      </c>
      <c r="C1110" s="566">
        <f t="shared" si="17"/>
        <v>1804</v>
      </c>
      <c r="D1110" s="700" t="s">
        <v>2226</v>
      </c>
      <c r="E1110" s="701" t="s">
        <v>8988</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6516</v>
      </c>
      <c r="C1111" s="566">
        <f t="shared" si="17"/>
        <v>1805</v>
      </c>
      <c r="D1111" s="700" t="s">
        <v>2226</v>
      </c>
      <c r="E1111" s="701" t="s">
        <v>8989</v>
      </c>
      <c r="F1111" s="566">
        <v>1</v>
      </c>
      <c r="G1111" s="662">
        <v>33883.766289141538</v>
      </c>
      <c r="H1111" s="662">
        <v>0</v>
      </c>
      <c r="I1111" s="662">
        <v>0</v>
      </c>
      <c r="J1111" s="662">
        <v>0</v>
      </c>
      <c r="K1111" s="566" t="s">
        <v>5276</v>
      </c>
      <c r="L1111" s="549"/>
      <c r="M1111" s="540"/>
      <c r="O1111" s="540"/>
      <c r="S1111" s="550"/>
      <c r="T1111" s="547"/>
      <c r="U1111" s="547"/>
      <c r="V1111" s="547"/>
      <c r="W1111" s="549"/>
    </row>
    <row r="1112" spans="1:23">
      <c r="A1112" s="565">
        <v>1806</v>
      </c>
      <c r="B1112" s="696" t="s">
        <v>6517</v>
      </c>
      <c r="C1112" s="566">
        <f t="shared" si="17"/>
        <v>1806</v>
      </c>
      <c r="D1112" s="700" t="s">
        <v>2226</v>
      </c>
      <c r="E1112" s="701" t="s">
        <v>8990</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6518</v>
      </c>
      <c r="C1113" s="566">
        <f t="shared" si="17"/>
        <v>1807</v>
      </c>
      <c r="D1113" s="700" t="s">
        <v>2226</v>
      </c>
      <c r="E1113" s="701" t="s">
        <v>8991</v>
      </c>
      <c r="F1113" s="566">
        <v>1</v>
      </c>
      <c r="G1113" s="662">
        <v>0</v>
      </c>
      <c r="H1113" s="662">
        <v>0</v>
      </c>
      <c r="I1113" s="662">
        <v>0</v>
      </c>
      <c r="J1113" s="662">
        <v>33732.518700335255</v>
      </c>
      <c r="K1113" s="566" t="s">
        <v>4768</v>
      </c>
      <c r="L1113" s="549"/>
      <c r="M1113" s="540"/>
      <c r="O1113" s="540"/>
      <c r="S1113" s="550"/>
      <c r="T1113" s="547"/>
      <c r="U1113" s="547"/>
      <c r="V1113" s="547"/>
      <c r="W1113" s="549"/>
    </row>
    <row r="1114" spans="1:23">
      <c r="A1114" s="565">
        <v>1808</v>
      </c>
      <c r="B1114" s="696" t="s">
        <v>6519</v>
      </c>
      <c r="C1114" s="566">
        <f t="shared" si="17"/>
        <v>1808</v>
      </c>
      <c r="D1114" s="700" t="s">
        <v>2226</v>
      </c>
      <c r="E1114" s="701" t="s">
        <v>8992</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6520</v>
      </c>
      <c r="C1115" s="566">
        <f t="shared" si="17"/>
        <v>1809</v>
      </c>
      <c r="D1115" s="700" t="s">
        <v>2226</v>
      </c>
      <c r="E1115" s="701" t="s">
        <v>8993</v>
      </c>
      <c r="F1115" s="566">
        <v>1</v>
      </c>
      <c r="G1115" s="662">
        <v>0</v>
      </c>
      <c r="H1115" s="662">
        <v>33979.13506954749</v>
      </c>
      <c r="I1115" s="662">
        <v>35225.976674525577</v>
      </c>
      <c r="J1115" s="662">
        <v>36407.181910300111</v>
      </c>
      <c r="K1115" s="566" t="s">
        <v>4039</v>
      </c>
      <c r="L1115" s="549"/>
      <c r="M1115" s="540"/>
      <c r="O1115" s="540"/>
      <c r="S1115" s="550"/>
      <c r="T1115" s="547"/>
      <c r="U1115" s="547"/>
      <c r="V1115" s="547"/>
      <c r="W1115" s="549"/>
    </row>
    <row r="1116" spans="1:23">
      <c r="A1116" s="565">
        <v>1810</v>
      </c>
      <c r="B1116" s="696" t="s">
        <v>6521</v>
      </c>
      <c r="C1116" s="566">
        <f t="shared" si="17"/>
        <v>1810</v>
      </c>
      <c r="D1116" s="700" t="s">
        <v>2226</v>
      </c>
      <c r="E1116" s="701" t="s">
        <v>8994</v>
      </c>
      <c r="F1116" s="566">
        <v>1</v>
      </c>
      <c r="G1116" s="662">
        <v>0</v>
      </c>
      <c r="H1116" s="662">
        <v>0</v>
      </c>
      <c r="I1116" s="662">
        <v>47556.329570764443</v>
      </c>
      <c r="J1116" s="662">
        <v>49179.198152192985</v>
      </c>
      <c r="K1116" s="566" t="s">
        <v>4040</v>
      </c>
      <c r="L1116" s="549"/>
      <c r="M1116" s="540"/>
      <c r="O1116" s="32"/>
      <c r="S1116" s="550"/>
      <c r="T1116" s="547"/>
      <c r="U1116" s="547"/>
      <c r="V1116" s="547"/>
      <c r="W1116" s="549"/>
    </row>
    <row r="1117" spans="1:23">
      <c r="A1117" s="565">
        <v>1811</v>
      </c>
      <c r="B1117" s="696" t="s">
        <v>6522</v>
      </c>
      <c r="C1117" s="566">
        <f t="shared" si="17"/>
        <v>1811</v>
      </c>
      <c r="D1117" s="700" t="s">
        <v>2226</v>
      </c>
      <c r="E1117" s="701" t="s">
        <v>8995</v>
      </c>
      <c r="F1117" s="566">
        <v>1</v>
      </c>
      <c r="G1117" s="662">
        <v>0</v>
      </c>
      <c r="H1117" s="662">
        <v>0</v>
      </c>
      <c r="I1117" s="662">
        <v>47556.329570764443</v>
      </c>
      <c r="J1117" s="662">
        <v>49179.198152192985</v>
      </c>
      <c r="K1117" s="566" t="s">
        <v>4041</v>
      </c>
      <c r="L1117" s="549"/>
      <c r="M1117" s="540"/>
      <c r="O1117" s="540"/>
      <c r="S1117" s="550"/>
      <c r="T1117" s="547"/>
      <c r="U1117" s="547"/>
      <c r="V1117" s="547"/>
      <c r="W1117" s="549"/>
    </row>
    <row r="1118" spans="1:23">
      <c r="A1118" s="565">
        <v>1812</v>
      </c>
      <c r="B1118" s="696" t="s">
        <v>6523</v>
      </c>
      <c r="C1118" s="566">
        <f t="shared" si="17"/>
        <v>1812</v>
      </c>
      <c r="D1118" s="700" t="s">
        <v>2226</v>
      </c>
      <c r="E1118" s="701" t="s">
        <v>8996</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6524</v>
      </c>
      <c r="C1119" s="566">
        <f t="shared" si="17"/>
        <v>1813</v>
      </c>
      <c r="D1119" s="700" t="s">
        <v>2226</v>
      </c>
      <c r="E1119" s="701" t="s">
        <v>8997</v>
      </c>
      <c r="F1119" s="566">
        <v>1</v>
      </c>
      <c r="G1119" s="662">
        <v>0</v>
      </c>
      <c r="H1119" s="662">
        <v>0</v>
      </c>
      <c r="I1119" s="662">
        <v>0</v>
      </c>
      <c r="J1119" s="662">
        <v>34456.360354653334</v>
      </c>
      <c r="K1119" s="566" t="s">
        <v>4769</v>
      </c>
      <c r="L1119" s="549"/>
      <c r="M1119" s="540"/>
      <c r="O1119" s="540"/>
      <c r="S1119" s="550"/>
      <c r="T1119" s="547"/>
      <c r="U1119" s="547"/>
      <c r="V1119" s="547"/>
      <c r="W1119" s="549"/>
    </row>
    <row r="1120" spans="1:23">
      <c r="A1120" s="565">
        <v>1814</v>
      </c>
      <c r="B1120" s="696" t="s">
        <v>6525</v>
      </c>
      <c r="C1120" s="566">
        <f t="shared" si="17"/>
        <v>1814</v>
      </c>
      <c r="D1120" s="700" t="s">
        <v>2226</v>
      </c>
      <c r="E1120" s="701" t="s">
        <v>8998</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6526</v>
      </c>
      <c r="C1121" s="566">
        <f t="shared" si="17"/>
        <v>1815</v>
      </c>
      <c r="D1121" s="700" t="s">
        <v>2226</v>
      </c>
      <c r="E1121" s="701" t="s">
        <v>8999</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6527</v>
      </c>
      <c r="C1122" s="566">
        <f t="shared" si="17"/>
        <v>1816</v>
      </c>
      <c r="D1122" s="700" t="s">
        <v>2226</v>
      </c>
      <c r="E1122" s="701" t="s">
        <v>9000</v>
      </c>
      <c r="F1122" s="566">
        <v>1</v>
      </c>
      <c r="G1122" s="662">
        <v>0</v>
      </c>
      <c r="H1122" s="662">
        <v>0</v>
      </c>
      <c r="I1122" s="662">
        <v>35863.65876813401</v>
      </c>
      <c r="J1122" s="662">
        <v>0</v>
      </c>
      <c r="K1122" s="566" t="s">
        <v>4770</v>
      </c>
      <c r="L1122" s="549"/>
      <c r="M1122" s="540"/>
      <c r="O1122" s="540"/>
      <c r="S1122" s="550"/>
      <c r="T1122" s="547"/>
      <c r="U1122" s="547"/>
      <c r="V1122" s="547"/>
      <c r="W1122" s="549"/>
    </row>
    <row r="1123" spans="1:23">
      <c r="A1123" s="565">
        <v>1817</v>
      </c>
      <c r="B1123" s="696" t="s">
        <v>6528</v>
      </c>
      <c r="C1123" s="566">
        <f t="shared" si="17"/>
        <v>1817</v>
      </c>
      <c r="D1123" s="700" t="s">
        <v>2226</v>
      </c>
      <c r="E1123" s="701" t="s">
        <v>9001</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6529</v>
      </c>
      <c r="C1124" s="566">
        <f t="shared" si="17"/>
        <v>1818</v>
      </c>
      <c r="D1124" s="700" t="s">
        <v>2226</v>
      </c>
      <c r="E1124" s="701" t="s">
        <v>9002</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6530</v>
      </c>
      <c r="C1125" s="566">
        <f t="shared" si="17"/>
        <v>1819</v>
      </c>
      <c r="D1125" s="700" t="s">
        <v>2226</v>
      </c>
      <c r="E1125" s="701" t="s">
        <v>9003</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6531</v>
      </c>
      <c r="C1126" s="566">
        <f t="shared" si="17"/>
        <v>1820</v>
      </c>
      <c r="D1126" s="700" t="s">
        <v>2226</v>
      </c>
      <c r="E1126" s="701" t="s">
        <v>9004</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6532</v>
      </c>
      <c r="C1127" s="566">
        <f t="shared" si="17"/>
        <v>1821</v>
      </c>
      <c r="D1127" s="700" t="s">
        <v>2226</v>
      </c>
      <c r="E1127" s="701" t="s">
        <v>9005</v>
      </c>
      <c r="F1127" s="566">
        <v>1</v>
      </c>
      <c r="G1127" s="662">
        <v>0</v>
      </c>
      <c r="H1127" s="662">
        <v>0</v>
      </c>
      <c r="I1127" s="662">
        <v>23412.693841963381</v>
      </c>
      <c r="J1127" s="662">
        <v>23968.73949587387</v>
      </c>
      <c r="K1127" s="566" t="s">
        <v>4042</v>
      </c>
      <c r="L1127" s="549"/>
      <c r="M1127" s="540"/>
      <c r="O1127" s="540"/>
      <c r="S1127" s="550"/>
      <c r="T1127" s="547"/>
      <c r="U1127" s="547"/>
      <c r="V1127" s="547"/>
      <c r="W1127" s="549"/>
    </row>
    <row r="1128" spans="1:23">
      <c r="A1128" s="565">
        <v>1822</v>
      </c>
      <c r="B1128" s="696" t="s">
        <v>6533</v>
      </c>
      <c r="C1128" s="566">
        <f t="shared" si="17"/>
        <v>1822</v>
      </c>
      <c r="D1128" s="700" t="s">
        <v>2226</v>
      </c>
      <c r="E1128" s="701" t="s">
        <v>9006</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6534</v>
      </c>
      <c r="C1129" s="566">
        <f t="shared" si="17"/>
        <v>1823</v>
      </c>
      <c r="D1129" s="700" t="s">
        <v>2226</v>
      </c>
      <c r="E1129" s="701" t="s">
        <v>9007</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6535</v>
      </c>
      <c r="C1130" s="566">
        <f t="shared" si="17"/>
        <v>1824</v>
      </c>
      <c r="D1130" s="700" t="s">
        <v>2226</v>
      </c>
      <c r="E1130" s="701" t="s">
        <v>9008</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6536</v>
      </c>
      <c r="C1131" s="566">
        <f t="shared" si="17"/>
        <v>1825</v>
      </c>
      <c r="D1131" s="700" t="s">
        <v>2226</v>
      </c>
      <c r="E1131" s="701" t="s">
        <v>9009</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6537</v>
      </c>
      <c r="C1132" s="566">
        <f t="shared" si="17"/>
        <v>1826</v>
      </c>
      <c r="D1132" s="700" t="s">
        <v>2226</v>
      </c>
      <c r="E1132" s="701" t="s">
        <v>9010</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6538</v>
      </c>
      <c r="C1133" s="566">
        <f t="shared" si="17"/>
        <v>1827</v>
      </c>
      <c r="D1133" s="700" t="s">
        <v>2226</v>
      </c>
      <c r="E1133" s="701" t="s">
        <v>9011</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6539</v>
      </c>
      <c r="C1134" s="566">
        <f t="shared" si="17"/>
        <v>1828</v>
      </c>
      <c r="D1134" s="700" t="s">
        <v>2226</v>
      </c>
      <c r="E1134" s="701" t="s">
        <v>9012</v>
      </c>
      <c r="F1134" s="566">
        <v>1</v>
      </c>
      <c r="G1134" s="662">
        <v>9250.6876771029838</v>
      </c>
      <c r="H1134" s="662">
        <v>0</v>
      </c>
      <c r="I1134" s="662">
        <v>0</v>
      </c>
      <c r="J1134" s="662">
        <v>0</v>
      </c>
      <c r="K1134" s="566" t="s">
        <v>5277</v>
      </c>
      <c r="L1134" s="549"/>
      <c r="M1134" s="540"/>
      <c r="O1134" s="540"/>
      <c r="S1134" s="550"/>
      <c r="T1134" s="547"/>
      <c r="U1134" s="547"/>
      <c r="V1134" s="547"/>
      <c r="W1134" s="549"/>
    </row>
    <row r="1135" spans="1:23">
      <c r="A1135" s="565">
        <v>1829</v>
      </c>
      <c r="B1135" s="696" t="s">
        <v>6540</v>
      </c>
      <c r="C1135" s="566">
        <f t="shared" si="17"/>
        <v>1829</v>
      </c>
      <c r="D1135" s="700" t="s">
        <v>2226</v>
      </c>
      <c r="E1135" s="701" t="s">
        <v>9013</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6541</v>
      </c>
      <c r="C1136" s="566">
        <f t="shared" si="17"/>
        <v>1830</v>
      </c>
      <c r="D1136" s="700" t="s">
        <v>2226</v>
      </c>
      <c r="E1136" s="701" t="s">
        <v>9014</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6542</v>
      </c>
      <c r="C1137" s="566">
        <f t="shared" si="17"/>
        <v>1831</v>
      </c>
      <c r="D1137" s="700" t="s">
        <v>2226</v>
      </c>
      <c r="E1137" s="701" t="s">
        <v>9015</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6543</v>
      </c>
      <c r="C1138" s="566">
        <f t="shared" si="17"/>
        <v>1832</v>
      </c>
      <c r="D1138" s="700" t="s">
        <v>2226</v>
      </c>
      <c r="E1138" s="701" t="s">
        <v>9016</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6544</v>
      </c>
      <c r="C1139" s="566">
        <f t="shared" si="17"/>
        <v>1833</v>
      </c>
      <c r="D1139" s="700" t="s">
        <v>2226</v>
      </c>
      <c r="E1139" s="701" t="s">
        <v>9017</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6545</v>
      </c>
      <c r="C1140" s="566">
        <f t="shared" si="17"/>
        <v>1834</v>
      </c>
      <c r="D1140" s="700" t="s">
        <v>2226</v>
      </c>
      <c r="E1140" s="701" t="s">
        <v>9018</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6546</v>
      </c>
      <c r="C1141" s="566">
        <f t="shared" si="17"/>
        <v>1835</v>
      </c>
      <c r="D1141" s="700" t="s">
        <v>2226</v>
      </c>
      <c r="E1141" s="701" t="s">
        <v>9019</v>
      </c>
      <c r="F1141" s="566">
        <v>1</v>
      </c>
      <c r="G1141" s="662">
        <v>10752.752625315876</v>
      </c>
      <c r="H1141" s="662">
        <v>0</v>
      </c>
      <c r="I1141" s="662">
        <v>0</v>
      </c>
      <c r="J1141" s="662">
        <v>0</v>
      </c>
      <c r="K1141" s="566" t="s">
        <v>5278</v>
      </c>
      <c r="L1141" s="549"/>
      <c r="M1141" s="540"/>
      <c r="O1141" s="540"/>
      <c r="S1141" s="550"/>
      <c r="T1141" s="547"/>
      <c r="U1141" s="547"/>
      <c r="V1141" s="547"/>
      <c r="W1141" s="549"/>
    </row>
    <row r="1142" spans="1:23">
      <c r="A1142" s="565">
        <v>1836</v>
      </c>
      <c r="B1142" s="696" t="s">
        <v>6547</v>
      </c>
      <c r="C1142" s="566">
        <f t="shared" si="17"/>
        <v>1836</v>
      </c>
      <c r="D1142" s="700" t="s">
        <v>2226</v>
      </c>
      <c r="E1142" s="701" t="s">
        <v>9020</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6548</v>
      </c>
      <c r="C1143" s="566">
        <f t="shared" si="17"/>
        <v>1837</v>
      </c>
      <c r="D1143" s="700" t="s">
        <v>2226</v>
      </c>
      <c r="E1143" s="701" t="s">
        <v>9021</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6549</v>
      </c>
      <c r="C1144" s="566">
        <f t="shared" si="17"/>
        <v>1838</v>
      </c>
      <c r="D1144" s="700" t="s">
        <v>2226</v>
      </c>
      <c r="E1144" s="701" t="s">
        <v>9022</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6550</v>
      </c>
      <c r="C1145" s="566">
        <f t="shared" si="17"/>
        <v>1839</v>
      </c>
      <c r="D1145" s="700" t="s">
        <v>2226</v>
      </c>
      <c r="E1145" s="701" t="s">
        <v>9023</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6551</v>
      </c>
      <c r="C1146" s="566">
        <f t="shared" si="17"/>
        <v>1840</v>
      </c>
      <c r="D1146" s="700" t="s">
        <v>2226</v>
      </c>
      <c r="E1146" s="701" t="s">
        <v>9024</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6552</v>
      </c>
      <c r="C1147" s="566">
        <f t="shared" si="17"/>
        <v>1841</v>
      </c>
      <c r="D1147" s="700" t="s">
        <v>2226</v>
      </c>
      <c r="E1147" s="701" t="s">
        <v>9025</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6553</v>
      </c>
      <c r="C1148" s="566">
        <f t="shared" si="17"/>
        <v>1842</v>
      </c>
      <c r="D1148" s="700" t="s">
        <v>2226</v>
      </c>
      <c r="E1148" s="701" t="s">
        <v>5100</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6554</v>
      </c>
      <c r="C1149" s="566">
        <f t="shared" si="17"/>
        <v>1843</v>
      </c>
      <c r="D1149" s="700" t="s">
        <v>2226</v>
      </c>
      <c r="E1149" s="701" t="s">
        <v>9026</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6555</v>
      </c>
      <c r="C1150" s="566">
        <f t="shared" si="17"/>
        <v>1844</v>
      </c>
      <c r="D1150" s="700" t="s">
        <v>2226</v>
      </c>
      <c r="E1150" s="701" t="s">
        <v>9027</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6556</v>
      </c>
      <c r="C1151" s="566">
        <f t="shared" si="17"/>
        <v>1845</v>
      </c>
      <c r="D1151" s="699" t="s">
        <v>2226</v>
      </c>
      <c r="E1151" s="701" t="s">
        <v>9028</v>
      </c>
      <c r="F1151" s="567">
        <v>2</v>
      </c>
      <c r="G1151" s="662">
        <v>0</v>
      </c>
      <c r="H1151" s="662">
        <v>0</v>
      </c>
      <c r="I1151" s="662">
        <v>0</v>
      </c>
      <c r="J1151" s="662">
        <v>28388.558126789379</v>
      </c>
      <c r="K1151" s="568" t="s">
        <v>4771</v>
      </c>
      <c r="L1151" s="549"/>
      <c r="M1151" s="540"/>
      <c r="O1151" s="540"/>
      <c r="S1151" s="550"/>
      <c r="T1151" s="547"/>
      <c r="U1151" s="547"/>
      <c r="V1151" s="547"/>
      <c r="W1151" s="549"/>
    </row>
    <row r="1152" spans="1:23">
      <c r="A1152" s="565">
        <v>1846</v>
      </c>
      <c r="B1152" s="695" t="s">
        <v>6557</v>
      </c>
      <c r="C1152" s="566">
        <f t="shared" si="17"/>
        <v>1846</v>
      </c>
      <c r="D1152" s="699" t="s">
        <v>2226</v>
      </c>
      <c r="E1152" s="701" t="s">
        <v>9029</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6558</v>
      </c>
      <c r="C1153" s="566">
        <f t="shared" si="17"/>
        <v>1847</v>
      </c>
      <c r="D1153" s="699" t="s">
        <v>2226</v>
      </c>
      <c r="E1153" s="701" t="s">
        <v>9030</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6559</v>
      </c>
      <c r="C1154" s="566">
        <f t="shared" si="17"/>
        <v>1848</v>
      </c>
      <c r="D1154" s="699" t="s">
        <v>2226</v>
      </c>
      <c r="E1154" s="701" t="s">
        <v>9031</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6560</v>
      </c>
      <c r="C1155" s="566">
        <f t="shared" si="17"/>
        <v>1849</v>
      </c>
      <c r="D1155" s="699" t="s">
        <v>2226</v>
      </c>
      <c r="E1155" s="701" t="s">
        <v>9032</v>
      </c>
      <c r="F1155" s="567">
        <v>2</v>
      </c>
      <c r="G1155" s="662">
        <v>0</v>
      </c>
      <c r="H1155" s="662">
        <v>0</v>
      </c>
      <c r="I1155" s="662">
        <v>22853.58797436559</v>
      </c>
      <c r="J1155" s="662">
        <v>23350.041818976562</v>
      </c>
      <c r="K1155" s="568" t="s">
        <v>4043</v>
      </c>
      <c r="L1155" s="549"/>
      <c r="M1155" s="540"/>
      <c r="O1155" s="540"/>
      <c r="S1155" s="550"/>
      <c r="T1155" s="547"/>
      <c r="U1155" s="547"/>
      <c r="V1155" s="547"/>
      <c r="W1155" s="549"/>
    </row>
    <row r="1156" spans="1:23">
      <c r="A1156" s="565">
        <v>1850</v>
      </c>
      <c r="B1156" s="695" t="s">
        <v>6561</v>
      </c>
      <c r="C1156" s="566">
        <f t="shared" si="17"/>
        <v>1850</v>
      </c>
      <c r="D1156" s="699" t="s">
        <v>2226</v>
      </c>
      <c r="E1156" s="701" t="s">
        <v>9033</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6562</v>
      </c>
      <c r="C1157" s="566">
        <f t="shared" si="17"/>
        <v>1851</v>
      </c>
      <c r="D1157" s="699" t="s">
        <v>2226</v>
      </c>
      <c r="E1157" s="701" t="s">
        <v>9034</v>
      </c>
      <c r="F1157" s="567">
        <v>2</v>
      </c>
      <c r="G1157" s="662">
        <v>0</v>
      </c>
      <c r="H1157" s="662">
        <v>0</v>
      </c>
      <c r="I1157" s="662">
        <v>25127.501113341543</v>
      </c>
      <c r="J1157" s="662">
        <v>25680.530123450713</v>
      </c>
      <c r="K1157" s="568" t="s">
        <v>4044</v>
      </c>
      <c r="L1157" s="549"/>
      <c r="M1157" s="540"/>
      <c r="O1157" s="540"/>
      <c r="S1157" s="550"/>
      <c r="T1157" s="547"/>
      <c r="U1157" s="547"/>
      <c r="V1157" s="547"/>
      <c r="W1157" s="549"/>
    </row>
    <row r="1158" spans="1:23">
      <c r="A1158" s="565">
        <v>1852</v>
      </c>
      <c r="B1158" s="695" t="s">
        <v>6563</v>
      </c>
      <c r="C1158" s="566">
        <f t="shared" si="17"/>
        <v>1852</v>
      </c>
      <c r="D1158" s="699" t="s">
        <v>2226</v>
      </c>
      <c r="E1158" s="701" t="s">
        <v>9035</v>
      </c>
      <c r="F1158" s="567">
        <v>2</v>
      </c>
      <c r="G1158" s="662">
        <v>0</v>
      </c>
      <c r="H1158" s="662">
        <v>0</v>
      </c>
      <c r="I1158" s="662">
        <v>0</v>
      </c>
      <c r="J1158" s="662">
        <v>27802.300686169543</v>
      </c>
      <c r="K1158" s="568" t="s">
        <v>4772</v>
      </c>
      <c r="L1158" s="549"/>
      <c r="M1158" s="540"/>
      <c r="O1158" s="540"/>
      <c r="S1158" s="550"/>
      <c r="T1158" s="547"/>
      <c r="U1158" s="547"/>
      <c r="V1158" s="547"/>
      <c r="W1158" s="549"/>
    </row>
    <row r="1159" spans="1:23">
      <c r="A1159" s="565">
        <v>1853</v>
      </c>
      <c r="B1159" s="695" t="s">
        <v>6564</v>
      </c>
      <c r="C1159" s="566">
        <f t="shared" si="17"/>
        <v>1853</v>
      </c>
      <c r="D1159" s="699" t="s">
        <v>2226</v>
      </c>
      <c r="E1159" s="701" t="s">
        <v>9036</v>
      </c>
      <c r="F1159" s="567">
        <v>1</v>
      </c>
      <c r="G1159" s="662">
        <v>0</v>
      </c>
      <c r="H1159" s="662">
        <v>47135.612670556467</v>
      </c>
      <c r="I1159" s="662">
        <v>48901.533036090368</v>
      </c>
      <c r="J1159" s="662">
        <v>0</v>
      </c>
      <c r="K1159" s="568" t="s">
        <v>4773</v>
      </c>
      <c r="L1159" s="549"/>
      <c r="M1159" s="540"/>
      <c r="O1159" s="540"/>
      <c r="S1159" s="550"/>
      <c r="T1159" s="547"/>
      <c r="U1159" s="547"/>
      <c r="V1159" s="547"/>
      <c r="W1159" s="549"/>
    </row>
    <row r="1160" spans="1:23">
      <c r="A1160" s="565">
        <v>1854</v>
      </c>
      <c r="B1160" s="695" t="s">
        <v>6565</v>
      </c>
      <c r="C1160" s="566">
        <f t="shared" si="17"/>
        <v>1854</v>
      </c>
      <c r="D1160" s="699" t="s">
        <v>2226</v>
      </c>
      <c r="E1160" s="701" t="s">
        <v>9037</v>
      </c>
      <c r="F1160" s="567">
        <v>1</v>
      </c>
      <c r="G1160" s="662">
        <v>0</v>
      </c>
      <c r="H1160" s="662">
        <v>44829.684323963833</v>
      </c>
      <c r="I1160" s="662">
        <v>46505.060357573602</v>
      </c>
      <c r="J1160" s="662">
        <v>0</v>
      </c>
      <c r="K1160" s="568" t="s">
        <v>4774</v>
      </c>
      <c r="L1160" s="549"/>
      <c r="M1160" s="540"/>
      <c r="O1160" s="540"/>
      <c r="S1160" s="550"/>
      <c r="T1160" s="547"/>
      <c r="U1160" s="547"/>
      <c r="V1160" s="547"/>
      <c r="W1160" s="549"/>
    </row>
    <row r="1161" spans="1:23">
      <c r="A1161" s="565">
        <v>1855</v>
      </c>
      <c r="B1161" s="695" t="s">
        <v>6566</v>
      </c>
      <c r="C1161" s="566">
        <f t="shared" ref="C1161:C1224" si="18">A1161</f>
        <v>1855</v>
      </c>
      <c r="D1161" s="699" t="s">
        <v>2226</v>
      </c>
      <c r="E1161" s="701" t="s">
        <v>9038</v>
      </c>
      <c r="F1161" s="567">
        <v>1</v>
      </c>
      <c r="G1161" s="662">
        <v>0</v>
      </c>
      <c r="H1161" s="662">
        <v>44829.684323963833</v>
      </c>
      <c r="I1161" s="662">
        <v>0</v>
      </c>
      <c r="J1161" s="662">
        <v>0</v>
      </c>
      <c r="K1161" s="568" t="s">
        <v>4775</v>
      </c>
      <c r="L1161" s="549"/>
      <c r="M1161" s="540"/>
      <c r="O1161" s="540"/>
      <c r="S1161" s="550"/>
      <c r="T1161" s="547"/>
      <c r="U1161" s="547"/>
      <c r="V1161" s="547"/>
      <c r="W1161" s="549"/>
    </row>
    <row r="1162" spans="1:23">
      <c r="A1162" s="565">
        <v>1856</v>
      </c>
      <c r="B1162" s="696" t="s">
        <v>6567</v>
      </c>
      <c r="C1162" s="566">
        <f t="shared" si="18"/>
        <v>1856</v>
      </c>
      <c r="D1162" s="700" t="s">
        <v>2226</v>
      </c>
      <c r="E1162" s="701" t="s">
        <v>9039</v>
      </c>
      <c r="F1162" s="566">
        <v>1</v>
      </c>
      <c r="G1162" s="662">
        <v>0</v>
      </c>
      <c r="H1162" s="662">
        <v>0</v>
      </c>
      <c r="I1162" s="662">
        <v>0</v>
      </c>
      <c r="J1162" s="662">
        <v>51562.995096014332</v>
      </c>
      <c r="K1162" s="566" t="s">
        <v>4776</v>
      </c>
      <c r="L1162" s="549"/>
      <c r="M1162" s="540"/>
      <c r="O1162" s="540"/>
      <c r="S1162" s="550"/>
      <c r="T1162" s="547"/>
      <c r="U1162" s="547"/>
      <c r="V1162" s="547"/>
      <c r="W1162" s="549"/>
    </row>
    <row r="1163" spans="1:23">
      <c r="A1163" s="565">
        <v>1857</v>
      </c>
      <c r="B1163" s="696" t="s">
        <v>6568</v>
      </c>
      <c r="C1163" s="566">
        <f t="shared" si="18"/>
        <v>1857</v>
      </c>
      <c r="D1163" s="700" t="s">
        <v>2226</v>
      </c>
      <c r="E1163" s="701" t="s">
        <v>9040</v>
      </c>
      <c r="F1163" s="566">
        <v>1</v>
      </c>
      <c r="G1163" s="662">
        <v>0</v>
      </c>
      <c r="H1163" s="662">
        <v>0</v>
      </c>
      <c r="I1163" s="662">
        <v>0</v>
      </c>
      <c r="J1163" s="662">
        <v>51055.690859763956</v>
      </c>
      <c r="K1163" s="566" t="s">
        <v>4777</v>
      </c>
      <c r="L1163" s="549"/>
      <c r="M1163" s="540"/>
      <c r="O1163" s="540"/>
      <c r="S1163" s="550"/>
      <c r="T1163" s="547"/>
      <c r="U1163" s="547"/>
      <c r="V1163" s="547"/>
      <c r="W1163" s="549"/>
    </row>
    <row r="1164" spans="1:23">
      <c r="A1164" s="565">
        <v>1858</v>
      </c>
      <c r="B1164" s="696" t="s">
        <v>6569</v>
      </c>
      <c r="C1164" s="566">
        <f t="shared" si="18"/>
        <v>1858</v>
      </c>
      <c r="D1164" s="700" t="s">
        <v>2226</v>
      </c>
      <c r="E1164" s="701" t="s">
        <v>9041</v>
      </c>
      <c r="F1164" s="566">
        <v>1</v>
      </c>
      <c r="G1164" s="662">
        <v>0</v>
      </c>
      <c r="H1164" s="662">
        <v>71861.992691914027</v>
      </c>
      <c r="I1164" s="662">
        <v>77481.62971171565</v>
      </c>
      <c r="J1164" s="662">
        <v>80439.347493526337</v>
      </c>
      <c r="K1164" s="566" t="s">
        <v>4045</v>
      </c>
      <c r="L1164" s="549"/>
      <c r="M1164" s="540"/>
      <c r="O1164" s="540"/>
      <c r="S1164" s="550"/>
      <c r="T1164" s="547"/>
      <c r="U1164" s="547"/>
      <c r="V1164" s="547"/>
      <c r="W1164" s="549"/>
    </row>
    <row r="1165" spans="1:23">
      <c r="A1165" s="565">
        <v>1859</v>
      </c>
      <c r="B1165" s="696" t="s">
        <v>6570</v>
      </c>
      <c r="C1165" s="566">
        <f t="shared" si="18"/>
        <v>1859</v>
      </c>
      <c r="D1165" s="700" t="s">
        <v>2226</v>
      </c>
      <c r="E1165" s="701" t="s">
        <v>9042</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6571</v>
      </c>
      <c r="C1166" s="566">
        <f t="shared" si="18"/>
        <v>1860</v>
      </c>
      <c r="D1166" s="699" t="s">
        <v>2226</v>
      </c>
      <c r="E1166" s="701" t="s">
        <v>9043</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6572</v>
      </c>
      <c r="C1167" s="566">
        <f t="shared" si="18"/>
        <v>1861</v>
      </c>
      <c r="D1167" s="699" t="s">
        <v>2226</v>
      </c>
      <c r="E1167" s="701" t="s">
        <v>9044</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6573</v>
      </c>
      <c r="C1168" s="566">
        <f t="shared" si="18"/>
        <v>1862</v>
      </c>
      <c r="D1168" s="700" t="s">
        <v>2226</v>
      </c>
      <c r="E1168" s="701" t="s">
        <v>9045</v>
      </c>
      <c r="F1168" s="566">
        <v>1</v>
      </c>
      <c r="G1168" s="662">
        <v>0</v>
      </c>
      <c r="H1168" s="662">
        <v>0</v>
      </c>
      <c r="I1168" s="662">
        <v>0</v>
      </c>
      <c r="J1168" s="662">
        <v>17598.929563881313</v>
      </c>
      <c r="K1168" s="566" t="s">
        <v>4778</v>
      </c>
      <c r="L1168" s="549"/>
      <c r="M1168" s="540"/>
      <c r="O1168" s="540"/>
      <c r="S1168" s="550"/>
      <c r="T1168" s="547"/>
      <c r="U1168" s="547"/>
      <c r="V1168" s="547"/>
      <c r="W1168" s="549"/>
    </row>
    <row r="1169" spans="1:23">
      <c r="A1169" s="565">
        <v>1863</v>
      </c>
      <c r="B1169" s="696" t="s">
        <v>6574</v>
      </c>
      <c r="C1169" s="566">
        <f t="shared" si="18"/>
        <v>1863</v>
      </c>
      <c r="D1169" s="700" t="s">
        <v>2226</v>
      </c>
      <c r="E1169" s="701" t="s">
        <v>9046</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6575</v>
      </c>
      <c r="C1170" s="566">
        <f t="shared" si="18"/>
        <v>1864</v>
      </c>
      <c r="D1170" s="700" t="s">
        <v>2226</v>
      </c>
      <c r="E1170" s="701" t="s">
        <v>9047</v>
      </c>
      <c r="F1170" s="566">
        <v>1</v>
      </c>
      <c r="G1170" s="662">
        <v>0</v>
      </c>
      <c r="H1170" s="662">
        <v>0</v>
      </c>
      <c r="I1170" s="662">
        <v>26273.640826432056</v>
      </c>
      <c r="J1170" s="662">
        <v>26930.06264337918</v>
      </c>
      <c r="K1170" s="566" t="s">
        <v>4046</v>
      </c>
      <c r="L1170" s="549"/>
      <c r="M1170" s="540"/>
      <c r="O1170" s="540"/>
      <c r="S1170" s="550"/>
      <c r="T1170" s="547"/>
      <c r="U1170" s="547"/>
      <c r="V1170" s="547"/>
      <c r="W1170" s="549"/>
    </row>
    <row r="1171" spans="1:23">
      <c r="A1171" s="565">
        <v>1865</v>
      </c>
      <c r="B1171" s="696" t="s">
        <v>6576</v>
      </c>
      <c r="C1171" s="566">
        <f t="shared" si="18"/>
        <v>1865</v>
      </c>
      <c r="D1171" s="700" t="s">
        <v>2226</v>
      </c>
      <c r="E1171" s="701" t="s">
        <v>9048</v>
      </c>
      <c r="F1171" s="566">
        <v>1</v>
      </c>
      <c r="G1171" s="662">
        <v>0</v>
      </c>
      <c r="H1171" s="662">
        <v>0</v>
      </c>
      <c r="I1171" s="662">
        <v>30924.095590613248</v>
      </c>
      <c r="J1171" s="662">
        <v>31707.797454855139</v>
      </c>
      <c r="K1171" s="566" t="s">
        <v>4047</v>
      </c>
      <c r="L1171" s="549"/>
      <c r="M1171" s="540"/>
      <c r="O1171" s="540"/>
      <c r="S1171" s="550"/>
      <c r="T1171" s="547"/>
      <c r="U1171" s="547"/>
      <c r="V1171" s="547"/>
      <c r="W1171" s="549"/>
    </row>
    <row r="1172" spans="1:23">
      <c r="A1172" s="565">
        <v>1866</v>
      </c>
      <c r="B1172" s="696" t="s">
        <v>6577</v>
      </c>
      <c r="C1172" s="566">
        <f t="shared" si="18"/>
        <v>1866</v>
      </c>
      <c r="D1172" s="700" t="s">
        <v>2226</v>
      </c>
      <c r="E1172" s="701" t="s">
        <v>9049</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6578</v>
      </c>
      <c r="C1173" s="566">
        <f t="shared" si="18"/>
        <v>1867</v>
      </c>
      <c r="D1173" s="700" t="s">
        <v>2226</v>
      </c>
      <c r="E1173" s="701" t="s">
        <v>9050</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6579</v>
      </c>
      <c r="C1174" s="566">
        <f t="shared" si="18"/>
        <v>1868</v>
      </c>
      <c r="D1174" s="700" t="s">
        <v>2226</v>
      </c>
      <c r="E1174" s="701" t="s">
        <v>9051</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6580</v>
      </c>
      <c r="C1175" s="566">
        <f t="shared" si="18"/>
        <v>1869</v>
      </c>
      <c r="D1175" s="700" t="s">
        <v>2226</v>
      </c>
      <c r="E1175" s="701" t="s">
        <v>9052</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6581</v>
      </c>
      <c r="C1176" s="566">
        <f t="shared" si="18"/>
        <v>1870</v>
      </c>
      <c r="D1176" s="700" t="s">
        <v>2226</v>
      </c>
      <c r="E1176" s="701" t="s">
        <v>9053</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6582</v>
      </c>
      <c r="C1177" s="566">
        <f t="shared" si="18"/>
        <v>1871</v>
      </c>
      <c r="D1177" s="700" t="s">
        <v>2226</v>
      </c>
      <c r="E1177" s="701" t="s">
        <v>9054</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6583</v>
      </c>
      <c r="C1178" s="566">
        <f t="shared" si="18"/>
        <v>1872</v>
      </c>
      <c r="D1178" s="700" t="s">
        <v>2226</v>
      </c>
      <c r="E1178" s="701" t="s">
        <v>9055</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6584</v>
      </c>
      <c r="C1179" s="566">
        <f t="shared" si="18"/>
        <v>1873</v>
      </c>
      <c r="D1179" s="700" t="s">
        <v>2226</v>
      </c>
      <c r="E1179" s="701" t="s">
        <v>9056</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6585</v>
      </c>
      <c r="C1180" s="566">
        <f t="shared" si="18"/>
        <v>1874</v>
      </c>
      <c r="D1180" s="700" t="s">
        <v>2226</v>
      </c>
      <c r="E1180" s="701" t="s">
        <v>9057</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6586</v>
      </c>
      <c r="C1181" s="566">
        <f t="shared" si="18"/>
        <v>1875</v>
      </c>
      <c r="D1181" s="700" t="s">
        <v>2226</v>
      </c>
      <c r="E1181" s="701" t="s">
        <v>9058</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6587</v>
      </c>
      <c r="C1182" s="566">
        <f t="shared" si="18"/>
        <v>1876</v>
      </c>
      <c r="D1182" s="700" t="s">
        <v>2226</v>
      </c>
      <c r="E1182" s="701" t="s">
        <v>9059</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6588</v>
      </c>
      <c r="C1183" s="566">
        <f t="shared" si="18"/>
        <v>1877</v>
      </c>
      <c r="D1183" s="700" t="s">
        <v>2226</v>
      </c>
      <c r="E1183" s="701" t="s">
        <v>9060</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6589</v>
      </c>
      <c r="C1184" s="566">
        <f t="shared" si="18"/>
        <v>1878</v>
      </c>
      <c r="D1184" s="700" t="s">
        <v>2226</v>
      </c>
      <c r="E1184" s="701" t="s">
        <v>9061</v>
      </c>
      <c r="F1184" s="566">
        <v>1</v>
      </c>
      <c r="G1184" s="662">
        <v>0</v>
      </c>
      <c r="H1184" s="662">
        <v>0</v>
      </c>
      <c r="I1184" s="662">
        <v>26061.80992345521</v>
      </c>
      <c r="J1184" s="662">
        <v>26988.92492528649</v>
      </c>
      <c r="K1184" s="566" t="s">
        <v>4048</v>
      </c>
      <c r="L1184" s="549"/>
      <c r="M1184" s="540"/>
      <c r="O1184" s="540"/>
      <c r="S1184" s="550"/>
      <c r="T1184" s="547"/>
      <c r="U1184" s="547"/>
      <c r="V1184" s="547"/>
      <c r="W1184" s="549"/>
    </row>
    <row r="1185" spans="1:23">
      <c r="A1185" s="565">
        <v>1879</v>
      </c>
      <c r="B1185" s="696" t="s">
        <v>6590</v>
      </c>
      <c r="C1185" s="566">
        <f t="shared" si="18"/>
        <v>1879</v>
      </c>
      <c r="D1185" s="700" t="s">
        <v>2226</v>
      </c>
      <c r="E1185" s="701" t="s">
        <v>9062</v>
      </c>
      <c r="F1185" s="566">
        <v>1</v>
      </c>
      <c r="G1185" s="662">
        <v>0</v>
      </c>
      <c r="H1185" s="662">
        <v>0</v>
      </c>
      <c r="I1185" s="662">
        <v>0</v>
      </c>
      <c r="J1185" s="662">
        <v>21532.974015103377</v>
      </c>
      <c r="K1185" s="566" t="s">
        <v>4779</v>
      </c>
      <c r="L1185" s="549"/>
      <c r="M1185" s="540"/>
      <c r="O1185" s="540"/>
      <c r="S1185" s="550"/>
      <c r="T1185" s="547"/>
      <c r="U1185" s="547"/>
      <c r="V1185" s="547"/>
      <c r="W1185" s="549"/>
    </row>
    <row r="1186" spans="1:23">
      <c r="A1186" s="565">
        <v>1880</v>
      </c>
      <c r="B1186" s="696" t="s">
        <v>6591</v>
      </c>
      <c r="C1186" s="566">
        <f t="shared" si="18"/>
        <v>1880</v>
      </c>
      <c r="D1186" s="700" t="s">
        <v>2226</v>
      </c>
      <c r="E1186" s="701" t="s">
        <v>9063</v>
      </c>
      <c r="F1186" s="566">
        <v>1</v>
      </c>
      <c r="G1186" s="662">
        <v>0</v>
      </c>
      <c r="H1186" s="662">
        <v>0</v>
      </c>
      <c r="I1186" s="662">
        <v>0</v>
      </c>
      <c r="J1186" s="662">
        <v>24809.276560838054</v>
      </c>
      <c r="K1186" s="566" t="s">
        <v>4780</v>
      </c>
      <c r="L1186" s="549"/>
      <c r="M1186" s="540"/>
      <c r="O1186" s="540"/>
      <c r="S1186" s="550"/>
      <c r="T1186" s="547"/>
      <c r="U1186" s="547"/>
      <c r="V1186" s="547"/>
      <c r="W1186" s="549"/>
    </row>
    <row r="1187" spans="1:23">
      <c r="A1187" s="565">
        <v>1881</v>
      </c>
      <c r="B1187" s="696" t="s">
        <v>6592</v>
      </c>
      <c r="C1187" s="566">
        <f t="shared" si="18"/>
        <v>1881</v>
      </c>
      <c r="D1187" s="700" t="s">
        <v>2226</v>
      </c>
      <c r="E1187" s="701" t="s">
        <v>9064</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6593</v>
      </c>
      <c r="C1188" s="566">
        <f t="shared" si="18"/>
        <v>1882</v>
      </c>
      <c r="D1188" s="700" t="s">
        <v>2226</v>
      </c>
      <c r="E1188" s="701" t="s">
        <v>9065</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6594</v>
      </c>
      <c r="C1189" s="566">
        <f t="shared" si="18"/>
        <v>1883</v>
      </c>
      <c r="D1189" s="700" t="s">
        <v>2226</v>
      </c>
      <c r="E1189" s="701" t="s">
        <v>9066</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6595</v>
      </c>
      <c r="C1190" s="566">
        <f t="shared" si="18"/>
        <v>1884</v>
      </c>
      <c r="D1190" s="700" t="s">
        <v>2226</v>
      </c>
      <c r="E1190" s="701" t="s">
        <v>9067</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6596</v>
      </c>
      <c r="C1191" s="566">
        <f t="shared" si="18"/>
        <v>1885</v>
      </c>
      <c r="D1191" s="700" t="s">
        <v>2226</v>
      </c>
      <c r="E1191" s="701" t="s">
        <v>9068</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6597</v>
      </c>
      <c r="C1192" s="566">
        <f t="shared" si="18"/>
        <v>1886</v>
      </c>
      <c r="D1192" s="700" t="s">
        <v>2226</v>
      </c>
      <c r="E1192" s="701" t="s">
        <v>9069</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6598</v>
      </c>
      <c r="C1193" s="566">
        <f t="shared" si="18"/>
        <v>1887</v>
      </c>
      <c r="D1193" s="700" t="s">
        <v>2226</v>
      </c>
      <c r="E1193" s="701" t="s">
        <v>9070</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6599</v>
      </c>
      <c r="C1194" s="566">
        <f t="shared" si="18"/>
        <v>1888</v>
      </c>
      <c r="D1194" s="700" t="s">
        <v>2226</v>
      </c>
      <c r="E1194" s="701" t="s">
        <v>9071</v>
      </c>
      <c r="F1194" s="566">
        <v>2</v>
      </c>
      <c r="G1194" s="662">
        <v>0</v>
      </c>
      <c r="H1194" s="662">
        <v>0</v>
      </c>
      <c r="I1194" s="662">
        <v>26975.081116108002</v>
      </c>
      <c r="J1194" s="662">
        <v>27574.804939846068</v>
      </c>
      <c r="K1194" s="566" t="s">
        <v>4049</v>
      </c>
      <c r="L1194" s="549"/>
      <c r="M1194" s="540"/>
      <c r="O1194" s="540"/>
      <c r="S1194" s="550"/>
      <c r="T1194" s="547"/>
      <c r="U1194" s="547"/>
      <c r="V1194" s="547"/>
      <c r="W1194" s="549"/>
    </row>
    <row r="1195" spans="1:23">
      <c r="A1195" s="565">
        <v>1889</v>
      </c>
      <c r="B1195" s="696" t="s">
        <v>6600</v>
      </c>
      <c r="C1195" s="566">
        <f t="shared" si="18"/>
        <v>1889</v>
      </c>
      <c r="D1195" s="700" t="s">
        <v>2226</v>
      </c>
      <c r="E1195" s="701" t="s">
        <v>9072</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6601</v>
      </c>
      <c r="C1196" s="566">
        <f t="shared" si="18"/>
        <v>1890</v>
      </c>
      <c r="D1196" s="700" t="s">
        <v>2226</v>
      </c>
      <c r="E1196" s="701" t="s">
        <v>9073</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6602</v>
      </c>
      <c r="C1197" s="566">
        <f t="shared" si="18"/>
        <v>1891</v>
      </c>
      <c r="D1197" s="700" t="s">
        <v>2226</v>
      </c>
      <c r="E1197" s="701" t="s">
        <v>9074</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6603</v>
      </c>
      <c r="C1198" s="566">
        <f t="shared" si="18"/>
        <v>1892</v>
      </c>
      <c r="D1198" s="700" t="s">
        <v>2226</v>
      </c>
      <c r="E1198" s="701" t="s">
        <v>9075</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6604</v>
      </c>
      <c r="C1199" s="566">
        <f t="shared" si="18"/>
        <v>1893</v>
      </c>
      <c r="D1199" s="700" t="s">
        <v>2226</v>
      </c>
      <c r="E1199" s="701" t="s">
        <v>9076</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6605</v>
      </c>
      <c r="C1200" s="566">
        <f t="shared" si="18"/>
        <v>1894</v>
      </c>
      <c r="D1200" s="700" t="s">
        <v>2226</v>
      </c>
      <c r="E1200" s="701" t="s">
        <v>9077</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6606</v>
      </c>
      <c r="C1201" s="566">
        <f t="shared" si="18"/>
        <v>1895</v>
      </c>
      <c r="D1201" s="700" t="s">
        <v>2226</v>
      </c>
      <c r="E1201" s="701" t="s">
        <v>9078</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6607</v>
      </c>
      <c r="C1202" s="566">
        <f t="shared" si="18"/>
        <v>1896</v>
      </c>
      <c r="D1202" s="700" t="s">
        <v>2226</v>
      </c>
      <c r="E1202" s="701" t="s">
        <v>9079</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6608</v>
      </c>
      <c r="C1203" s="566">
        <f t="shared" si="18"/>
        <v>1897</v>
      </c>
      <c r="D1203" s="699" t="s">
        <v>2226</v>
      </c>
      <c r="E1203" s="701" t="s">
        <v>9080</v>
      </c>
      <c r="F1203" s="567">
        <v>1</v>
      </c>
      <c r="G1203" s="662">
        <v>0</v>
      </c>
      <c r="H1203" s="662">
        <v>0</v>
      </c>
      <c r="I1203" s="662">
        <v>0</v>
      </c>
      <c r="J1203" s="662">
        <v>15763.613625088856</v>
      </c>
      <c r="K1203" s="568" t="s">
        <v>4781</v>
      </c>
      <c r="L1203" s="549"/>
      <c r="M1203" s="540"/>
      <c r="O1203" s="540"/>
      <c r="S1203" s="550"/>
      <c r="T1203" s="547"/>
      <c r="U1203" s="547"/>
      <c r="V1203" s="547"/>
      <c r="W1203" s="549"/>
    </row>
    <row r="1204" spans="1:23">
      <c r="A1204" s="565">
        <v>1898</v>
      </c>
      <c r="B1204" s="695" t="s">
        <v>6609</v>
      </c>
      <c r="C1204" s="566">
        <f t="shared" si="18"/>
        <v>1898</v>
      </c>
      <c r="D1204" s="699" t="s">
        <v>2226</v>
      </c>
      <c r="E1204" s="701" t="s">
        <v>9081</v>
      </c>
      <c r="F1204" s="567">
        <v>1</v>
      </c>
      <c r="G1204" s="662">
        <v>0</v>
      </c>
      <c r="H1204" s="662">
        <v>0</v>
      </c>
      <c r="I1204" s="662">
        <v>0</v>
      </c>
      <c r="J1204" s="662">
        <v>17896.082747401801</v>
      </c>
      <c r="K1204" s="568" t="s">
        <v>4782</v>
      </c>
      <c r="L1204" s="549"/>
      <c r="M1204" s="540"/>
      <c r="O1204" s="540"/>
      <c r="S1204" s="550"/>
      <c r="T1204" s="547"/>
      <c r="U1204" s="547"/>
      <c r="V1204" s="547"/>
      <c r="W1204" s="549"/>
    </row>
    <row r="1205" spans="1:23">
      <c r="A1205" s="565">
        <v>1899</v>
      </c>
      <c r="B1205" s="696" t="s">
        <v>6610</v>
      </c>
      <c r="C1205" s="566">
        <f t="shared" si="18"/>
        <v>1899</v>
      </c>
      <c r="D1205" s="700" t="s">
        <v>2226</v>
      </c>
      <c r="E1205" s="701" t="s">
        <v>9082</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6611</v>
      </c>
      <c r="C1206" s="566">
        <f t="shared" si="18"/>
        <v>1900</v>
      </c>
      <c r="D1206" s="700" t="s">
        <v>2226</v>
      </c>
      <c r="E1206" s="701" t="s">
        <v>9083</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6612</v>
      </c>
      <c r="C1207" s="566">
        <f t="shared" si="18"/>
        <v>1901</v>
      </c>
      <c r="D1207" s="700" t="s">
        <v>2226</v>
      </c>
      <c r="E1207" s="701" t="s">
        <v>9084</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6613</v>
      </c>
      <c r="C1208" s="566">
        <f t="shared" si="18"/>
        <v>1902</v>
      </c>
      <c r="D1208" s="700" t="s">
        <v>2226</v>
      </c>
      <c r="E1208" s="701" t="s">
        <v>9085</v>
      </c>
      <c r="F1208" s="566">
        <v>1</v>
      </c>
      <c r="G1208" s="662">
        <v>0</v>
      </c>
      <c r="H1208" s="662">
        <v>0</v>
      </c>
      <c r="I1208" s="662">
        <v>0</v>
      </c>
      <c r="J1208" s="662">
        <v>8513.7141898081554</v>
      </c>
      <c r="K1208" s="566" t="s">
        <v>4783</v>
      </c>
      <c r="L1208" s="549"/>
      <c r="M1208" s="540"/>
      <c r="O1208" s="540"/>
      <c r="S1208" s="550"/>
      <c r="T1208" s="547"/>
      <c r="U1208" s="547"/>
      <c r="V1208" s="547"/>
      <c r="W1208" s="549"/>
    </row>
    <row r="1209" spans="1:23">
      <c r="A1209" s="565">
        <v>1903</v>
      </c>
      <c r="B1209" s="696" t="s">
        <v>6614</v>
      </c>
      <c r="C1209" s="566">
        <f t="shared" si="18"/>
        <v>1903</v>
      </c>
      <c r="D1209" s="700" t="s">
        <v>2226</v>
      </c>
      <c r="E1209" s="701" t="s">
        <v>9086</v>
      </c>
      <c r="F1209" s="566">
        <v>1</v>
      </c>
      <c r="G1209" s="662">
        <v>0</v>
      </c>
      <c r="H1209" s="662">
        <v>0</v>
      </c>
      <c r="I1209" s="662">
        <v>0</v>
      </c>
      <c r="J1209" s="662">
        <v>8884.9910352652005</v>
      </c>
      <c r="K1209" s="566" t="s">
        <v>4784</v>
      </c>
      <c r="L1209" s="549"/>
      <c r="M1209" s="540"/>
      <c r="O1209" s="540"/>
      <c r="S1209" s="550"/>
      <c r="T1209" s="547"/>
      <c r="U1209" s="547"/>
      <c r="V1209" s="547"/>
      <c r="W1209" s="549"/>
    </row>
    <row r="1210" spans="1:23">
      <c r="A1210" s="565">
        <v>1904</v>
      </c>
      <c r="B1210" s="696" t="s">
        <v>6615</v>
      </c>
      <c r="C1210" s="566">
        <f t="shared" si="18"/>
        <v>1904</v>
      </c>
      <c r="D1210" s="700" t="s">
        <v>2226</v>
      </c>
      <c r="E1210" s="701" t="s">
        <v>9087</v>
      </c>
      <c r="F1210" s="566">
        <v>1</v>
      </c>
      <c r="G1210" s="662">
        <v>0</v>
      </c>
      <c r="H1210" s="662">
        <v>0</v>
      </c>
      <c r="I1210" s="662">
        <v>0</v>
      </c>
      <c r="J1210" s="662">
        <v>11574.096187361223</v>
      </c>
      <c r="K1210" s="566" t="s">
        <v>4785</v>
      </c>
      <c r="L1210" s="549"/>
      <c r="M1210" s="540"/>
      <c r="O1210" s="540"/>
      <c r="S1210" s="550"/>
      <c r="T1210" s="547"/>
      <c r="U1210" s="547"/>
      <c r="V1210" s="547"/>
      <c r="W1210" s="549"/>
    </row>
    <row r="1211" spans="1:23">
      <c r="A1211" s="565">
        <v>1905</v>
      </c>
      <c r="B1211" s="696" t="s">
        <v>6616</v>
      </c>
      <c r="C1211" s="566">
        <f t="shared" si="18"/>
        <v>1905</v>
      </c>
      <c r="D1211" s="700" t="s">
        <v>2226</v>
      </c>
      <c r="E1211" s="701" t="s">
        <v>9088</v>
      </c>
      <c r="F1211" s="566">
        <v>1</v>
      </c>
      <c r="G1211" s="662">
        <v>0</v>
      </c>
      <c r="H1211" s="662">
        <v>0</v>
      </c>
      <c r="I1211" s="662">
        <v>0</v>
      </c>
      <c r="J1211" s="662">
        <v>11648.35155645263</v>
      </c>
      <c r="K1211" s="566" t="s">
        <v>4786</v>
      </c>
      <c r="L1211" s="549"/>
      <c r="M1211" s="540"/>
      <c r="O1211" s="540"/>
      <c r="S1211" s="550"/>
      <c r="T1211" s="547"/>
      <c r="U1211" s="547"/>
      <c r="V1211" s="547"/>
      <c r="W1211" s="549"/>
    </row>
    <row r="1212" spans="1:23">
      <c r="A1212" s="565">
        <v>1906</v>
      </c>
      <c r="B1212" s="696" t="s">
        <v>6617</v>
      </c>
      <c r="C1212" s="566">
        <f t="shared" si="18"/>
        <v>1906</v>
      </c>
      <c r="D1212" s="700" t="s">
        <v>2226</v>
      </c>
      <c r="E1212" s="701" t="s">
        <v>9089</v>
      </c>
      <c r="F1212" s="566">
        <v>1</v>
      </c>
      <c r="G1212" s="662">
        <v>0</v>
      </c>
      <c r="H1212" s="662">
        <v>0</v>
      </c>
      <c r="I1212" s="662">
        <v>0</v>
      </c>
      <c r="J1212" s="662">
        <v>10942.925550084245</v>
      </c>
      <c r="K1212" s="566" t="s">
        <v>4787</v>
      </c>
      <c r="L1212" s="549"/>
      <c r="M1212" s="540"/>
      <c r="O1212" s="540"/>
      <c r="S1212" s="550"/>
      <c r="T1212" s="547"/>
      <c r="U1212" s="547"/>
      <c r="V1212" s="547"/>
      <c r="W1212" s="549"/>
    </row>
    <row r="1213" spans="1:23">
      <c r="A1213" s="565">
        <v>1907</v>
      </c>
      <c r="B1213" s="696" t="s">
        <v>6618</v>
      </c>
      <c r="C1213" s="566">
        <f t="shared" si="18"/>
        <v>1907</v>
      </c>
      <c r="D1213" s="700" t="s">
        <v>2226</v>
      </c>
      <c r="E1213" s="701" t="s">
        <v>9090</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6619</v>
      </c>
      <c r="C1214" s="566">
        <f t="shared" si="18"/>
        <v>1908</v>
      </c>
      <c r="D1214" s="700" t="s">
        <v>2226</v>
      </c>
      <c r="E1214" s="701" t="s">
        <v>9091</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6620</v>
      </c>
      <c r="C1215" s="566">
        <f t="shared" si="18"/>
        <v>1909</v>
      </c>
      <c r="D1215" s="699" t="s">
        <v>2226</v>
      </c>
      <c r="E1215" s="701" t="s">
        <v>9092</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6621</v>
      </c>
      <c r="C1216" s="566">
        <f t="shared" si="18"/>
        <v>1910</v>
      </c>
      <c r="D1216" s="700" t="s">
        <v>2226</v>
      </c>
      <c r="E1216" s="701" t="s">
        <v>9093</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6622</v>
      </c>
      <c r="C1217" s="566">
        <f t="shared" si="18"/>
        <v>1911</v>
      </c>
      <c r="D1217" s="700" t="s">
        <v>2226</v>
      </c>
      <c r="E1217" s="701" t="s">
        <v>9094</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6623</v>
      </c>
      <c r="C1218" s="566">
        <f t="shared" si="18"/>
        <v>1912</v>
      </c>
      <c r="D1218" s="700" t="s">
        <v>2226</v>
      </c>
      <c r="E1218" s="701" t="s">
        <v>9095</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6624</v>
      </c>
      <c r="C1219" s="566">
        <f t="shared" si="18"/>
        <v>1913</v>
      </c>
      <c r="D1219" s="700" t="s">
        <v>2226</v>
      </c>
      <c r="E1219" s="701" t="s">
        <v>9096</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6625</v>
      </c>
      <c r="C1220" s="566">
        <f t="shared" si="18"/>
        <v>1914</v>
      </c>
      <c r="D1220" s="700" t="s">
        <v>2226</v>
      </c>
      <c r="E1220" s="701" t="s">
        <v>9097</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6626</v>
      </c>
      <c r="C1221" s="566">
        <f t="shared" si="18"/>
        <v>1915</v>
      </c>
      <c r="D1221" s="699" t="s">
        <v>2226</v>
      </c>
      <c r="E1221" s="701" t="s">
        <v>9098</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6627</v>
      </c>
      <c r="C1222" s="566">
        <f t="shared" si="18"/>
        <v>1916</v>
      </c>
      <c r="D1222" s="699" t="s">
        <v>2226</v>
      </c>
      <c r="E1222" s="701" t="s">
        <v>9099</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6628</v>
      </c>
      <c r="C1223" s="566">
        <f t="shared" si="18"/>
        <v>1917</v>
      </c>
      <c r="D1223" s="699" t="s">
        <v>2226</v>
      </c>
      <c r="E1223" s="701" t="s">
        <v>9100</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6629</v>
      </c>
      <c r="C1224" s="566">
        <f t="shared" si="18"/>
        <v>1918</v>
      </c>
      <c r="D1224" s="700" t="s">
        <v>2226</v>
      </c>
      <c r="E1224" s="701" t="s">
        <v>9101</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6630</v>
      </c>
      <c r="C1225" s="566">
        <f t="shared" ref="C1225:C1288" si="19">A1225</f>
        <v>1919</v>
      </c>
      <c r="D1225" s="700" t="s">
        <v>2226</v>
      </c>
      <c r="E1225" s="701" t="s">
        <v>9102</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6631</v>
      </c>
      <c r="C1226" s="566">
        <f t="shared" si="19"/>
        <v>1920</v>
      </c>
      <c r="D1226" s="700" t="s">
        <v>2226</v>
      </c>
      <c r="E1226" s="701" t="s">
        <v>9103</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6632</v>
      </c>
      <c r="C1227" s="566">
        <f t="shared" si="19"/>
        <v>1921</v>
      </c>
      <c r="D1227" s="700" t="s">
        <v>2226</v>
      </c>
      <c r="E1227" s="701" t="s">
        <v>9104</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6633</v>
      </c>
      <c r="C1228" s="566">
        <f t="shared" si="19"/>
        <v>1922</v>
      </c>
      <c r="D1228" s="700" t="s">
        <v>2226</v>
      </c>
      <c r="E1228" s="701" t="s">
        <v>9105</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6634</v>
      </c>
      <c r="C1229" s="566">
        <f t="shared" si="19"/>
        <v>1923</v>
      </c>
      <c r="D1229" s="700" t="s">
        <v>2226</v>
      </c>
      <c r="E1229" s="701" t="s">
        <v>9106</v>
      </c>
      <c r="F1229" s="566">
        <v>1</v>
      </c>
      <c r="G1229" s="662">
        <v>0</v>
      </c>
      <c r="H1229" s="662">
        <v>0</v>
      </c>
      <c r="I1229" s="662">
        <v>15688.296341166053</v>
      </c>
      <c r="J1229" s="662">
        <v>16041.025074490326</v>
      </c>
      <c r="K1229" s="566" t="s">
        <v>4050</v>
      </c>
      <c r="L1229" s="549"/>
      <c r="M1229" s="540"/>
      <c r="O1229" s="540"/>
      <c r="S1229" s="550"/>
      <c r="T1229" s="547"/>
      <c r="U1229" s="547"/>
      <c r="V1229" s="547"/>
      <c r="W1229" s="549"/>
    </row>
    <row r="1230" spans="1:23">
      <c r="A1230" s="565">
        <v>1924</v>
      </c>
      <c r="B1230" s="696" t="s">
        <v>6635</v>
      </c>
      <c r="C1230" s="566">
        <f t="shared" si="19"/>
        <v>1924</v>
      </c>
      <c r="D1230" s="700" t="s">
        <v>2226</v>
      </c>
      <c r="E1230" s="701" t="s">
        <v>9107</v>
      </c>
      <c r="F1230" s="566">
        <v>1</v>
      </c>
      <c r="G1230" s="662">
        <v>0</v>
      </c>
      <c r="H1230" s="662">
        <v>0</v>
      </c>
      <c r="I1230" s="662">
        <v>17786.218437259566</v>
      </c>
      <c r="J1230" s="662">
        <v>18194.172518176059</v>
      </c>
      <c r="K1230" s="566" t="s">
        <v>4051</v>
      </c>
      <c r="L1230" s="549"/>
      <c r="M1230" s="540"/>
      <c r="O1230" s="540"/>
      <c r="S1230" s="550"/>
      <c r="T1230" s="547"/>
      <c r="U1230" s="547"/>
      <c r="V1230" s="547"/>
      <c r="W1230" s="549"/>
    </row>
    <row r="1231" spans="1:23">
      <c r="A1231" s="565">
        <v>1925</v>
      </c>
      <c r="B1231" s="695" t="s">
        <v>6636</v>
      </c>
      <c r="C1231" s="566">
        <f t="shared" si="19"/>
        <v>1925</v>
      </c>
      <c r="D1231" s="699" t="s">
        <v>2226</v>
      </c>
      <c r="E1231" s="701" t="s">
        <v>9108</v>
      </c>
      <c r="F1231" s="567">
        <v>1</v>
      </c>
      <c r="G1231" s="662">
        <v>0</v>
      </c>
      <c r="H1231" s="662">
        <v>0</v>
      </c>
      <c r="I1231" s="662">
        <v>19267.401989441256</v>
      </c>
      <c r="J1231" s="662">
        <v>19714.34527811869</v>
      </c>
      <c r="K1231" s="568" t="s">
        <v>4052</v>
      </c>
      <c r="L1231" s="549"/>
      <c r="M1231" s="540"/>
      <c r="O1231" s="540"/>
      <c r="S1231" s="550"/>
      <c r="T1231" s="547"/>
      <c r="U1231" s="547"/>
      <c r="V1231" s="547"/>
      <c r="W1231" s="549"/>
    </row>
    <row r="1232" spans="1:23">
      <c r="A1232" s="565">
        <v>1926</v>
      </c>
      <c r="B1232" s="696" t="s">
        <v>6637</v>
      </c>
      <c r="C1232" s="566">
        <f t="shared" si="19"/>
        <v>1926</v>
      </c>
      <c r="D1232" s="700" t="s">
        <v>2226</v>
      </c>
      <c r="E1232" s="701" t="s">
        <v>9109</v>
      </c>
      <c r="F1232" s="566">
        <v>1</v>
      </c>
      <c r="G1232" s="662">
        <v>0</v>
      </c>
      <c r="H1232" s="662">
        <v>0</v>
      </c>
      <c r="I1232" s="662">
        <v>0</v>
      </c>
      <c r="J1232" s="662">
        <v>19843.698661621162</v>
      </c>
      <c r="K1232" s="566" t="s">
        <v>4788</v>
      </c>
      <c r="L1232" s="549"/>
      <c r="M1232" s="540"/>
      <c r="O1232" s="540"/>
      <c r="S1232" s="550"/>
      <c r="T1232" s="547"/>
      <c r="U1232" s="547"/>
      <c r="V1232" s="547"/>
      <c r="W1232" s="549"/>
    </row>
    <row r="1233" spans="1:23">
      <c r="A1233" s="565">
        <v>1927</v>
      </c>
      <c r="B1233" s="696" t="s">
        <v>6638</v>
      </c>
      <c r="C1233" s="566">
        <f t="shared" si="19"/>
        <v>1927</v>
      </c>
      <c r="D1233" s="700" t="s">
        <v>2227</v>
      </c>
      <c r="E1233" s="701" t="s">
        <v>9110</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6639</v>
      </c>
      <c r="C1234" s="566">
        <f t="shared" si="19"/>
        <v>1928</v>
      </c>
      <c r="D1234" s="700" t="s">
        <v>2227</v>
      </c>
      <c r="E1234" s="701" t="s">
        <v>8600</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6640</v>
      </c>
      <c r="C1235" s="566">
        <f t="shared" si="19"/>
        <v>1929</v>
      </c>
      <c r="D1235" s="700" t="s">
        <v>2227</v>
      </c>
      <c r="E1235" s="701" t="s">
        <v>9111</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6641</v>
      </c>
      <c r="C1236" s="566">
        <f t="shared" si="19"/>
        <v>1930</v>
      </c>
      <c r="D1236" s="700" t="s">
        <v>2227</v>
      </c>
      <c r="E1236" s="701" t="s">
        <v>8601</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6642</v>
      </c>
      <c r="C1237" s="566">
        <f t="shared" si="19"/>
        <v>1931</v>
      </c>
      <c r="D1237" s="700" t="s">
        <v>2227</v>
      </c>
      <c r="E1237" s="701" t="s">
        <v>8602</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6643</v>
      </c>
      <c r="C1238" s="566">
        <f t="shared" si="19"/>
        <v>1932</v>
      </c>
      <c r="D1238" s="700" t="s">
        <v>2227</v>
      </c>
      <c r="E1238" s="701" t="s">
        <v>9112</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6644</v>
      </c>
      <c r="C1239" s="566">
        <f t="shared" si="19"/>
        <v>1933</v>
      </c>
      <c r="D1239" s="700" t="s">
        <v>2227</v>
      </c>
      <c r="E1239" s="701" t="s">
        <v>9113</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6645</v>
      </c>
      <c r="C1240" s="566">
        <f t="shared" si="19"/>
        <v>1934</v>
      </c>
      <c r="D1240" s="700" t="s">
        <v>2227</v>
      </c>
      <c r="E1240" s="701" t="s">
        <v>9114</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6646</v>
      </c>
      <c r="C1241" s="566">
        <f t="shared" si="19"/>
        <v>1935</v>
      </c>
      <c r="D1241" s="700" t="s">
        <v>2227</v>
      </c>
      <c r="E1241" s="701" t="s">
        <v>9115</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6647</v>
      </c>
      <c r="C1242" s="566">
        <f t="shared" si="19"/>
        <v>1936</v>
      </c>
      <c r="D1242" s="700" t="s">
        <v>2227</v>
      </c>
      <c r="E1242" s="701" t="s">
        <v>9116</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6648</v>
      </c>
      <c r="C1243" s="566">
        <f t="shared" si="19"/>
        <v>1937</v>
      </c>
      <c r="D1243" s="700" t="s">
        <v>2227</v>
      </c>
      <c r="E1243" s="701" t="s">
        <v>9117</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6649</v>
      </c>
      <c r="C1244" s="566">
        <f t="shared" si="19"/>
        <v>1938</v>
      </c>
      <c r="D1244" s="700" t="s">
        <v>2228</v>
      </c>
      <c r="E1244" s="701" t="s">
        <v>9118</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6650</v>
      </c>
      <c r="C1245" s="566">
        <f t="shared" si="19"/>
        <v>1939</v>
      </c>
      <c r="D1245" s="700" t="s">
        <v>2228</v>
      </c>
      <c r="E1245" s="701" t="s">
        <v>9119</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6651</v>
      </c>
      <c r="C1246" s="566">
        <f t="shared" si="19"/>
        <v>1940</v>
      </c>
      <c r="D1246" s="700" t="s">
        <v>2228</v>
      </c>
      <c r="E1246" s="701" t="s">
        <v>9120</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6652</v>
      </c>
      <c r="C1247" s="566">
        <f t="shared" si="19"/>
        <v>1941</v>
      </c>
      <c r="D1247" s="700" t="s">
        <v>2228</v>
      </c>
      <c r="E1247" s="701" t="s">
        <v>9121</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6653</v>
      </c>
      <c r="C1248" s="566">
        <f t="shared" si="19"/>
        <v>1942</v>
      </c>
      <c r="D1248" s="700" t="s">
        <v>2228</v>
      </c>
      <c r="E1248" s="701" t="s">
        <v>9122</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6654</v>
      </c>
      <c r="C1249" s="566">
        <f t="shared" si="19"/>
        <v>1943</v>
      </c>
      <c r="D1249" s="700" t="s">
        <v>2228</v>
      </c>
      <c r="E1249" s="701" t="s">
        <v>9123</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6655</v>
      </c>
      <c r="C1250" s="566">
        <f t="shared" si="19"/>
        <v>1944</v>
      </c>
      <c r="D1250" s="700" t="s">
        <v>2228</v>
      </c>
      <c r="E1250" s="701" t="s">
        <v>9124</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6656</v>
      </c>
      <c r="C1251" s="566">
        <f t="shared" si="19"/>
        <v>1945</v>
      </c>
      <c r="D1251" s="700" t="s">
        <v>2228</v>
      </c>
      <c r="E1251" s="701" t="s">
        <v>9125</v>
      </c>
      <c r="F1251" s="566">
        <v>2</v>
      </c>
      <c r="G1251" s="662">
        <v>0</v>
      </c>
      <c r="H1251" s="662">
        <v>0</v>
      </c>
      <c r="I1251" s="662">
        <v>0</v>
      </c>
      <c r="J1251" s="662">
        <v>40328.319037984416</v>
      </c>
      <c r="K1251" s="566" t="s">
        <v>4789</v>
      </c>
      <c r="L1251" s="549"/>
      <c r="M1251" s="540"/>
      <c r="O1251" s="540"/>
      <c r="S1251" s="550"/>
      <c r="T1251" s="547"/>
      <c r="U1251" s="547"/>
      <c r="V1251" s="547"/>
      <c r="W1251" s="549"/>
    </row>
    <row r="1252" spans="1:23">
      <c r="A1252" s="565">
        <v>1946</v>
      </c>
      <c r="B1252" s="696" t="s">
        <v>6657</v>
      </c>
      <c r="C1252" s="566">
        <f t="shared" si="19"/>
        <v>1946</v>
      </c>
      <c r="D1252" s="700" t="s">
        <v>2228</v>
      </c>
      <c r="E1252" s="701" t="s">
        <v>9126</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6658</v>
      </c>
      <c r="C1253" s="566">
        <f t="shared" si="19"/>
        <v>1947</v>
      </c>
      <c r="D1253" s="700" t="s">
        <v>2228</v>
      </c>
      <c r="E1253" s="701" t="s">
        <v>9127</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6659</v>
      </c>
      <c r="C1254" s="566">
        <f t="shared" si="19"/>
        <v>1948</v>
      </c>
      <c r="D1254" s="700" t="s">
        <v>2228</v>
      </c>
      <c r="E1254" s="701" t="s">
        <v>9128</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6660</v>
      </c>
      <c r="C1255" s="566">
        <f t="shared" si="19"/>
        <v>1949</v>
      </c>
      <c r="D1255" s="699" t="s">
        <v>2228</v>
      </c>
      <c r="E1255" s="701" t="s">
        <v>9129</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6661</v>
      </c>
      <c r="C1256" s="566">
        <f t="shared" si="19"/>
        <v>1950</v>
      </c>
      <c r="D1256" s="700" t="s">
        <v>2228</v>
      </c>
      <c r="E1256" s="701" t="s">
        <v>9130</v>
      </c>
      <c r="F1256" s="566">
        <v>2</v>
      </c>
      <c r="G1256" s="662">
        <v>0</v>
      </c>
      <c r="H1256" s="662">
        <v>0</v>
      </c>
      <c r="I1256" s="662">
        <v>0</v>
      </c>
      <c r="J1256" s="662">
        <v>42212.717954262465</v>
      </c>
      <c r="K1256" s="566" t="s">
        <v>4790</v>
      </c>
      <c r="L1256" s="549"/>
      <c r="M1256" s="540"/>
      <c r="O1256" s="540"/>
      <c r="S1256" s="550"/>
      <c r="T1256" s="547"/>
      <c r="U1256" s="547"/>
      <c r="V1256" s="547"/>
      <c r="W1256" s="549"/>
    </row>
    <row r="1257" spans="1:23">
      <c r="A1257" s="565">
        <v>1951</v>
      </c>
      <c r="B1257" s="695" t="s">
        <v>6662</v>
      </c>
      <c r="C1257" s="566">
        <f t="shared" si="19"/>
        <v>1951</v>
      </c>
      <c r="D1257" s="699" t="s">
        <v>2228</v>
      </c>
      <c r="E1257" s="701" t="s">
        <v>9131</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6663</v>
      </c>
      <c r="C1258" s="566">
        <f t="shared" si="19"/>
        <v>1952</v>
      </c>
      <c r="D1258" s="699" t="s">
        <v>2228</v>
      </c>
      <c r="E1258" s="701" t="s">
        <v>9132</v>
      </c>
      <c r="F1258" s="567">
        <v>1</v>
      </c>
      <c r="G1258" s="662">
        <v>0</v>
      </c>
      <c r="H1258" s="662">
        <v>0</v>
      </c>
      <c r="I1258" s="662">
        <v>28968.39597113632</v>
      </c>
      <c r="J1258" s="662">
        <v>29670.679244357641</v>
      </c>
      <c r="K1258" s="568" t="s">
        <v>4053</v>
      </c>
      <c r="L1258" s="549"/>
      <c r="M1258" s="540"/>
      <c r="O1258" s="540"/>
      <c r="S1258" s="550"/>
      <c r="T1258" s="547"/>
      <c r="U1258" s="547"/>
      <c r="V1258" s="547"/>
      <c r="W1258" s="549"/>
    </row>
    <row r="1259" spans="1:23">
      <c r="A1259" s="565">
        <v>1953</v>
      </c>
      <c r="B1259" s="696" t="s">
        <v>6664</v>
      </c>
      <c r="C1259" s="566">
        <f t="shared" si="19"/>
        <v>1953</v>
      </c>
      <c r="D1259" s="700" t="s">
        <v>2228</v>
      </c>
      <c r="E1259" s="701" t="s">
        <v>9133</v>
      </c>
      <c r="F1259" s="566">
        <v>1</v>
      </c>
      <c r="G1259" s="662">
        <v>0</v>
      </c>
      <c r="H1259" s="662">
        <v>0</v>
      </c>
      <c r="I1259" s="662">
        <v>26804.755833478437</v>
      </c>
      <c r="J1259" s="662">
        <v>27450.100256460988</v>
      </c>
      <c r="K1259" s="566" t="s">
        <v>4054</v>
      </c>
      <c r="L1259" s="549"/>
      <c r="M1259" s="540"/>
      <c r="O1259" s="540"/>
      <c r="S1259" s="550"/>
      <c r="T1259" s="547"/>
      <c r="U1259" s="547"/>
      <c r="V1259" s="547"/>
      <c r="W1259" s="549"/>
    </row>
    <row r="1260" spans="1:23">
      <c r="A1260" s="565">
        <v>1954</v>
      </c>
      <c r="B1260" s="696" t="s">
        <v>6665</v>
      </c>
      <c r="C1260" s="566">
        <f t="shared" si="19"/>
        <v>1954</v>
      </c>
      <c r="D1260" s="700" t="s">
        <v>2228</v>
      </c>
      <c r="E1260" s="701" t="s">
        <v>9134</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6666</v>
      </c>
      <c r="C1261" s="566">
        <f t="shared" si="19"/>
        <v>1955</v>
      </c>
      <c r="D1261" s="700" t="s">
        <v>2229</v>
      </c>
      <c r="E1261" s="701" t="s">
        <v>9135</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6667</v>
      </c>
      <c r="C1262" s="566">
        <f t="shared" si="19"/>
        <v>1956</v>
      </c>
      <c r="D1262" s="700" t="s">
        <v>2229</v>
      </c>
      <c r="E1262" s="701" t="s">
        <v>9136</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6668</v>
      </c>
      <c r="C1263" s="566">
        <f t="shared" si="19"/>
        <v>1957</v>
      </c>
      <c r="D1263" s="699" t="s">
        <v>2229</v>
      </c>
      <c r="E1263" s="701" t="s">
        <v>9137</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6669</v>
      </c>
      <c r="C1264" s="566">
        <f t="shared" si="19"/>
        <v>1958</v>
      </c>
      <c r="D1264" s="699" t="s">
        <v>2229</v>
      </c>
      <c r="E1264" s="701" t="s">
        <v>9138</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6670</v>
      </c>
      <c r="C1265" s="566">
        <f t="shared" si="19"/>
        <v>1959</v>
      </c>
      <c r="D1265" s="700" t="s">
        <v>2229</v>
      </c>
      <c r="E1265" s="701" t="s">
        <v>9139</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6671</v>
      </c>
      <c r="C1266" s="566">
        <f t="shared" si="19"/>
        <v>1960</v>
      </c>
      <c r="D1266" s="700" t="s">
        <v>2229</v>
      </c>
      <c r="E1266" s="701" t="s">
        <v>9140</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6672</v>
      </c>
      <c r="C1267" s="566">
        <f t="shared" si="19"/>
        <v>1961</v>
      </c>
      <c r="D1267" s="700" t="s">
        <v>2230</v>
      </c>
      <c r="E1267" s="701" t="s">
        <v>9141</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6673</v>
      </c>
      <c r="C1268" s="566">
        <f t="shared" si="19"/>
        <v>1962</v>
      </c>
      <c r="D1268" s="700" t="s">
        <v>2230</v>
      </c>
      <c r="E1268" s="701" t="s">
        <v>9142</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6674</v>
      </c>
      <c r="C1269" s="566">
        <f t="shared" si="19"/>
        <v>1963</v>
      </c>
      <c r="D1269" s="700" t="s">
        <v>2230</v>
      </c>
      <c r="E1269" s="701" t="s">
        <v>9143</v>
      </c>
      <c r="F1269" s="566">
        <v>1</v>
      </c>
      <c r="G1269" s="662">
        <v>18753.481801480928</v>
      </c>
      <c r="H1269" s="662">
        <v>0</v>
      </c>
      <c r="I1269" s="662">
        <v>0</v>
      </c>
      <c r="J1269" s="662">
        <v>0</v>
      </c>
      <c r="K1269" s="566" t="s">
        <v>5279</v>
      </c>
      <c r="L1269" s="549"/>
      <c r="M1269" s="540"/>
      <c r="O1269" s="540"/>
      <c r="S1269" s="550"/>
      <c r="T1269" s="547"/>
      <c r="U1269" s="547"/>
      <c r="V1269" s="547"/>
      <c r="W1269" s="549"/>
    </row>
    <row r="1270" spans="1:23">
      <c r="A1270" s="565">
        <v>1964</v>
      </c>
      <c r="B1270" s="696" t="s">
        <v>6675</v>
      </c>
      <c r="C1270" s="566">
        <f t="shared" si="19"/>
        <v>1964</v>
      </c>
      <c r="D1270" s="700" t="s">
        <v>2230</v>
      </c>
      <c r="E1270" s="701" t="s">
        <v>9144</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6676</v>
      </c>
      <c r="C1271" s="566">
        <f t="shared" si="19"/>
        <v>1965</v>
      </c>
      <c r="D1271" s="700" t="s">
        <v>2230</v>
      </c>
      <c r="E1271" s="701" t="s">
        <v>9145</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6677</v>
      </c>
      <c r="C1272" s="566">
        <f t="shared" si="19"/>
        <v>1966</v>
      </c>
      <c r="D1272" s="700" t="s">
        <v>2230</v>
      </c>
      <c r="E1272" s="701" t="s">
        <v>9146</v>
      </c>
      <c r="F1272" s="566">
        <v>1</v>
      </c>
      <c r="G1272" s="662">
        <v>0</v>
      </c>
      <c r="H1272" s="662">
        <v>0</v>
      </c>
      <c r="I1272" s="662">
        <v>19798.176528730535</v>
      </c>
      <c r="J1272" s="662">
        <v>20422.011192356225</v>
      </c>
      <c r="K1272" s="566" t="s">
        <v>4055</v>
      </c>
      <c r="L1272" s="549"/>
      <c r="M1272" s="540"/>
      <c r="O1272" s="540"/>
      <c r="S1272" s="550"/>
      <c r="T1272" s="547"/>
      <c r="U1272" s="547"/>
      <c r="V1272" s="547"/>
      <c r="W1272" s="549"/>
    </row>
    <row r="1273" spans="1:23">
      <c r="A1273" s="565">
        <v>1967</v>
      </c>
      <c r="B1273" s="696" t="s">
        <v>6678</v>
      </c>
      <c r="C1273" s="566">
        <f t="shared" si="19"/>
        <v>1967</v>
      </c>
      <c r="D1273" s="700" t="s">
        <v>2230</v>
      </c>
      <c r="E1273" s="701" t="s">
        <v>9147</v>
      </c>
      <c r="F1273" s="566">
        <v>1</v>
      </c>
      <c r="G1273" s="662">
        <v>0</v>
      </c>
      <c r="H1273" s="662">
        <v>0</v>
      </c>
      <c r="I1273" s="662">
        <v>22129.017130609529</v>
      </c>
      <c r="J1273" s="662">
        <v>22835.881647083686</v>
      </c>
      <c r="K1273" s="566" t="s">
        <v>4056</v>
      </c>
      <c r="L1273" s="549"/>
      <c r="M1273" s="540"/>
      <c r="O1273" s="540"/>
      <c r="S1273" s="550"/>
      <c r="T1273" s="547"/>
      <c r="U1273" s="547"/>
      <c r="V1273" s="547"/>
      <c r="W1273" s="549"/>
    </row>
    <row r="1274" spans="1:23">
      <c r="A1274" s="565">
        <v>1968</v>
      </c>
      <c r="B1274" s="696" t="s">
        <v>6679</v>
      </c>
      <c r="C1274" s="566">
        <f t="shared" si="19"/>
        <v>1968</v>
      </c>
      <c r="D1274" s="700" t="s">
        <v>2230</v>
      </c>
      <c r="E1274" s="701" t="s">
        <v>9148</v>
      </c>
      <c r="F1274" s="566">
        <v>1</v>
      </c>
      <c r="G1274" s="662">
        <v>0</v>
      </c>
      <c r="H1274" s="662">
        <v>0</v>
      </c>
      <c r="I1274" s="662">
        <v>22221.327649495826</v>
      </c>
      <c r="J1274" s="662">
        <v>22931.455044802657</v>
      </c>
      <c r="K1274" s="566" t="s">
        <v>4057</v>
      </c>
      <c r="L1274" s="549"/>
      <c r="M1274" s="540"/>
      <c r="O1274" s="540"/>
      <c r="S1274" s="550"/>
      <c r="T1274" s="547"/>
      <c r="U1274" s="547"/>
      <c r="V1274" s="547"/>
      <c r="W1274" s="549"/>
    </row>
    <row r="1275" spans="1:23">
      <c r="A1275" s="565">
        <v>1969</v>
      </c>
      <c r="B1275" s="696" t="s">
        <v>6680</v>
      </c>
      <c r="C1275" s="566">
        <f t="shared" si="19"/>
        <v>1969</v>
      </c>
      <c r="D1275" s="700" t="s">
        <v>2230</v>
      </c>
      <c r="E1275" s="701" t="s">
        <v>9149</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6681</v>
      </c>
      <c r="C1276" s="566">
        <f t="shared" si="19"/>
        <v>1970</v>
      </c>
      <c r="D1276" s="700" t="s">
        <v>2230</v>
      </c>
      <c r="E1276" s="701" t="s">
        <v>9150</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6682</v>
      </c>
      <c r="C1277" s="566">
        <f t="shared" si="19"/>
        <v>1971</v>
      </c>
      <c r="D1277" s="700" t="s">
        <v>2230</v>
      </c>
      <c r="E1277" s="701" t="s">
        <v>9151</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6683</v>
      </c>
      <c r="C1278" s="566">
        <f t="shared" si="19"/>
        <v>1972</v>
      </c>
      <c r="D1278" s="700" t="s">
        <v>2230</v>
      </c>
      <c r="E1278" s="701" t="s">
        <v>9152</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6684</v>
      </c>
      <c r="C1279" s="566">
        <f t="shared" si="19"/>
        <v>1973</v>
      </c>
      <c r="D1279" s="700" t="s">
        <v>2230</v>
      </c>
      <c r="E1279" s="701" t="s">
        <v>9153</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6685</v>
      </c>
      <c r="C1280" s="566">
        <f t="shared" si="19"/>
        <v>1974</v>
      </c>
      <c r="D1280" s="699" t="s">
        <v>2230</v>
      </c>
      <c r="E1280" s="701" t="s">
        <v>9154</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6686</v>
      </c>
      <c r="C1281" s="566">
        <f t="shared" si="19"/>
        <v>1975</v>
      </c>
      <c r="D1281" s="700" t="s">
        <v>2230</v>
      </c>
      <c r="E1281" s="701" t="s">
        <v>9155</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6687</v>
      </c>
      <c r="C1282" s="566">
        <f t="shared" si="19"/>
        <v>1976</v>
      </c>
      <c r="D1282" s="700" t="s">
        <v>2230</v>
      </c>
      <c r="E1282" s="701" t="s">
        <v>9156</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6688</v>
      </c>
      <c r="C1283" s="566">
        <f t="shared" si="19"/>
        <v>1977</v>
      </c>
      <c r="D1283" s="700" t="s">
        <v>2230</v>
      </c>
      <c r="E1283" s="701" t="s">
        <v>9157</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6689</v>
      </c>
      <c r="C1284" s="566">
        <f t="shared" si="19"/>
        <v>1978</v>
      </c>
      <c r="D1284" s="700" t="s">
        <v>2230</v>
      </c>
      <c r="E1284" s="701" t="s">
        <v>9158</v>
      </c>
      <c r="F1284" s="566">
        <v>1</v>
      </c>
      <c r="G1284" s="662">
        <v>0</v>
      </c>
      <c r="H1284" s="662">
        <v>17346.350600756861</v>
      </c>
      <c r="I1284" s="662">
        <v>0</v>
      </c>
      <c r="J1284" s="662">
        <v>0</v>
      </c>
      <c r="K1284" s="566" t="s">
        <v>4058</v>
      </c>
      <c r="L1284" s="549"/>
      <c r="M1284" s="540"/>
      <c r="O1284" s="540"/>
      <c r="S1284" s="550"/>
      <c r="T1284" s="547"/>
      <c r="U1284" s="547"/>
      <c r="V1284" s="547"/>
      <c r="W1284" s="549"/>
    </row>
    <row r="1285" spans="1:23">
      <c r="A1285" s="565">
        <v>1979</v>
      </c>
      <c r="B1285" s="696" t="s">
        <v>6690</v>
      </c>
      <c r="C1285" s="566">
        <f t="shared" si="19"/>
        <v>1979</v>
      </c>
      <c r="D1285" s="700" t="s">
        <v>2230</v>
      </c>
      <c r="E1285" s="701" t="s">
        <v>9159</v>
      </c>
      <c r="F1285" s="566">
        <v>1</v>
      </c>
      <c r="G1285" s="662">
        <v>0</v>
      </c>
      <c r="H1285" s="662">
        <v>16528.182527761222</v>
      </c>
      <c r="I1285" s="662">
        <v>16986.335862671251</v>
      </c>
      <c r="J1285" s="662">
        <v>17468.619241554366</v>
      </c>
      <c r="K1285" s="566" t="s">
        <v>4059</v>
      </c>
      <c r="L1285" s="549"/>
      <c r="M1285" s="540"/>
      <c r="O1285" s="540"/>
      <c r="S1285" s="550"/>
      <c r="T1285" s="547"/>
      <c r="U1285" s="547"/>
      <c r="V1285" s="547"/>
      <c r="W1285" s="549"/>
    </row>
    <row r="1286" spans="1:23">
      <c r="A1286" s="565">
        <v>1980</v>
      </c>
      <c r="B1286" s="696" t="s">
        <v>6691</v>
      </c>
      <c r="C1286" s="566">
        <f t="shared" si="19"/>
        <v>1980</v>
      </c>
      <c r="D1286" s="700" t="s">
        <v>2230</v>
      </c>
      <c r="E1286" s="701" t="s">
        <v>9160</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6692</v>
      </c>
      <c r="C1287" s="566">
        <f t="shared" si="19"/>
        <v>1981</v>
      </c>
      <c r="D1287" s="700" t="s">
        <v>2230</v>
      </c>
      <c r="E1287" s="701" t="s">
        <v>9161</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6693</v>
      </c>
      <c r="C1288" s="566">
        <f t="shared" si="19"/>
        <v>1982</v>
      </c>
      <c r="D1288" s="699" t="s">
        <v>2230</v>
      </c>
      <c r="E1288" s="701" t="s">
        <v>9162</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6694</v>
      </c>
      <c r="C1289" s="566">
        <f t="shared" ref="C1289:C1352" si="20">A1289</f>
        <v>1983</v>
      </c>
      <c r="D1289" s="700" t="s">
        <v>2230</v>
      </c>
      <c r="E1289" s="701" t="s">
        <v>9163</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6695</v>
      </c>
      <c r="C1290" s="566">
        <f t="shared" si="20"/>
        <v>1984</v>
      </c>
      <c r="D1290" s="700" t="s">
        <v>2230</v>
      </c>
      <c r="E1290" s="701" t="s">
        <v>9164</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6696</v>
      </c>
      <c r="C1291" s="566">
        <f t="shared" si="20"/>
        <v>1985</v>
      </c>
      <c r="D1291" s="700" t="s">
        <v>2230</v>
      </c>
      <c r="E1291" s="701" t="s">
        <v>9165</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6697</v>
      </c>
      <c r="C1292" s="566">
        <f t="shared" si="20"/>
        <v>1986</v>
      </c>
      <c r="D1292" s="700" t="s">
        <v>2230</v>
      </c>
      <c r="E1292" s="701" t="s">
        <v>9166</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6698</v>
      </c>
      <c r="C1293" s="566">
        <f t="shared" si="20"/>
        <v>1987</v>
      </c>
      <c r="D1293" s="700" t="s">
        <v>2230</v>
      </c>
      <c r="E1293" s="701" t="s">
        <v>9167</v>
      </c>
      <c r="F1293" s="566">
        <v>1</v>
      </c>
      <c r="G1293" s="662">
        <v>19768.596565948632</v>
      </c>
      <c r="H1293" s="662">
        <v>0</v>
      </c>
      <c r="I1293" s="662">
        <v>0</v>
      </c>
      <c r="J1293" s="662">
        <v>0</v>
      </c>
      <c r="K1293" s="566" t="s">
        <v>5280</v>
      </c>
      <c r="L1293" s="549"/>
      <c r="M1293" s="540"/>
      <c r="O1293" s="540"/>
      <c r="S1293" s="550"/>
      <c r="T1293" s="547"/>
      <c r="U1293" s="547"/>
      <c r="V1293" s="547"/>
      <c r="W1293" s="549"/>
    </row>
    <row r="1294" spans="1:23">
      <c r="A1294" s="565">
        <v>1988</v>
      </c>
      <c r="B1294" s="696" t="s">
        <v>6699</v>
      </c>
      <c r="C1294" s="566">
        <f t="shared" si="20"/>
        <v>1988</v>
      </c>
      <c r="D1294" s="700" t="s">
        <v>2230</v>
      </c>
      <c r="E1294" s="701" t="s">
        <v>9168</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6700</v>
      </c>
      <c r="C1295" s="566">
        <f t="shared" si="20"/>
        <v>1989</v>
      </c>
      <c r="D1295" s="700" t="s">
        <v>2230</v>
      </c>
      <c r="E1295" s="701" t="s">
        <v>9169</v>
      </c>
      <c r="F1295" s="566">
        <v>1</v>
      </c>
      <c r="G1295" s="662">
        <v>0</v>
      </c>
      <c r="H1295" s="662">
        <v>0</v>
      </c>
      <c r="I1295" s="662">
        <v>0</v>
      </c>
      <c r="J1295" s="662">
        <v>20618.554989739863</v>
      </c>
      <c r="K1295" s="566" t="s">
        <v>4791</v>
      </c>
      <c r="L1295" s="549"/>
      <c r="M1295" s="540"/>
      <c r="O1295" s="540"/>
      <c r="S1295" s="550"/>
      <c r="T1295" s="547"/>
      <c r="U1295" s="547"/>
      <c r="V1295" s="547"/>
      <c r="W1295" s="549"/>
    </row>
    <row r="1296" spans="1:23">
      <c r="A1296" s="565">
        <v>1990</v>
      </c>
      <c r="B1296" s="696" t="s">
        <v>6701</v>
      </c>
      <c r="C1296" s="566">
        <f t="shared" si="20"/>
        <v>1990</v>
      </c>
      <c r="D1296" s="700" t="s">
        <v>2230</v>
      </c>
      <c r="E1296" s="701" t="s">
        <v>9170</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6702</v>
      </c>
      <c r="C1297" s="566">
        <f t="shared" si="20"/>
        <v>1991</v>
      </c>
      <c r="D1297" s="700" t="s">
        <v>2230</v>
      </c>
      <c r="E1297" s="701" t="s">
        <v>9171</v>
      </c>
      <c r="F1297" s="566">
        <v>1</v>
      </c>
      <c r="G1297" s="662">
        <v>0</v>
      </c>
      <c r="H1297" s="662">
        <v>0</v>
      </c>
      <c r="I1297" s="662">
        <v>0</v>
      </c>
      <c r="J1297" s="662">
        <v>21688.200340583251</v>
      </c>
      <c r="K1297" s="566" t="s">
        <v>4792</v>
      </c>
      <c r="L1297" s="549"/>
      <c r="M1297" s="540"/>
      <c r="O1297" s="540"/>
      <c r="S1297" s="550"/>
      <c r="T1297" s="547"/>
      <c r="U1297" s="547"/>
      <c r="V1297" s="547"/>
      <c r="W1297" s="549"/>
    </row>
    <row r="1298" spans="1:23">
      <c r="A1298" s="565">
        <v>1992</v>
      </c>
      <c r="B1298" s="696" t="s">
        <v>6703</v>
      </c>
      <c r="C1298" s="566">
        <f t="shared" si="20"/>
        <v>1992</v>
      </c>
      <c r="D1298" s="700" t="s">
        <v>2230</v>
      </c>
      <c r="E1298" s="701" t="s">
        <v>9172</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6704</v>
      </c>
      <c r="C1299" s="566">
        <f t="shared" si="20"/>
        <v>1993</v>
      </c>
      <c r="D1299" s="700" t="s">
        <v>2230</v>
      </c>
      <c r="E1299" s="701" t="s">
        <v>9173</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6705</v>
      </c>
      <c r="C1300" s="566">
        <f t="shared" si="20"/>
        <v>1994</v>
      </c>
      <c r="D1300" s="700" t="s">
        <v>2230</v>
      </c>
      <c r="E1300" s="701" t="s">
        <v>9174</v>
      </c>
      <c r="F1300" s="566">
        <v>1</v>
      </c>
      <c r="G1300" s="662">
        <v>0</v>
      </c>
      <c r="H1300" s="662">
        <v>0</v>
      </c>
      <c r="I1300" s="662">
        <v>17762.95065033315</v>
      </c>
      <c r="J1300" s="662">
        <v>18269.578497589213</v>
      </c>
      <c r="K1300" s="566" t="s">
        <v>4060</v>
      </c>
      <c r="L1300" s="549"/>
      <c r="M1300" s="540"/>
      <c r="O1300" s="540"/>
      <c r="S1300" s="550"/>
      <c r="T1300" s="547"/>
      <c r="U1300" s="547"/>
      <c r="V1300" s="547"/>
      <c r="W1300" s="549"/>
    </row>
    <row r="1301" spans="1:23">
      <c r="A1301" s="565">
        <v>1995</v>
      </c>
      <c r="B1301" s="696" t="s">
        <v>6706</v>
      </c>
      <c r="C1301" s="566">
        <f t="shared" si="20"/>
        <v>1995</v>
      </c>
      <c r="D1301" s="700" t="s">
        <v>2230</v>
      </c>
      <c r="E1301" s="701" t="s">
        <v>9175</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6707</v>
      </c>
      <c r="C1302" s="566">
        <f t="shared" si="20"/>
        <v>1996</v>
      </c>
      <c r="D1302" s="700" t="s">
        <v>2230</v>
      </c>
      <c r="E1302" s="701" t="s">
        <v>9176</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6708</v>
      </c>
      <c r="C1303" s="566">
        <f t="shared" si="20"/>
        <v>1997</v>
      </c>
      <c r="D1303" s="700" t="s">
        <v>2230</v>
      </c>
      <c r="E1303" s="701" t="s">
        <v>9177</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6709</v>
      </c>
      <c r="C1304" s="566">
        <f t="shared" si="20"/>
        <v>1998</v>
      </c>
      <c r="D1304" s="700" t="s">
        <v>2230</v>
      </c>
      <c r="E1304" s="701" t="s">
        <v>9178</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6710</v>
      </c>
      <c r="C1305" s="566">
        <f t="shared" si="20"/>
        <v>1999</v>
      </c>
      <c r="D1305" s="700" t="s">
        <v>2230</v>
      </c>
      <c r="E1305" s="701" t="s">
        <v>9179</v>
      </c>
      <c r="F1305" s="566">
        <v>1</v>
      </c>
      <c r="G1305" s="662">
        <v>0</v>
      </c>
      <c r="H1305" s="662">
        <v>0</v>
      </c>
      <c r="I1305" s="662">
        <v>0</v>
      </c>
      <c r="J1305" s="662">
        <v>22942.135429530077</v>
      </c>
      <c r="K1305" s="566" t="s">
        <v>4793</v>
      </c>
      <c r="L1305" s="549"/>
      <c r="M1305" s="540"/>
      <c r="O1305" s="540"/>
      <c r="S1305" s="550"/>
      <c r="T1305" s="547"/>
      <c r="U1305" s="547"/>
      <c r="V1305" s="547"/>
      <c r="W1305" s="549"/>
    </row>
    <row r="1306" spans="1:23">
      <c r="A1306" s="565">
        <v>2000</v>
      </c>
      <c r="B1306" s="696" t="s">
        <v>6711</v>
      </c>
      <c r="C1306" s="566">
        <f t="shared" si="20"/>
        <v>2000</v>
      </c>
      <c r="D1306" s="700" t="s">
        <v>2230</v>
      </c>
      <c r="E1306" s="701" t="s">
        <v>9180</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6712</v>
      </c>
      <c r="C1307" s="566">
        <f t="shared" si="20"/>
        <v>2001</v>
      </c>
      <c r="D1307" s="700" t="s">
        <v>2230</v>
      </c>
      <c r="E1307" s="701" t="s">
        <v>9181</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6713</v>
      </c>
      <c r="C1308" s="566">
        <f t="shared" si="20"/>
        <v>2002</v>
      </c>
      <c r="D1308" s="700" t="s">
        <v>2230</v>
      </c>
      <c r="E1308" s="701" t="s">
        <v>9182</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6714</v>
      </c>
      <c r="C1309" s="566">
        <f t="shared" si="20"/>
        <v>2003</v>
      </c>
      <c r="D1309" s="700" t="s">
        <v>2230</v>
      </c>
      <c r="E1309" s="701" t="s">
        <v>9183</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6715</v>
      </c>
      <c r="C1310" s="566">
        <f t="shared" si="20"/>
        <v>2004</v>
      </c>
      <c r="D1310" s="700" t="s">
        <v>2230</v>
      </c>
      <c r="E1310" s="701" t="s">
        <v>9184</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6716</v>
      </c>
      <c r="C1311" s="566">
        <f t="shared" si="20"/>
        <v>2005</v>
      </c>
      <c r="D1311" s="700" t="s">
        <v>2230</v>
      </c>
      <c r="E1311" s="701" t="s">
        <v>9185</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6717</v>
      </c>
      <c r="C1312" s="566">
        <f t="shared" si="20"/>
        <v>2006</v>
      </c>
      <c r="D1312" s="700" t="s">
        <v>2230</v>
      </c>
      <c r="E1312" s="701" t="s">
        <v>9186</v>
      </c>
      <c r="F1312" s="566">
        <v>1</v>
      </c>
      <c r="G1312" s="662">
        <v>19447.762633217331</v>
      </c>
      <c r="H1312" s="662">
        <v>0</v>
      </c>
      <c r="I1312" s="662">
        <v>0</v>
      </c>
      <c r="J1312" s="662">
        <v>0</v>
      </c>
      <c r="K1312" s="566" t="s">
        <v>5281</v>
      </c>
      <c r="L1312" s="549"/>
      <c r="M1312" s="540"/>
      <c r="O1312" s="540"/>
      <c r="S1312" s="550"/>
      <c r="T1312" s="547"/>
      <c r="U1312" s="547"/>
      <c r="V1312" s="547"/>
      <c r="W1312" s="549"/>
    </row>
    <row r="1313" spans="1:23">
      <c r="A1313" s="565">
        <v>2007</v>
      </c>
      <c r="B1313" s="696" t="s">
        <v>6718</v>
      </c>
      <c r="C1313" s="566">
        <f t="shared" si="20"/>
        <v>2007</v>
      </c>
      <c r="D1313" s="700" t="s">
        <v>2230</v>
      </c>
      <c r="E1313" s="701" t="s">
        <v>9187</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6719</v>
      </c>
      <c r="C1314" s="566">
        <f t="shared" si="20"/>
        <v>2008</v>
      </c>
      <c r="D1314" s="700" t="s">
        <v>2230</v>
      </c>
      <c r="E1314" s="701" t="s">
        <v>9188</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6720</v>
      </c>
      <c r="C1315" s="566">
        <f t="shared" si="20"/>
        <v>2009</v>
      </c>
      <c r="D1315" s="700" t="s">
        <v>4581</v>
      </c>
      <c r="E1315" s="701" t="s">
        <v>9189</v>
      </c>
      <c r="F1315" s="566">
        <v>1</v>
      </c>
      <c r="G1315" s="662">
        <v>0</v>
      </c>
      <c r="H1315" s="662">
        <v>0</v>
      </c>
      <c r="I1315" s="662">
        <v>0</v>
      </c>
      <c r="J1315" s="662">
        <v>17645.357830274974</v>
      </c>
      <c r="K1315" s="566" t="s">
        <v>4794</v>
      </c>
      <c r="L1315" s="549"/>
      <c r="M1315" s="540"/>
      <c r="O1315" s="540"/>
      <c r="S1315" s="550"/>
      <c r="T1315" s="547"/>
      <c r="U1315" s="547"/>
      <c r="V1315" s="547"/>
      <c r="W1315" s="549"/>
    </row>
    <row r="1316" spans="1:23">
      <c r="A1316" s="565">
        <v>2010</v>
      </c>
      <c r="B1316" s="695" t="s">
        <v>6721</v>
      </c>
      <c r="C1316" s="566">
        <f t="shared" si="20"/>
        <v>2010</v>
      </c>
      <c r="D1316" s="699" t="s">
        <v>3137</v>
      </c>
      <c r="E1316" s="701" t="s">
        <v>9190</v>
      </c>
      <c r="F1316" s="567">
        <v>1</v>
      </c>
      <c r="G1316" s="662">
        <v>0</v>
      </c>
      <c r="H1316" s="662">
        <v>21221.834683872639</v>
      </c>
      <c r="I1316" s="662">
        <v>0</v>
      </c>
      <c r="J1316" s="662">
        <v>0</v>
      </c>
      <c r="K1316" s="568" t="s">
        <v>4061</v>
      </c>
      <c r="L1316" s="549"/>
      <c r="M1316" s="540"/>
      <c r="O1316" s="540"/>
      <c r="S1316" s="550"/>
      <c r="T1316" s="547"/>
      <c r="U1316" s="547"/>
      <c r="V1316" s="547"/>
      <c r="W1316" s="549"/>
    </row>
    <row r="1317" spans="1:23">
      <c r="A1317" s="565">
        <v>2011</v>
      </c>
      <c r="B1317" s="695" t="s">
        <v>6722</v>
      </c>
      <c r="C1317" s="566">
        <f t="shared" si="20"/>
        <v>2011</v>
      </c>
      <c r="D1317" s="699" t="s">
        <v>3137</v>
      </c>
      <c r="E1317" s="701" t="s">
        <v>9191</v>
      </c>
      <c r="F1317" s="567">
        <v>1</v>
      </c>
      <c r="G1317" s="662">
        <v>0</v>
      </c>
      <c r="H1317" s="662">
        <v>0</v>
      </c>
      <c r="I1317" s="662">
        <v>31982.263618324137</v>
      </c>
      <c r="J1317" s="662">
        <v>32733.158124990441</v>
      </c>
      <c r="K1317" s="568" t="s">
        <v>4062</v>
      </c>
      <c r="L1317" s="549"/>
      <c r="M1317" s="540"/>
      <c r="O1317" s="540"/>
      <c r="S1317" s="550"/>
      <c r="T1317" s="547"/>
      <c r="U1317" s="547"/>
      <c r="V1317" s="547"/>
      <c r="W1317" s="549"/>
    </row>
    <row r="1318" spans="1:23">
      <c r="A1318" s="565">
        <v>2012</v>
      </c>
      <c r="B1318" s="695" t="s">
        <v>6723</v>
      </c>
      <c r="C1318" s="566">
        <f t="shared" si="20"/>
        <v>2012</v>
      </c>
      <c r="D1318" s="699" t="s">
        <v>3137</v>
      </c>
      <c r="E1318" s="701" t="s">
        <v>9192</v>
      </c>
      <c r="F1318" s="567">
        <v>1</v>
      </c>
      <c r="G1318" s="662">
        <v>0</v>
      </c>
      <c r="H1318" s="662">
        <v>0</v>
      </c>
      <c r="I1318" s="662">
        <v>33218.688479472534</v>
      </c>
      <c r="J1318" s="662">
        <v>34000.849827568665</v>
      </c>
      <c r="K1318" s="568" t="s">
        <v>4063</v>
      </c>
      <c r="L1318" s="549"/>
      <c r="M1318" s="540"/>
      <c r="O1318" s="540"/>
      <c r="S1318" s="550"/>
      <c r="T1318" s="547"/>
      <c r="U1318" s="547"/>
      <c r="V1318" s="547"/>
      <c r="W1318" s="549"/>
    </row>
    <row r="1319" spans="1:23">
      <c r="A1319" s="565">
        <v>2013</v>
      </c>
      <c r="B1319" s="696" t="s">
        <v>6724</v>
      </c>
      <c r="C1319" s="566">
        <f t="shared" si="20"/>
        <v>2013</v>
      </c>
      <c r="D1319" s="700" t="s">
        <v>3137</v>
      </c>
      <c r="E1319" s="701" t="s">
        <v>9193</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6725</v>
      </c>
      <c r="C1320" s="566">
        <f t="shared" si="20"/>
        <v>2014</v>
      </c>
      <c r="D1320" s="700" t="s">
        <v>3137</v>
      </c>
      <c r="E1320" s="701" t="s">
        <v>9194</v>
      </c>
      <c r="F1320" s="566">
        <v>1</v>
      </c>
      <c r="G1320" s="662">
        <v>0</v>
      </c>
      <c r="H1320" s="662">
        <v>0</v>
      </c>
      <c r="I1320" s="662">
        <v>28414.294733295897</v>
      </c>
      <c r="J1320" s="662">
        <v>29074.971767465042</v>
      </c>
      <c r="K1320" s="566" t="s">
        <v>4064</v>
      </c>
      <c r="L1320" s="549"/>
      <c r="M1320" s="540"/>
      <c r="O1320" s="540"/>
      <c r="S1320" s="550"/>
      <c r="T1320" s="547"/>
      <c r="U1320" s="547"/>
      <c r="V1320" s="547"/>
      <c r="W1320" s="549"/>
    </row>
    <row r="1321" spans="1:23">
      <c r="A1321" s="565">
        <v>2015</v>
      </c>
      <c r="B1321" s="696" t="s">
        <v>6726</v>
      </c>
      <c r="C1321" s="566">
        <f t="shared" si="20"/>
        <v>2015</v>
      </c>
      <c r="D1321" s="700" t="s">
        <v>3137</v>
      </c>
      <c r="E1321" s="701" t="s">
        <v>9195</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6727</v>
      </c>
      <c r="C1322" s="566">
        <f t="shared" si="20"/>
        <v>2016</v>
      </c>
      <c r="D1322" s="700" t="s">
        <v>3137</v>
      </c>
      <c r="E1322" s="701" t="s">
        <v>9196</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6728</v>
      </c>
      <c r="C1323" s="566">
        <f t="shared" si="20"/>
        <v>2017</v>
      </c>
      <c r="D1323" s="700" t="s">
        <v>3137</v>
      </c>
      <c r="E1323" s="701" t="s">
        <v>9197</v>
      </c>
      <c r="F1323" s="566">
        <v>1</v>
      </c>
      <c r="G1323" s="662">
        <v>0</v>
      </c>
      <c r="H1323" s="662">
        <v>0</v>
      </c>
      <c r="I1323" s="662">
        <v>40214.309879582637</v>
      </c>
      <c r="J1323" s="662">
        <v>41592.14319923595</v>
      </c>
      <c r="K1323" s="566" t="s">
        <v>4065</v>
      </c>
      <c r="L1323" s="549"/>
      <c r="M1323" s="540"/>
      <c r="O1323" s="540"/>
      <c r="S1323" s="550"/>
      <c r="T1323" s="547"/>
      <c r="U1323" s="547"/>
      <c r="V1323" s="547"/>
      <c r="W1323" s="549"/>
    </row>
    <row r="1324" spans="1:23">
      <c r="A1324" s="565">
        <v>2018</v>
      </c>
      <c r="B1324" s="696" t="s">
        <v>6729</v>
      </c>
      <c r="C1324" s="566">
        <f t="shared" si="20"/>
        <v>2018</v>
      </c>
      <c r="D1324" s="700" t="s">
        <v>3137</v>
      </c>
      <c r="E1324" s="701" t="s">
        <v>9198</v>
      </c>
      <c r="F1324" s="566">
        <v>1</v>
      </c>
      <c r="G1324" s="662">
        <v>0</v>
      </c>
      <c r="H1324" s="662">
        <v>0</v>
      </c>
      <c r="I1324" s="662">
        <v>37016.212274642865</v>
      </c>
      <c r="J1324" s="662">
        <v>38277.849710080976</v>
      </c>
      <c r="K1324" s="566" t="s">
        <v>4066</v>
      </c>
      <c r="L1324" s="549"/>
      <c r="M1324" s="540"/>
      <c r="O1324" s="540"/>
      <c r="S1324" s="550"/>
      <c r="T1324" s="547"/>
      <c r="U1324" s="547"/>
      <c r="V1324" s="547"/>
      <c r="W1324" s="549"/>
    </row>
    <row r="1325" spans="1:23">
      <c r="A1325" s="565">
        <v>2019</v>
      </c>
      <c r="B1325" s="696" t="s">
        <v>6730</v>
      </c>
      <c r="C1325" s="566">
        <f t="shared" si="20"/>
        <v>2019</v>
      </c>
      <c r="D1325" s="700" t="s">
        <v>3137</v>
      </c>
      <c r="E1325" s="701" t="s">
        <v>9199</v>
      </c>
      <c r="F1325" s="566">
        <v>1</v>
      </c>
      <c r="G1325" s="662">
        <v>0</v>
      </c>
      <c r="H1325" s="662">
        <v>0</v>
      </c>
      <c r="I1325" s="662">
        <v>36771.357926764664</v>
      </c>
      <c r="J1325" s="662">
        <v>38024.104384254912</v>
      </c>
      <c r="K1325" s="566" t="s">
        <v>4067</v>
      </c>
      <c r="L1325" s="549"/>
      <c r="M1325" s="540"/>
      <c r="O1325" s="540"/>
      <c r="S1325" s="550"/>
      <c r="T1325" s="547"/>
      <c r="U1325" s="547"/>
      <c r="V1325" s="547"/>
      <c r="W1325" s="549"/>
    </row>
    <row r="1326" spans="1:23">
      <c r="A1326" s="565">
        <v>2020</v>
      </c>
      <c r="B1326" s="696" t="s">
        <v>6731</v>
      </c>
      <c r="C1326" s="566">
        <f t="shared" si="20"/>
        <v>2020</v>
      </c>
      <c r="D1326" s="700" t="s">
        <v>3137</v>
      </c>
      <c r="E1326" s="701" t="s">
        <v>9200</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6732</v>
      </c>
      <c r="C1327" s="566">
        <f t="shared" si="20"/>
        <v>2021</v>
      </c>
      <c r="D1327" s="700" t="s">
        <v>3137</v>
      </c>
      <c r="E1327" s="701" t="s">
        <v>9201</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6733</v>
      </c>
      <c r="C1328" s="566">
        <f t="shared" si="20"/>
        <v>2022</v>
      </c>
      <c r="D1328" s="700" t="s">
        <v>3137</v>
      </c>
      <c r="E1328" s="701" t="s">
        <v>9202</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6734</v>
      </c>
      <c r="C1329" s="566">
        <f t="shared" si="20"/>
        <v>2023</v>
      </c>
      <c r="D1329" s="700" t="s">
        <v>3137</v>
      </c>
      <c r="E1329" s="701" t="s">
        <v>9203</v>
      </c>
      <c r="F1329" s="566">
        <v>1</v>
      </c>
      <c r="G1329" s="662">
        <v>0</v>
      </c>
      <c r="H1329" s="662">
        <v>0</v>
      </c>
      <c r="I1329" s="662">
        <v>0</v>
      </c>
      <c r="J1329" s="662">
        <v>27086.02116817647</v>
      </c>
      <c r="K1329" s="566" t="s">
        <v>4795</v>
      </c>
      <c r="L1329" s="549"/>
      <c r="M1329" s="540"/>
      <c r="O1329" s="540"/>
      <c r="S1329" s="550"/>
      <c r="T1329" s="547"/>
      <c r="U1329" s="547"/>
      <c r="V1329" s="547"/>
      <c r="W1329" s="549"/>
    </row>
    <row r="1330" spans="1:23">
      <c r="A1330" s="565">
        <v>2024</v>
      </c>
      <c r="B1330" s="696" t="s">
        <v>6735</v>
      </c>
      <c r="C1330" s="566">
        <f t="shared" si="20"/>
        <v>2024</v>
      </c>
      <c r="D1330" s="700" t="s">
        <v>3137</v>
      </c>
      <c r="E1330" s="701" t="s">
        <v>9204</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6736</v>
      </c>
      <c r="C1331" s="566">
        <f t="shared" si="20"/>
        <v>2025</v>
      </c>
      <c r="D1331" s="700" t="s">
        <v>3137</v>
      </c>
      <c r="E1331" s="701" t="s">
        <v>9205</v>
      </c>
      <c r="F1331" s="566">
        <v>1</v>
      </c>
      <c r="G1331" s="662">
        <v>0</v>
      </c>
      <c r="H1331" s="662">
        <v>0</v>
      </c>
      <c r="I1331" s="662">
        <v>0</v>
      </c>
      <c r="J1331" s="662">
        <v>27397.083026564462</v>
      </c>
      <c r="K1331" s="566" t="s">
        <v>4796</v>
      </c>
      <c r="L1331" s="549"/>
      <c r="M1331" s="540"/>
      <c r="O1331" s="540"/>
      <c r="S1331" s="550"/>
      <c r="T1331" s="547"/>
      <c r="U1331" s="547"/>
      <c r="V1331" s="547"/>
      <c r="W1331" s="549"/>
    </row>
    <row r="1332" spans="1:23">
      <c r="A1332" s="565">
        <v>2026</v>
      </c>
      <c r="B1332" s="696" t="s">
        <v>6737</v>
      </c>
      <c r="C1332" s="566">
        <f t="shared" si="20"/>
        <v>2026</v>
      </c>
      <c r="D1332" s="700" t="s">
        <v>3137</v>
      </c>
      <c r="E1332" s="701" t="s">
        <v>9206</v>
      </c>
      <c r="F1332" s="566">
        <v>1</v>
      </c>
      <c r="G1332" s="662">
        <v>0</v>
      </c>
      <c r="H1332" s="662">
        <v>0</v>
      </c>
      <c r="I1332" s="662">
        <v>0</v>
      </c>
      <c r="J1332" s="662">
        <v>29831.073681796584</v>
      </c>
      <c r="K1332" s="566" t="s">
        <v>4797</v>
      </c>
      <c r="L1332" s="549"/>
      <c r="M1332" s="540"/>
      <c r="O1332" s="540"/>
      <c r="S1332" s="550"/>
      <c r="T1332" s="547"/>
      <c r="U1332" s="547"/>
      <c r="V1332" s="547"/>
      <c r="W1332" s="549"/>
    </row>
    <row r="1333" spans="1:23">
      <c r="A1333" s="565">
        <v>2027</v>
      </c>
      <c r="B1333" s="696" t="s">
        <v>6738</v>
      </c>
      <c r="C1333" s="566">
        <f t="shared" si="20"/>
        <v>2027</v>
      </c>
      <c r="D1333" s="700" t="s">
        <v>3137</v>
      </c>
      <c r="E1333" s="701" t="s">
        <v>9207</v>
      </c>
      <c r="F1333" s="566">
        <v>1</v>
      </c>
      <c r="G1333" s="662">
        <v>0</v>
      </c>
      <c r="H1333" s="662">
        <v>0</v>
      </c>
      <c r="I1333" s="662">
        <v>0</v>
      </c>
      <c r="J1333" s="662">
        <v>21912.732308725244</v>
      </c>
      <c r="K1333" s="566" t="s">
        <v>4798</v>
      </c>
      <c r="L1333" s="549"/>
      <c r="M1333" s="540"/>
      <c r="O1333" s="540"/>
      <c r="S1333" s="550"/>
      <c r="T1333" s="547"/>
      <c r="U1333" s="547"/>
      <c r="V1333" s="547"/>
      <c r="W1333" s="549"/>
    </row>
    <row r="1334" spans="1:23">
      <c r="A1334" s="565">
        <v>2028</v>
      </c>
      <c r="B1334" s="696" t="s">
        <v>6739</v>
      </c>
      <c r="C1334" s="566">
        <f t="shared" si="20"/>
        <v>2028</v>
      </c>
      <c r="D1334" s="700" t="s">
        <v>3137</v>
      </c>
      <c r="E1334" s="701" t="s">
        <v>9208</v>
      </c>
      <c r="F1334" s="566">
        <v>1</v>
      </c>
      <c r="G1334" s="662">
        <v>0</v>
      </c>
      <c r="H1334" s="662">
        <v>0</v>
      </c>
      <c r="I1334" s="662">
        <v>0</v>
      </c>
      <c r="J1334" s="662">
        <v>32052.91646753261</v>
      </c>
      <c r="K1334" s="566" t="s">
        <v>4799</v>
      </c>
      <c r="L1334" s="549"/>
      <c r="M1334" s="540"/>
      <c r="O1334" s="540"/>
      <c r="S1334" s="550"/>
      <c r="T1334" s="547"/>
      <c r="U1334" s="547"/>
      <c r="V1334" s="547"/>
      <c r="W1334" s="549"/>
    </row>
    <row r="1335" spans="1:23">
      <c r="A1335" s="565">
        <v>2029</v>
      </c>
      <c r="B1335" s="696" t="s">
        <v>6740</v>
      </c>
      <c r="C1335" s="566">
        <f t="shared" si="20"/>
        <v>2029</v>
      </c>
      <c r="D1335" s="700" t="s">
        <v>3137</v>
      </c>
      <c r="E1335" s="701" t="s">
        <v>9209</v>
      </c>
      <c r="F1335" s="566">
        <v>1</v>
      </c>
      <c r="G1335" s="662">
        <v>0</v>
      </c>
      <c r="H1335" s="662">
        <v>0</v>
      </c>
      <c r="I1335" s="662">
        <v>0</v>
      </c>
      <c r="J1335" s="662">
        <v>36345.077056947768</v>
      </c>
      <c r="K1335" s="566" t="s">
        <v>4800</v>
      </c>
      <c r="L1335" s="549"/>
      <c r="M1335" s="540"/>
      <c r="O1335" s="540"/>
      <c r="S1335" s="550"/>
      <c r="T1335" s="547"/>
      <c r="U1335" s="547"/>
      <c r="V1335" s="547"/>
      <c r="W1335" s="549"/>
    </row>
    <row r="1336" spans="1:23">
      <c r="A1336" s="565">
        <v>2030</v>
      </c>
      <c r="B1336" s="696" t="s">
        <v>6741</v>
      </c>
      <c r="C1336" s="566">
        <f t="shared" si="20"/>
        <v>2030</v>
      </c>
      <c r="D1336" s="700" t="s">
        <v>3137</v>
      </c>
      <c r="E1336" s="701" t="s">
        <v>9210</v>
      </c>
      <c r="F1336" s="566">
        <v>1</v>
      </c>
      <c r="G1336" s="662">
        <v>0</v>
      </c>
      <c r="H1336" s="662">
        <v>0</v>
      </c>
      <c r="I1336" s="662">
        <v>0</v>
      </c>
      <c r="J1336" s="662">
        <v>44163.004143736762</v>
      </c>
      <c r="K1336" s="566" t="s">
        <v>4801</v>
      </c>
      <c r="L1336" s="549"/>
      <c r="M1336" s="540"/>
      <c r="O1336" s="540"/>
      <c r="S1336" s="550"/>
      <c r="T1336" s="547"/>
      <c r="U1336" s="547"/>
      <c r="V1336" s="547"/>
      <c r="W1336" s="549"/>
    </row>
    <row r="1337" spans="1:23">
      <c r="A1337" s="565">
        <v>2031</v>
      </c>
      <c r="B1337" s="696" t="s">
        <v>6742</v>
      </c>
      <c r="C1337" s="566">
        <f t="shared" si="20"/>
        <v>2031</v>
      </c>
      <c r="D1337" s="700" t="s">
        <v>3137</v>
      </c>
      <c r="E1337" s="701" t="s">
        <v>9211</v>
      </c>
      <c r="F1337" s="566">
        <v>1</v>
      </c>
      <c r="G1337" s="662">
        <v>0</v>
      </c>
      <c r="H1337" s="662">
        <v>0</v>
      </c>
      <c r="I1337" s="662">
        <v>0</v>
      </c>
      <c r="J1337" s="662">
        <v>44201.957871736755</v>
      </c>
      <c r="K1337" s="566" t="s">
        <v>4802</v>
      </c>
      <c r="L1337" s="549"/>
      <c r="M1337" s="540"/>
      <c r="O1337" s="540"/>
      <c r="S1337" s="550"/>
      <c r="T1337" s="547"/>
      <c r="U1337" s="547"/>
      <c r="V1337" s="547"/>
      <c r="W1337" s="549"/>
    </row>
    <row r="1338" spans="1:23">
      <c r="A1338" s="565">
        <v>2032</v>
      </c>
      <c r="B1338" s="696" t="s">
        <v>6743</v>
      </c>
      <c r="C1338" s="566">
        <f t="shared" si="20"/>
        <v>2032</v>
      </c>
      <c r="D1338" s="700" t="s">
        <v>2231</v>
      </c>
      <c r="E1338" s="701" t="s">
        <v>9212</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6744</v>
      </c>
      <c r="C1339" s="566">
        <f t="shared" si="20"/>
        <v>2033</v>
      </c>
      <c r="D1339" s="700" t="s">
        <v>2231</v>
      </c>
      <c r="E1339" s="701" t="s">
        <v>9213</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6745</v>
      </c>
      <c r="C1340" s="566">
        <f t="shared" si="20"/>
        <v>2034</v>
      </c>
      <c r="D1340" s="700" t="s">
        <v>2231</v>
      </c>
      <c r="E1340" s="701" t="s">
        <v>9214</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6746</v>
      </c>
      <c r="C1341" s="566">
        <f t="shared" si="20"/>
        <v>2035</v>
      </c>
      <c r="D1341" s="700" t="s">
        <v>2231</v>
      </c>
      <c r="E1341" s="701" t="s">
        <v>9215</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6747</v>
      </c>
      <c r="C1342" s="566">
        <f t="shared" si="20"/>
        <v>2036</v>
      </c>
      <c r="D1342" s="699" t="s">
        <v>2231</v>
      </c>
      <c r="E1342" s="701" t="s">
        <v>9216</v>
      </c>
      <c r="F1342" s="567">
        <v>2</v>
      </c>
      <c r="G1342" s="662">
        <v>0</v>
      </c>
      <c r="H1342" s="662">
        <v>35097.073518696845</v>
      </c>
      <c r="I1342" s="662">
        <v>36479.051188096979</v>
      </c>
      <c r="J1342" s="662">
        <v>37933.767085062005</v>
      </c>
      <c r="K1342" s="568" t="s">
        <v>4068</v>
      </c>
      <c r="L1342" s="549"/>
      <c r="M1342" s="540"/>
      <c r="O1342" s="540"/>
      <c r="S1342" s="550"/>
      <c r="T1342" s="547"/>
      <c r="U1342" s="547"/>
      <c r="V1342" s="547"/>
      <c r="W1342" s="549"/>
    </row>
    <row r="1343" spans="1:23">
      <c r="A1343" s="565">
        <v>2037</v>
      </c>
      <c r="B1343" s="695" t="s">
        <v>6748</v>
      </c>
      <c r="C1343" s="566">
        <f t="shared" si="20"/>
        <v>2037</v>
      </c>
      <c r="D1343" s="699" t="s">
        <v>2231</v>
      </c>
      <c r="E1343" s="701" t="s">
        <v>9217</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6749</v>
      </c>
      <c r="C1344" s="566">
        <f t="shared" si="20"/>
        <v>2038</v>
      </c>
      <c r="D1344" s="700" t="s">
        <v>2231</v>
      </c>
      <c r="E1344" s="701" t="s">
        <v>9218</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6750</v>
      </c>
      <c r="C1345" s="566">
        <f t="shared" si="20"/>
        <v>2039</v>
      </c>
      <c r="D1345" s="700" t="s">
        <v>2231</v>
      </c>
      <c r="E1345" s="701" t="s">
        <v>9219</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6751</v>
      </c>
      <c r="C1346" s="566">
        <f t="shared" si="20"/>
        <v>2040</v>
      </c>
      <c r="D1346" s="700" t="s">
        <v>2231</v>
      </c>
      <c r="E1346" s="701" t="s">
        <v>9220</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6752</v>
      </c>
      <c r="C1347" s="566">
        <f t="shared" si="20"/>
        <v>2041</v>
      </c>
      <c r="D1347" s="700" t="s">
        <v>2231</v>
      </c>
      <c r="E1347" s="701" t="s">
        <v>9221</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6753</v>
      </c>
      <c r="C1348" s="566">
        <f t="shared" si="20"/>
        <v>2042</v>
      </c>
      <c r="D1348" s="700" t="s">
        <v>2231</v>
      </c>
      <c r="E1348" s="701" t="s">
        <v>9222</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6754</v>
      </c>
      <c r="C1349" s="566">
        <f t="shared" si="20"/>
        <v>2043</v>
      </c>
      <c r="D1349" s="700" t="s">
        <v>2231</v>
      </c>
      <c r="E1349" s="701" t="s">
        <v>9223</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6755</v>
      </c>
      <c r="C1350" s="566">
        <f t="shared" si="20"/>
        <v>2044</v>
      </c>
      <c r="D1350" s="700" t="s">
        <v>2231</v>
      </c>
      <c r="E1350" s="701" t="s">
        <v>9224</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6756</v>
      </c>
      <c r="C1351" s="566">
        <f t="shared" si="20"/>
        <v>2045</v>
      </c>
      <c r="D1351" s="700" t="s">
        <v>2231</v>
      </c>
      <c r="E1351" s="701" t="s">
        <v>9225</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6757</v>
      </c>
      <c r="C1352" s="566">
        <f t="shared" si="20"/>
        <v>2046</v>
      </c>
      <c r="D1352" s="700" t="s">
        <v>2231</v>
      </c>
      <c r="E1352" s="701" t="s">
        <v>9226</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6758</v>
      </c>
      <c r="C1353" s="566">
        <f t="shared" ref="C1353:C1416" si="21">A1353</f>
        <v>2047</v>
      </c>
      <c r="D1353" s="700" t="s">
        <v>2231</v>
      </c>
      <c r="E1353" s="701" t="s">
        <v>9227</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6759</v>
      </c>
      <c r="C1354" s="566">
        <f t="shared" si="21"/>
        <v>2048</v>
      </c>
      <c r="D1354" s="700" t="s">
        <v>2231</v>
      </c>
      <c r="E1354" s="701" t="s">
        <v>9228</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6760</v>
      </c>
      <c r="C1355" s="566">
        <f t="shared" si="21"/>
        <v>2049</v>
      </c>
      <c r="D1355" s="700" t="s">
        <v>2231</v>
      </c>
      <c r="E1355" s="701" t="s">
        <v>9229</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6761</v>
      </c>
      <c r="C1356" s="566">
        <f t="shared" si="21"/>
        <v>2050</v>
      </c>
      <c r="D1356" s="699" t="s">
        <v>2231</v>
      </c>
      <c r="E1356" s="701" t="s">
        <v>9230</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6762</v>
      </c>
      <c r="C1357" s="566">
        <f t="shared" si="21"/>
        <v>2051</v>
      </c>
      <c r="D1357" s="699" t="s">
        <v>2231</v>
      </c>
      <c r="E1357" s="701" t="s">
        <v>9231</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6763</v>
      </c>
      <c r="C1358" s="566">
        <f t="shared" si="21"/>
        <v>2052</v>
      </c>
      <c r="D1358" s="700" t="s">
        <v>2231</v>
      </c>
      <c r="E1358" s="701" t="s">
        <v>9232</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6764</v>
      </c>
      <c r="C1359" s="566">
        <f t="shared" si="21"/>
        <v>2053</v>
      </c>
      <c r="D1359" s="699" t="s">
        <v>2231</v>
      </c>
      <c r="E1359" s="701" t="s">
        <v>9233</v>
      </c>
      <c r="F1359" s="567">
        <v>2</v>
      </c>
      <c r="G1359" s="662">
        <v>0</v>
      </c>
      <c r="H1359" s="662">
        <v>0</v>
      </c>
      <c r="I1359" s="662">
        <v>45029.396572457314</v>
      </c>
      <c r="J1359" s="662">
        <v>0</v>
      </c>
      <c r="K1359" s="568" t="s">
        <v>4803</v>
      </c>
      <c r="L1359" s="549"/>
      <c r="M1359" s="540"/>
      <c r="O1359" s="540"/>
      <c r="S1359" s="550"/>
      <c r="T1359" s="547"/>
      <c r="U1359" s="547"/>
      <c r="V1359" s="547"/>
      <c r="W1359" s="549"/>
    </row>
    <row r="1360" spans="1:23">
      <c r="A1360" s="565">
        <v>2054</v>
      </c>
      <c r="B1360" s="696" t="s">
        <v>6765</v>
      </c>
      <c r="C1360" s="566">
        <f t="shared" si="21"/>
        <v>2054</v>
      </c>
      <c r="D1360" s="700" t="s">
        <v>2231</v>
      </c>
      <c r="E1360" s="701" t="s">
        <v>9234</v>
      </c>
      <c r="F1360" s="566">
        <v>2</v>
      </c>
      <c r="G1360" s="662">
        <v>0</v>
      </c>
      <c r="H1360" s="662">
        <v>0</v>
      </c>
      <c r="I1360" s="662">
        <v>45724.295203013047</v>
      </c>
      <c r="J1360" s="662">
        <v>0</v>
      </c>
      <c r="K1360" s="566" t="s">
        <v>4804</v>
      </c>
      <c r="L1360" s="549"/>
      <c r="M1360" s="540"/>
      <c r="O1360" s="540"/>
      <c r="S1360" s="550"/>
      <c r="T1360" s="547"/>
      <c r="U1360" s="547"/>
      <c r="V1360" s="547"/>
      <c r="W1360" s="549"/>
    </row>
    <row r="1361" spans="1:23">
      <c r="A1361" s="565">
        <v>2055</v>
      </c>
      <c r="B1361" s="696" t="s">
        <v>6766</v>
      </c>
      <c r="C1361" s="566">
        <f t="shared" si="21"/>
        <v>2055</v>
      </c>
      <c r="D1361" s="700" t="s">
        <v>2232</v>
      </c>
      <c r="E1361" s="701" t="s">
        <v>9235</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6767</v>
      </c>
      <c r="C1362" s="566">
        <f t="shared" si="21"/>
        <v>2056</v>
      </c>
      <c r="D1362" s="700" t="s">
        <v>2232</v>
      </c>
      <c r="E1362" s="701" t="s">
        <v>9236</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6768</v>
      </c>
      <c r="C1363" s="566">
        <f t="shared" si="21"/>
        <v>2057</v>
      </c>
      <c r="D1363" s="700" t="s">
        <v>2233</v>
      </c>
      <c r="E1363" s="701" t="s">
        <v>9237</v>
      </c>
      <c r="F1363" s="566">
        <v>1</v>
      </c>
      <c r="G1363" s="662">
        <v>0</v>
      </c>
      <c r="H1363" s="662">
        <v>0</v>
      </c>
      <c r="I1363" s="662">
        <v>36412.177921985749</v>
      </c>
      <c r="J1363" s="662">
        <v>37256.674216870451</v>
      </c>
      <c r="K1363" s="566" t="s">
        <v>4069</v>
      </c>
      <c r="L1363" s="549"/>
      <c r="M1363" s="540"/>
      <c r="O1363" s="540"/>
      <c r="S1363" s="550"/>
      <c r="T1363" s="547"/>
      <c r="U1363" s="547"/>
      <c r="V1363" s="547"/>
      <c r="W1363" s="549"/>
    </row>
    <row r="1364" spans="1:23">
      <c r="A1364" s="565">
        <v>2058</v>
      </c>
      <c r="B1364" s="696" t="s">
        <v>6769</v>
      </c>
      <c r="C1364" s="566">
        <f t="shared" si="21"/>
        <v>2058</v>
      </c>
      <c r="D1364" s="700" t="s">
        <v>2233</v>
      </c>
      <c r="E1364" s="701" t="s">
        <v>9238</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6770</v>
      </c>
      <c r="C1365" s="566">
        <f t="shared" si="21"/>
        <v>2059</v>
      </c>
      <c r="D1365" s="700" t="s">
        <v>2233</v>
      </c>
      <c r="E1365" s="701" t="s">
        <v>9239</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6771</v>
      </c>
      <c r="C1366" s="566">
        <f t="shared" si="21"/>
        <v>2060</v>
      </c>
      <c r="D1366" s="700" t="s">
        <v>2233</v>
      </c>
      <c r="E1366" s="701" t="s">
        <v>9240</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6772</v>
      </c>
      <c r="C1367" s="566">
        <f t="shared" si="21"/>
        <v>2061</v>
      </c>
      <c r="D1367" s="700" t="s">
        <v>2233</v>
      </c>
      <c r="E1367" s="701" t="s">
        <v>9241</v>
      </c>
      <c r="F1367" s="566">
        <v>1</v>
      </c>
      <c r="G1367" s="662">
        <v>46749.879725083971</v>
      </c>
      <c r="H1367" s="662">
        <v>0</v>
      </c>
      <c r="I1367" s="662">
        <v>0</v>
      </c>
      <c r="J1367" s="662">
        <v>0</v>
      </c>
      <c r="K1367" s="566" t="s">
        <v>5282</v>
      </c>
      <c r="L1367" s="549"/>
      <c r="M1367" s="540"/>
      <c r="O1367" s="540"/>
      <c r="S1367" s="550"/>
      <c r="T1367" s="547"/>
      <c r="U1367" s="547"/>
      <c r="V1367" s="547"/>
      <c r="W1367" s="549"/>
    </row>
    <row r="1368" spans="1:23">
      <c r="A1368" s="565">
        <v>2062</v>
      </c>
      <c r="B1368" s="695" t="s">
        <v>6773</v>
      </c>
      <c r="C1368" s="566">
        <f t="shared" si="21"/>
        <v>2062</v>
      </c>
      <c r="D1368" s="699" t="s">
        <v>2233</v>
      </c>
      <c r="E1368" s="701" t="s">
        <v>9242</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6774</v>
      </c>
      <c r="C1369" s="566">
        <f t="shared" si="21"/>
        <v>2063</v>
      </c>
      <c r="D1369" s="700" t="s">
        <v>2233</v>
      </c>
      <c r="E1369" s="701" t="s">
        <v>9243</v>
      </c>
      <c r="F1369" s="566">
        <v>1</v>
      </c>
      <c r="G1369" s="662">
        <v>86908.651680543102</v>
      </c>
      <c r="H1369" s="662">
        <v>0</v>
      </c>
      <c r="I1369" s="662">
        <v>0</v>
      </c>
      <c r="J1369" s="662">
        <v>0</v>
      </c>
      <c r="K1369" s="566" t="s">
        <v>5283</v>
      </c>
      <c r="L1369" s="549"/>
      <c r="M1369" s="540"/>
      <c r="O1369" s="540"/>
      <c r="S1369" s="550"/>
      <c r="T1369" s="547"/>
      <c r="U1369" s="547"/>
      <c r="V1369" s="547"/>
      <c r="W1369" s="549"/>
    </row>
    <row r="1370" spans="1:23">
      <c r="A1370" s="565">
        <v>2064</v>
      </c>
      <c r="B1370" s="696" t="s">
        <v>6775</v>
      </c>
      <c r="C1370" s="566">
        <f t="shared" si="21"/>
        <v>2064</v>
      </c>
      <c r="D1370" s="700" t="s">
        <v>2234</v>
      </c>
      <c r="E1370" s="701" t="s">
        <v>9244</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6776</v>
      </c>
      <c r="C1371" s="566">
        <f t="shared" si="21"/>
        <v>2065</v>
      </c>
      <c r="D1371" s="699" t="s">
        <v>2234</v>
      </c>
      <c r="E1371" s="701" t="s">
        <v>9245</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6777</v>
      </c>
      <c r="C1372" s="566">
        <f t="shared" si="21"/>
        <v>2066</v>
      </c>
      <c r="D1372" s="700" t="s">
        <v>2234</v>
      </c>
      <c r="E1372" s="701" t="s">
        <v>9246</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6778</v>
      </c>
      <c r="C1373" s="566">
        <f t="shared" si="21"/>
        <v>2067</v>
      </c>
      <c r="D1373" s="700" t="s">
        <v>2234</v>
      </c>
      <c r="E1373" s="701" t="s">
        <v>9247</v>
      </c>
      <c r="F1373" s="566">
        <v>1</v>
      </c>
      <c r="G1373" s="662">
        <v>0</v>
      </c>
      <c r="H1373" s="662">
        <v>0</v>
      </c>
      <c r="I1373" s="662">
        <v>0</v>
      </c>
      <c r="J1373" s="662">
        <v>28091.714698350581</v>
      </c>
      <c r="K1373" s="566" t="s">
        <v>4805</v>
      </c>
      <c r="L1373" s="549"/>
      <c r="M1373" s="540"/>
      <c r="O1373" s="540"/>
      <c r="S1373" s="550"/>
      <c r="T1373" s="547"/>
      <c r="U1373" s="547"/>
      <c r="V1373" s="547"/>
      <c r="W1373" s="549"/>
    </row>
    <row r="1374" spans="1:23">
      <c r="A1374" s="565">
        <v>2068</v>
      </c>
      <c r="B1374" s="696" t="s">
        <v>6779</v>
      </c>
      <c r="C1374" s="566">
        <f t="shared" si="21"/>
        <v>2068</v>
      </c>
      <c r="D1374" s="700" t="s">
        <v>2234</v>
      </c>
      <c r="E1374" s="701" t="s">
        <v>9248</v>
      </c>
      <c r="F1374" s="566">
        <v>1</v>
      </c>
      <c r="G1374" s="662">
        <v>0</v>
      </c>
      <c r="H1374" s="662">
        <v>0</v>
      </c>
      <c r="I1374" s="662">
        <v>0</v>
      </c>
      <c r="J1374" s="662">
        <v>63407.011497350089</v>
      </c>
      <c r="K1374" s="566" t="s">
        <v>4806</v>
      </c>
      <c r="L1374" s="549"/>
      <c r="M1374" s="540"/>
      <c r="O1374" s="540"/>
      <c r="S1374" s="550"/>
      <c r="T1374" s="547"/>
      <c r="U1374" s="547"/>
      <c r="V1374" s="547"/>
      <c r="W1374" s="549"/>
    </row>
    <row r="1375" spans="1:23">
      <c r="A1375" s="565">
        <v>2069</v>
      </c>
      <c r="B1375" s="696" t="s">
        <v>6780</v>
      </c>
      <c r="C1375" s="566">
        <f t="shared" si="21"/>
        <v>2069</v>
      </c>
      <c r="D1375" s="700" t="s">
        <v>2234</v>
      </c>
      <c r="E1375" s="701" t="s">
        <v>9249</v>
      </c>
      <c r="F1375" s="566">
        <v>1</v>
      </c>
      <c r="G1375" s="662">
        <v>0</v>
      </c>
      <c r="H1375" s="662">
        <v>0</v>
      </c>
      <c r="I1375" s="662">
        <v>0</v>
      </c>
      <c r="J1375" s="662">
        <v>34530.291729305936</v>
      </c>
      <c r="K1375" s="566" t="s">
        <v>4807</v>
      </c>
      <c r="L1375" s="549"/>
      <c r="M1375" s="540"/>
      <c r="O1375" s="540"/>
      <c r="S1375" s="550"/>
      <c r="T1375" s="547"/>
      <c r="U1375" s="547"/>
      <c r="V1375" s="547"/>
      <c r="W1375" s="549"/>
    </row>
    <row r="1376" spans="1:23">
      <c r="A1376" s="565">
        <v>2070</v>
      </c>
      <c r="B1376" s="696" t="s">
        <v>6781</v>
      </c>
      <c r="C1376" s="566">
        <f t="shared" si="21"/>
        <v>2070</v>
      </c>
      <c r="D1376" s="700" t="s">
        <v>2234</v>
      </c>
      <c r="E1376" s="701" t="s">
        <v>9250</v>
      </c>
      <c r="F1376" s="566">
        <v>1</v>
      </c>
      <c r="G1376" s="662">
        <v>29177.567767591157</v>
      </c>
      <c r="H1376" s="662">
        <v>0</v>
      </c>
      <c r="I1376" s="662">
        <v>0</v>
      </c>
      <c r="J1376" s="662">
        <v>0</v>
      </c>
      <c r="K1376" s="566" t="s">
        <v>5284</v>
      </c>
      <c r="L1376" s="549"/>
      <c r="M1376" s="540"/>
      <c r="O1376" s="540"/>
      <c r="S1376" s="550"/>
      <c r="T1376" s="547"/>
      <c r="U1376" s="547"/>
      <c r="V1376" s="547"/>
      <c r="W1376" s="549"/>
    </row>
    <row r="1377" spans="1:23">
      <c r="A1377" s="565">
        <v>2071</v>
      </c>
      <c r="B1377" s="696" t="s">
        <v>6782</v>
      </c>
      <c r="C1377" s="566">
        <f t="shared" si="21"/>
        <v>2071</v>
      </c>
      <c r="D1377" s="700" t="s">
        <v>2234</v>
      </c>
      <c r="E1377" s="701" t="s">
        <v>9251</v>
      </c>
      <c r="F1377" s="566">
        <v>1</v>
      </c>
      <c r="G1377" s="662">
        <v>0</v>
      </c>
      <c r="H1377" s="662">
        <v>0</v>
      </c>
      <c r="I1377" s="662">
        <v>43508.952824737346</v>
      </c>
      <c r="J1377" s="662">
        <v>44562.636046129577</v>
      </c>
      <c r="K1377" s="566" t="s">
        <v>4070</v>
      </c>
      <c r="L1377" s="549"/>
      <c r="M1377" s="540"/>
      <c r="O1377" s="540"/>
      <c r="S1377" s="550"/>
      <c r="T1377" s="547"/>
      <c r="U1377" s="547"/>
      <c r="V1377" s="547"/>
      <c r="W1377" s="549"/>
    </row>
    <row r="1378" spans="1:23">
      <c r="A1378" s="565">
        <v>2072</v>
      </c>
      <c r="B1378" s="696" t="s">
        <v>6783</v>
      </c>
      <c r="C1378" s="566">
        <f t="shared" si="21"/>
        <v>2072</v>
      </c>
      <c r="D1378" s="700" t="s">
        <v>2234</v>
      </c>
      <c r="E1378" s="701" t="s">
        <v>9252</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6784</v>
      </c>
      <c r="C1379" s="566">
        <f t="shared" si="21"/>
        <v>2073</v>
      </c>
      <c r="D1379" s="700" t="s">
        <v>2234</v>
      </c>
      <c r="E1379" s="701" t="s">
        <v>9253</v>
      </c>
      <c r="F1379" s="566">
        <v>1</v>
      </c>
      <c r="G1379" s="662">
        <v>0</v>
      </c>
      <c r="H1379" s="662">
        <v>0</v>
      </c>
      <c r="I1379" s="662">
        <v>36550.171703119995</v>
      </c>
      <c r="J1379" s="662">
        <v>37401.667932122611</v>
      </c>
      <c r="K1379" s="566" t="s">
        <v>4071</v>
      </c>
      <c r="L1379" s="549"/>
      <c r="M1379" s="540"/>
      <c r="O1379" s="540"/>
      <c r="S1379" s="550"/>
      <c r="T1379" s="547"/>
      <c r="U1379" s="547"/>
      <c r="V1379" s="547"/>
      <c r="W1379" s="549"/>
    </row>
    <row r="1380" spans="1:23">
      <c r="A1380" s="565">
        <v>2074</v>
      </c>
      <c r="B1380" s="696" t="s">
        <v>6785</v>
      </c>
      <c r="C1380" s="566">
        <f t="shared" si="21"/>
        <v>2074</v>
      </c>
      <c r="D1380" s="700" t="s">
        <v>2234</v>
      </c>
      <c r="E1380" s="701" t="s">
        <v>9254</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6786</v>
      </c>
      <c r="C1381" s="566">
        <f t="shared" si="21"/>
        <v>2075</v>
      </c>
      <c r="D1381" s="700" t="s">
        <v>2234</v>
      </c>
      <c r="E1381" s="701" t="s">
        <v>9255</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6787</v>
      </c>
      <c r="C1382" s="566">
        <f t="shared" si="21"/>
        <v>2076</v>
      </c>
      <c r="D1382" s="699" t="s">
        <v>2234</v>
      </c>
      <c r="E1382" s="701" t="s">
        <v>9256</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6788</v>
      </c>
      <c r="C1383" s="566">
        <f t="shared" si="21"/>
        <v>2077</v>
      </c>
      <c r="D1383" s="700" t="s">
        <v>2234</v>
      </c>
      <c r="E1383" s="701" t="s">
        <v>9257</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6789</v>
      </c>
      <c r="C1384" s="566">
        <f t="shared" si="21"/>
        <v>2078</v>
      </c>
      <c r="D1384" s="700" t="s">
        <v>2234</v>
      </c>
      <c r="E1384" s="701" t="s">
        <v>9258</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6790</v>
      </c>
      <c r="C1385" s="566">
        <f t="shared" si="21"/>
        <v>2079</v>
      </c>
      <c r="D1385" s="700" t="s">
        <v>2234</v>
      </c>
      <c r="E1385" s="701" t="s">
        <v>9259</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6791</v>
      </c>
      <c r="C1386" s="566">
        <f t="shared" si="21"/>
        <v>2080</v>
      </c>
      <c r="D1386" s="700" t="s">
        <v>2234</v>
      </c>
      <c r="E1386" s="701" t="s">
        <v>9260</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6792</v>
      </c>
      <c r="C1387" s="566">
        <f t="shared" si="21"/>
        <v>2081</v>
      </c>
      <c r="D1387" s="700" t="s">
        <v>2234</v>
      </c>
      <c r="E1387" s="701" t="s">
        <v>9261</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6793</v>
      </c>
      <c r="C1388" s="566">
        <f t="shared" si="21"/>
        <v>2082</v>
      </c>
      <c r="D1388" s="700" t="s">
        <v>2234</v>
      </c>
      <c r="E1388" s="701" t="s">
        <v>9262</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6794</v>
      </c>
      <c r="C1389" s="566">
        <f t="shared" si="21"/>
        <v>2083</v>
      </c>
      <c r="D1389" s="700" t="s">
        <v>2234</v>
      </c>
      <c r="E1389" s="701" t="s">
        <v>9263</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6795</v>
      </c>
      <c r="C1390" s="566">
        <f t="shared" si="21"/>
        <v>2084</v>
      </c>
      <c r="D1390" s="700" t="s">
        <v>2234</v>
      </c>
      <c r="E1390" s="701" t="s">
        <v>9264</v>
      </c>
      <c r="F1390" s="566">
        <v>1</v>
      </c>
      <c r="G1390" s="662">
        <v>72441.388943813392</v>
      </c>
      <c r="H1390" s="662">
        <v>0</v>
      </c>
      <c r="I1390" s="662">
        <v>0</v>
      </c>
      <c r="J1390" s="662">
        <v>0</v>
      </c>
      <c r="K1390" s="566" t="s">
        <v>5285</v>
      </c>
      <c r="L1390" s="549"/>
      <c r="M1390" s="540"/>
      <c r="O1390" s="540"/>
      <c r="S1390" s="550"/>
      <c r="T1390" s="547"/>
      <c r="U1390" s="547"/>
      <c r="V1390" s="547"/>
      <c r="W1390" s="549"/>
    </row>
    <row r="1391" spans="1:23">
      <c r="A1391" s="565">
        <v>2085</v>
      </c>
      <c r="B1391" s="696" t="s">
        <v>6796</v>
      </c>
      <c r="C1391" s="566">
        <f t="shared" si="21"/>
        <v>2085</v>
      </c>
      <c r="D1391" s="700" t="s">
        <v>2234</v>
      </c>
      <c r="E1391" s="701" t="s">
        <v>9265</v>
      </c>
      <c r="F1391" s="566">
        <v>1</v>
      </c>
      <c r="G1391" s="662">
        <v>0</v>
      </c>
      <c r="H1391" s="662">
        <v>0</v>
      </c>
      <c r="I1391" s="662">
        <v>111947.28832877355</v>
      </c>
      <c r="J1391" s="662">
        <v>114672.50321049025</v>
      </c>
      <c r="K1391" s="566" t="s">
        <v>4072</v>
      </c>
      <c r="L1391" s="549"/>
      <c r="M1391" s="540"/>
      <c r="O1391" s="540"/>
      <c r="S1391" s="550"/>
      <c r="T1391" s="547"/>
      <c r="U1391" s="547"/>
      <c r="V1391" s="547"/>
      <c r="W1391" s="549"/>
    </row>
    <row r="1392" spans="1:23">
      <c r="A1392" s="565">
        <v>2086</v>
      </c>
      <c r="B1392" s="696" t="s">
        <v>6797</v>
      </c>
      <c r="C1392" s="566">
        <f t="shared" si="21"/>
        <v>2086</v>
      </c>
      <c r="D1392" s="700" t="s">
        <v>4582</v>
      </c>
      <c r="E1392" s="701" t="s">
        <v>9266</v>
      </c>
      <c r="F1392" s="566">
        <v>1</v>
      </c>
      <c r="G1392" s="662">
        <v>0</v>
      </c>
      <c r="H1392" s="662">
        <v>0</v>
      </c>
      <c r="I1392" s="662">
        <v>0</v>
      </c>
      <c r="J1392" s="662">
        <v>62969.895488018614</v>
      </c>
      <c r="K1392" s="566" t="s">
        <v>4808</v>
      </c>
      <c r="L1392" s="549"/>
      <c r="M1392" s="540"/>
      <c r="O1392" s="540"/>
      <c r="S1392" s="550"/>
      <c r="T1392" s="547"/>
      <c r="U1392" s="547"/>
      <c r="V1392" s="547"/>
      <c r="W1392" s="549"/>
    </row>
    <row r="1393" spans="1:23">
      <c r="A1393" s="565">
        <v>2087</v>
      </c>
      <c r="B1393" s="696" t="s">
        <v>6798</v>
      </c>
      <c r="C1393" s="566">
        <f t="shared" si="21"/>
        <v>2087</v>
      </c>
      <c r="D1393" s="700" t="s">
        <v>4583</v>
      </c>
      <c r="E1393" s="701" t="s">
        <v>9267</v>
      </c>
      <c r="F1393" s="566">
        <v>2</v>
      </c>
      <c r="G1393" s="662">
        <v>0</v>
      </c>
      <c r="H1393" s="662">
        <v>0</v>
      </c>
      <c r="I1393" s="662">
        <v>0</v>
      </c>
      <c r="J1393" s="662">
        <v>20241.487362999171</v>
      </c>
      <c r="K1393" s="566" t="s">
        <v>4809</v>
      </c>
      <c r="L1393" s="549"/>
      <c r="M1393" s="540"/>
      <c r="O1393" s="540"/>
      <c r="S1393" s="550"/>
      <c r="T1393" s="547"/>
      <c r="U1393" s="547"/>
      <c r="V1393" s="547"/>
      <c r="W1393" s="549"/>
    </row>
    <row r="1394" spans="1:23">
      <c r="A1394" s="565">
        <v>2088</v>
      </c>
      <c r="B1394" s="696" t="s">
        <v>6799</v>
      </c>
      <c r="C1394" s="566">
        <f t="shared" si="21"/>
        <v>2088</v>
      </c>
      <c r="D1394" s="700" t="s">
        <v>4583</v>
      </c>
      <c r="E1394" s="701" t="s">
        <v>9268</v>
      </c>
      <c r="F1394" s="566">
        <v>1</v>
      </c>
      <c r="G1394" s="662">
        <v>0</v>
      </c>
      <c r="H1394" s="662">
        <v>0</v>
      </c>
      <c r="I1394" s="662">
        <v>0</v>
      </c>
      <c r="J1394" s="662">
        <v>22036.16920605399</v>
      </c>
      <c r="K1394" s="566" t="s">
        <v>4810</v>
      </c>
      <c r="L1394" s="549"/>
      <c r="M1394" s="540"/>
      <c r="O1394" s="540"/>
      <c r="S1394" s="550"/>
      <c r="T1394" s="547"/>
      <c r="U1394" s="547"/>
      <c r="V1394" s="547"/>
      <c r="W1394" s="549"/>
    </row>
    <row r="1395" spans="1:23">
      <c r="A1395" s="565">
        <v>2089</v>
      </c>
      <c r="B1395" s="696" t="s">
        <v>6800</v>
      </c>
      <c r="C1395" s="566">
        <f t="shared" si="21"/>
        <v>2089</v>
      </c>
      <c r="D1395" s="700" t="s">
        <v>4583</v>
      </c>
      <c r="E1395" s="701" t="s">
        <v>9269</v>
      </c>
      <c r="F1395" s="566">
        <v>1</v>
      </c>
      <c r="G1395" s="662">
        <v>0</v>
      </c>
      <c r="H1395" s="662">
        <v>0</v>
      </c>
      <c r="I1395" s="662">
        <v>0</v>
      </c>
      <c r="J1395" s="662">
        <v>24854.880750641008</v>
      </c>
      <c r="K1395" s="566" t="s">
        <v>4811</v>
      </c>
      <c r="L1395" s="549"/>
      <c r="M1395" s="540"/>
      <c r="O1395" s="540"/>
      <c r="S1395" s="550"/>
      <c r="T1395" s="547"/>
      <c r="U1395" s="547"/>
      <c r="V1395" s="547"/>
      <c r="W1395" s="549"/>
    </row>
    <row r="1396" spans="1:23">
      <c r="A1396" s="565">
        <v>2090</v>
      </c>
      <c r="B1396" s="695" t="s">
        <v>6801</v>
      </c>
      <c r="C1396" s="566">
        <f t="shared" si="21"/>
        <v>2090</v>
      </c>
      <c r="D1396" s="699" t="s">
        <v>2235</v>
      </c>
      <c r="E1396" s="701" t="s">
        <v>9270</v>
      </c>
      <c r="F1396" s="567">
        <v>1</v>
      </c>
      <c r="G1396" s="662">
        <v>0</v>
      </c>
      <c r="H1396" s="662">
        <v>0</v>
      </c>
      <c r="I1396" s="662">
        <v>21790.071326377856</v>
      </c>
      <c r="J1396" s="662">
        <v>22452.655817812578</v>
      </c>
      <c r="K1396" s="568" t="s">
        <v>4073</v>
      </c>
      <c r="L1396" s="549"/>
      <c r="M1396" s="540"/>
      <c r="O1396" s="540"/>
      <c r="S1396" s="550"/>
      <c r="T1396" s="547"/>
      <c r="U1396" s="547"/>
      <c r="V1396" s="547"/>
      <c r="W1396" s="549"/>
    </row>
    <row r="1397" spans="1:23">
      <c r="A1397" s="565">
        <v>2091</v>
      </c>
      <c r="B1397" s="695" t="s">
        <v>6802</v>
      </c>
      <c r="C1397" s="566">
        <f t="shared" si="21"/>
        <v>2091</v>
      </c>
      <c r="D1397" s="699" t="s">
        <v>2235</v>
      </c>
      <c r="E1397" s="701" t="s">
        <v>9271</v>
      </c>
      <c r="F1397" s="567">
        <v>1</v>
      </c>
      <c r="G1397" s="662">
        <v>0</v>
      </c>
      <c r="H1397" s="662">
        <v>0</v>
      </c>
      <c r="I1397" s="662">
        <v>0</v>
      </c>
      <c r="J1397" s="662">
        <v>24744.329914421513</v>
      </c>
      <c r="K1397" s="568" t="s">
        <v>4812</v>
      </c>
      <c r="L1397" s="549"/>
      <c r="M1397" s="540"/>
      <c r="O1397" s="540"/>
      <c r="S1397" s="550"/>
      <c r="T1397" s="547"/>
      <c r="U1397" s="547"/>
      <c r="V1397" s="547"/>
      <c r="W1397" s="549"/>
    </row>
    <row r="1398" spans="1:23">
      <c r="A1398" s="565">
        <v>2092</v>
      </c>
      <c r="B1398" s="695" t="s">
        <v>6803</v>
      </c>
      <c r="C1398" s="566">
        <f t="shared" si="21"/>
        <v>2092</v>
      </c>
      <c r="D1398" s="699" t="s">
        <v>2235</v>
      </c>
      <c r="E1398" s="701" t="s">
        <v>9272</v>
      </c>
      <c r="F1398" s="567">
        <v>1</v>
      </c>
      <c r="G1398" s="662">
        <v>0</v>
      </c>
      <c r="H1398" s="662">
        <v>0</v>
      </c>
      <c r="I1398" s="662">
        <v>0</v>
      </c>
      <c r="J1398" s="662">
        <v>21790.071326377856</v>
      </c>
      <c r="K1398" s="568" t="s">
        <v>4813</v>
      </c>
      <c r="L1398" s="549"/>
      <c r="M1398" s="540"/>
      <c r="O1398" s="540"/>
      <c r="S1398" s="550"/>
      <c r="T1398" s="547"/>
      <c r="U1398" s="547"/>
      <c r="V1398" s="547"/>
      <c r="W1398" s="549"/>
    </row>
    <row r="1399" spans="1:23">
      <c r="A1399" s="565">
        <v>2093</v>
      </c>
      <c r="B1399" s="696" t="s">
        <v>6804</v>
      </c>
      <c r="C1399" s="566">
        <f t="shared" si="21"/>
        <v>2093</v>
      </c>
      <c r="D1399" s="700" t="s">
        <v>2235</v>
      </c>
      <c r="E1399" s="701" t="s">
        <v>9273</v>
      </c>
      <c r="F1399" s="566">
        <v>1</v>
      </c>
      <c r="G1399" s="662">
        <v>0</v>
      </c>
      <c r="H1399" s="662">
        <v>0</v>
      </c>
      <c r="I1399" s="662">
        <v>0</v>
      </c>
      <c r="J1399" s="662">
        <v>18581.135273847682</v>
      </c>
      <c r="K1399" s="566" t="s">
        <v>4814</v>
      </c>
      <c r="L1399" s="549"/>
      <c r="M1399" s="540"/>
      <c r="O1399" s="540"/>
      <c r="S1399" s="550"/>
      <c r="T1399" s="547"/>
      <c r="U1399" s="547"/>
      <c r="V1399" s="547"/>
      <c r="W1399" s="549"/>
    </row>
    <row r="1400" spans="1:23">
      <c r="A1400" s="565">
        <v>2094</v>
      </c>
      <c r="B1400" s="695" t="s">
        <v>6805</v>
      </c>
      <c r="C1400" s="566">
        <f t="shared" si="21"/>
        <v>2094</v>
      </c>
      <c r="D1400" s="699" t="s">
        <v>2235</v>
      </c>
      <c r="E1400" s="701" t="s">
        <v>9274</v>
      </c>
      <c r="F1400" s="567">
        <v>1</v>
      </c>
      <c r="G1400" s="662">
        <v>0</v>
      </c>
      <c r="H1400" s="662">
        <v>0</v>
      </c>
      <c r="I1400" s="662">
        <v>0</v>
      </c>
      <c r="J1400" s="662">
        <v>20160.13555366412</v>
      </c>
      <c r="K1400" s="568" t="s">
        <v>4815</v>
      </c>
      <c r="L1400" s="549"/>
      <c r="M1400" s="540"/>
      <c r="O1400" s="540"/>
      <c r="S1400" s="550"/>
      <c r="T1400" s="547"/>
      <c r="U1400" s="547"/>
      <c r="V1400" s="547"/>
      <c r="W1400" s="549"/>
    </row>
    <row r="1401" spans="1:23">
      <c r="A1401" s="565">
        <v>2095</v>
      </c>
      <c r="B1401" s="696" t="s">
        <v>6806</v>
      </c>
      <c r="C1401" s="566">
        <f t="shared" si="21"/>
        <v>2095</v>
      </c>
      <c r="D1401" s="700" t="s">
        <v>2235</v>
      </c>
      <c r="E1401" s="701" t="s">
        <v>9275</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6807</v>
      </c>
      <c r="C1402" s="566">
        <f t="shared" si="21"/>
        <v>2096</v>
      </c>
      <c r="D1402" s="700" t="s">
        <v>2235</v>
      </c>
      <c r="E1402" s="701" t="s">
        <v>9276</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6808</v>
      </c>
      <c r="C1403" s="566">
        <f t="shared" si="21"/>
        <v>2097</v>
      </c>
      <c r="D1403" s="699" t="s">
        <v>2235</v>
      </c>
      <c r="E1403" s="701" t="s">
        <v>9277</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6809</v>
      </c>
      <c r="C1404" s="566">
        <f t="shared" si="21"/>
        <v>2098</v>
      </c>
      <c r="D1404" s="699" t="s">
        <v>2235</v>
      </c>
      <c r="E1404" s="701" t="s">
        <v>9278</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6810</v>
      </c>
      <c r="C1405" s="566">
        <f t="shared" si="21"/>
        <v>2099</v>
      </c>
      <c r="D1405" s="699" t="s">
        <v>2235</v>
      </c>
      <c r="E1405" s="701" t="s">
        <v>9279</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6811</v>
      </c>
      <c r="C1406" s="566">
        <f t="shared" si="21"/>
        <v>2100</v>
      </c>
      <c r="D1406" s="700" t="s">
        <v>2235</v>
      </c>
      <c r="E1406" s="701" t="s">
        <v>9280</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6812</v>
      </c>
      <c r="C1407" s="566">
        <f t="shared" si="21"/>
        <v>2101</v>
      </c>
      <c r="D1407" s="700" t="s">
        <v>2235</v>
      </c>
      <c r="E1407" s="701" t="s">
        <v>9281</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6813</v>
      </c>
      <c r="C1408" s="566">
        <f t="shared" si="21"/>
        <v>2102</v>
      </c>
      <c r="D1408" s="700" t="s">
        <v>2235</v>
      </c>
      <c r="E1408" s="701" t="s">
        <v>9282</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6814</v>
      </c>
      <c r="C1409" s="566">
        <f t="shared" si="21"/>
        <v>2103</v>
      </c>
      <c r="D1409" s="700" t="s">
        <v>2235</v>
      </c>
      <c r="E1409" s="701" t="s">
        <v>9283</v>
      </c>
      <c r="F1409" s="566">
        <v>1</v>
      </c>
      <c r="G1409" s="662">
        <v>0</v>
      </c>
      <c r="H1409" s="662">
        <v>10712.066367213623</v>
      </c>
      <c r="I1409" s="662">
        <v>10977.018498947111</v>
      </c>
      <c r="J1409" s="662">
        <v>11255.943525225652</v>
      </c>
      <c r="K1409" s="566" t="s">
        <v>4074</v>
      </c>
      <c r="L1409" s="549"/>
      <c r="M1409" s="540"/>
      <c r="O1409" s="540"/>
      <c r="S1409" s="550"/>
      <c r="T1409" s="547"/>
      <c r="U1409" s="547"/>
      <c r="V1409" s="547"/>
      <c r="W1409" s="549"/>
    </row>
    <row r="1410" spans="1:23">
      <c r="A1410" s="565">
        <v>2104</v>
      </c>
      <c r="B1410" s="696" t="s">
        <v>6815</v>
      </c>
      <c r="C1410" s="566">
        <f t="shared" si="21"/>
        <v>2104</v>
      </c>
      <c r="D1410" s="700" t="s">
        <v>2235</v>
      </c>
      <c r="E1410" s="701" t="s">
        <v>9284</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6816</v>
      </c>
      <c r="C1411" s="566">
        <f t="shared" si="21"/>
        <v>2105</v>
      </c>
      <c r="D1411" s="700" t="s">
        <v>2235</v>
      </c>
      <c r="E1411" s="701" t="s">
        <v>9285</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6817</v>
      </c>
      <c r="C1412" s="566">
        <f t="shared" si="21"/>
        <v>2106</v>
      </c>
      <c r="D1412" s="700" t="s">
        <v>2235</v>
      </c>
      <c r="E1412" s="701" t="s">
        <v>9286</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6818</v>
      </c>
      <c r="C1413" s="566">
        <f t="shared" si="21"/>
        <v>2107</v>
      </c>
      <c r="D1413" s="700" t="s">
        <v>2235</v>
      </c>
      <c r="E1413" s="701" t="s">
        <v>9287</v>
      </c>
      <c r="F1413" s="566">
        <v>1</v>
      </c>
      <c r="G1413" s="662">
        <v>0</v>
      </c>
      <c r="H1413" s="662">
        <v>0</v>
      </c>
      <c r="I1413" s="662">
        <v>0</v>
      </c>
      <c r="J1413" s="662">
        <v>13511.098686835157</v>
      </c>
      <c r="K1413" s="566" t="s">
        <v>4816</v>
      </c>
      <c r="L1413" s="549"/>
      <c r="M1413" s="540"/>
      <c r="O1413" s="540"/>
      <c r="S1413" s="550"/>
      <c r="T1413" s="547"/>
      <c r="U1413" s="547"/>
      <c r="V1413" s="547"/>
      <c r="W1413" s="549"/>
    </row>
    <row r="1414" spans="1:23">
      <c r="A1414" s="565">
        <v>2108</v>
      </c>
      <c r="B1414" s="695" t="s">
        <v>6819</v>
      </c>
      <c r="C1414" s="566">
        <f t="shared" si="21"/>
        <v>2108</v>
      </c>
      <c r="D1414" s="699" t="s">
        <v>2235</v>
      </c>
      <c r="E1414" s="701" t="s">
        <v>9288</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6820</v>
      </c>
      <c r="C1415" s="566">
        <f t="shared" si="21"/>
        <v>2109</v>
      </c>
      <c r="D1415" s="700" t="s">
        <v>2235</v>
      </c>
      <c r="E1415" s="701" t="s">
        <v>9289</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6821</v>
      </c>
      <c r="C1416" s="566">
        <f t="shared" si="21"/>
        <v>2110</v>
      </c>
      <c r="D1416" s="700" t="s">
        <v>2235</v>
      </c>
      <c r="E1416" s="701" t="s">
        <v>9290</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6822</v>
      </c>
      <c r="C1417" s="566">
        <f t="shared" ref="C1417:C1480" si="22">A1417</f>
        <v>2111</v>
      </c>
      <c r="D1417" s="700" t="s">
        <v>2235</v>
      </c>
      <c r="E1417" s="701" t="s">
        <v>9291</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6823</v>
      </c>
      <c r="C1418" s="566">
        <f t="shared" si="22"/>
        <v>2112</v>
      </c>
      <c r="D1418" s="700" t="s">
        <v>2235</v>
      </c>
      <c r="E1418" s="701" t="s">
        <v>9292</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6824</v>
      </c>
      <c r="C1419" s="566">
        <f t="shared" si="22"/>
        <v>2113</v>
      </c>
      <c r="D1419" s="700" t="s">
        <v>2235</v>
      </c>
      <c r="E1419" s="701" t="s">
        <v>9293</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6825</v>
      </c>
      <c r="C1420" s="566">
        <f t="shared" si="22"/>
        <v>2114</v>
      </c>
      <c r="D1420" s="700" t="s">
        <v>2235</v>
      </c>
      <c r="E1420" s="701" t="s">
        <v>9294</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6826</v>
      </c>
      <c r="C1421" s="566">
        <f t="shared" si="22"/>
        <v>2115</v>
      </c>
      <c r="D1421" s="700" t="s">
        <v>2235</v>
      </c>
      <c r="E1421" s="701" t="s">
        <v>9295</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6827</v>
      </c>
      <c r="C1422" s="566">
        <f t="shared" si="22"/>
        <v>2116</v>
      </c>
      <c r="D1422" s="700" t="s">
        <v>2235</v>
      </c>
      <c r="E1422" s="701" t="s">
        <v>9296</v>
      </c>
      <c r="F1422" s="566">
        <v>1</v>
      </c>
      <c r="G1422" s="662">
        <v>0</v>
      </c>
      <c r="H1422" s="662">
        <v>0</v>
      </c>
      <c r="I1422" s="662">
        <v>16263.634063334242</v>
      </c>
      <c r="J1422" s="662">
        <v>16712.217264692626</v>
      </c>
      <c r="K1422" s="566" t="s">
        <v>4817</v>
      </c>
      <c r="L1422" s="549"/>
      <c r="M1422" s="540"/>
      <c r="O1422" s="540"/>
      <c r="S1422" s="550"/>
      <c r="T1422" s="547"/>
      <c r="U1422" s="547"/>
      <c r="V1422" s="547"/>
      <c r="W1422" s="549"/>
    </row>
    <row r="1423" spans="1:23">
      <c r="A1423" s="565">
        <v>2117</v>
      </c>
      <c r="B1423" s="696" t="s">
        <v>6828</v>
      </c>
      <c r="C1423" s="566">
        <f t="shared" si="22"/>
        <v>2117</v>
      </c>
      <c r="D1423" s="700" t="s">
        <v>2235</v>
      </c>
      <c r="E1423" s="701" t="s">
        <v>9297</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6829</v>
      </c>
      <c r="C1424" s="566">
        <f t="shared" si="22"/>
        <v>2118</v>
      </c>
      <c r="D1424" s="700" t="s">
        <v>2235</v>
      </c>
      <c r="E1424" s="701" t="s">
        <v>9298</v>
      </c>
      <c r="F1424" s="566">
        <v>1</v>
      </c>
      <c r="G1424" s="662">
        <v>0</v>
      </c>
      <c r="H1424" s="662">
        <v>0</v>
      </c>
      <c r="I1424" s="662">
        <v>0</v>
      </c>
      <c r="J1424" s="662">
        <v>15240.826870257362</v>
      </c>
      <c r="K1424" s="566" t="s">
        <v>4818</v>
      </c>
      <c r="L1424" s="549"/>
      <c r="M1424" s="540"/>
      <c r="O1424" s="540"/>
      <c r="S1424" s="550"/>
      <c r="T1424" s="547"/>
      <c r="U1424" s="547"/>
      <c r="V1424" s="547"/>
      <c r="W1424" s="549"/>
    </row>
    <row r="1425" spans="1:23">
      <c r="A1425" s="565">
        <v>2119</v>
      </c>
      <c r="B1425" s="696" t="s">
        <v>6829</v>
      </c>
      <c r="C1425" s="566">
        <f t="shared" si="22"/>
        <v>2119</v>
      </c>
      <c r="D1425" s="700" t="s">
        <v>2235</v>
      </c>
      <c r="E1425" s="701" t="s">
        <v>9298</v>
      </c>
      <c r="F1425" s="566">
        <v>1</v>
      </c>
      <c r="G1425" s="662">
        <v>0</v>
      </c>
      <c r="H1425" s="662">
        <v>0</v>
      </c>
      <c r="I1425" s="662">
        <v>18491.876987166834</v>
      </c>
      <c r="J1425" s="662">
        <v>0</v>
      </c>
      <c r="K1425" s="566" t="s">
        <v>4819</v>
      </c>
      <c r="L1425" s="549"/>
      <c r="M1425" s="540"/>
      <c r="O1425" s="540"/>
      <c r="S1425" s="550"/>
      <c r="T1425" s="547"/>
      <c r="U1425" s="547"/>
      <c r="V1425" s="547"/>
      <c r="W1425" s="549"/>
    </row>
    <row r="1426" spans="1:23">
      <c r="A1426" s="565">
        <v>2120</v>
      </c>
      <c r="B1426" s="696" t="s">
        <v>6830</v>
      </c>
      <c r="C1426" s="566">
        <f t="shared" si="22"/>
        <v>2120</v>
      </c>
      <c r="D1426" s="700" t="s">
        <v>2235</v>
      </c>
      <c r="E1426" s="701" t="s">
        <v>9299</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6831</v>
      </c>
      <c r="C1427" s="566">
        <f t="shared" si="22"/>
        <v>2121</v>
      </c>
      <c r="D1427" s="700" t="s">
        <v>2235</v>
      </c>
      <c r="E1427" s="701" t="s">
        <v>9300</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6832</v>
      </c>
      <c r="C1428" s="566">
        <f t="shared" si="22"/>
        <v>2122</v>
      </c>
      <c r="D1428" s="700" t="s">
        <v>2235</v>
      </c>
      <c r="E1428" s="701" t="s">
        <v>9301</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6833</v>
      </c>
      <c r="C1429" s="566">
        <f t="shared" si="22"/>
        <v>2123</v>
      </c>
      <c r="D1429" s="700" t="s">
        <v>2235</v>
      </c>
      <c r="E1429" s="701" t="s">
        <v>9302</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6834</v>
      </c>
      <c r="C1430" s="566">
        <f t="shared" si="22"/>
        <v>2124</v>
      </c>
      <c r="D1430" s="700" t="s">
        <v>2235</v>
      </c>
      <c r="E1430" s="701" t="s">
        <v>9303</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6835</v>
      </c>
      <c r="C1431" s="566">
        <f t="shared" si="22"/>
        <v>2125</v>
      </c>
      <c r="D1431" s="700" t="s">
        <v>2235</v>
      </c>
      <c r="E1431" s="701" t="s">
        <v>9304</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6836</v>
      </c>
      <c r="C1432" s="566">
        <f t="shared" si="22"/>
        <v>2126</v>
      </c>
      <c r="D1432" s="700" t="s">
        <v>2235</v>
      </c>
      <c r="E1432" s="701" t="s">
        <v>9305</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6837</v>
      </c>
      <c r="C1433" s="566">
        <f t="shared" si="22"/>
        <v>2127</v>
      </c>
      <c r="D1433" s="699" t="s">
        <v>2235</v>
      </c>
      <c r="E1433" s="701" t="s">
        <v>9306</v>
      </c>
      <c r="F1433" s="567">
        <v>1</v>
      </c>
      <c r="G1433" s="662">
        <v>0</v>
      </c>
      <c r="H1433" s="662">
        <v>0</v>
      </c>
      <c r="I1433" s="662">
        <v>18781.175621896393</v>
      </c>
      <c r="J1433" s="662">
        <v>19335.383462453447</v>
      </c>
      <c r="K1433" s="568" t="s">
        <v>4075</v>
      </c>
      <c r="L1433" s="549"/>
      <c r="M1433" s="540"/>
      <c r="O1433" s="540"/>
      <c r="S1433" s="550"/>
      <c r="T1433" s="547"/>
      <c r="U1433" s="547"/>
      <c r="V1433" s="547"/>
      <c r="W1433" s="549"/>
    </row>
    <row r="1434" spans="1:23">
      <c r="A1434" s="565">
        <v>2128</v>
      </c>
      <c r="B1434" s="696" t="s">
        <v>6838</v>
      </c>
      <c r="C1434" s="566">
        <f t="shared" si="22"/>
        <v>2128</v>
      </c>
      <c r="D1434" s="700" t="s">
        <v>2235</v>
      </c>
      <c r="E1434" s="701" t="s">
        <v>9307</v>
      </c>
      <c r="F1434" s="566">
        <v>1</v>
      </c>
      <c r="G1434" s="662">
        <v>17133.485705953135</v>
      </c>
      <c r="H1434" s="662">
        <v>0</v>
      </c>
      <c r="I1434" s="662">
        <v>0</v>
      </c>
      <c r="J1434" s="662">
        <v>0</v>
      </c>
      <c r="K1434" s="566" t="s">
        <v>5286</v>
      </c>
      <c r="L1434" s="549"/>
      <c r="M1434" s="540"/>
      <c r="O1434" s="540"/>
      <c r="S1434" s="550"/>
      <c r="T1434" s="547"/>
      <c r="U1434" s="547"/>
      <c r="V1434" s="547"/>
      <c r="W1434" s="549"/>
    </row>
    <row r="1435" spans="1:23">
      <c r="A1435" s="565">
        <v>2129</v>
      </c>
      <c r="B1435" s="696" t="s">
        <v>6839</v>
      </c>
      <c r="C1435" s="566">
        <f t="shared" si="22"/>
        <v>2129</v>
      </c>
      <c r="D1435" s="700" t="s">
        <v>2236</v>
      </c>
      <c r="E1435" s="701" t="s">
        <v>9308</v>
      </c>
      <c r="F1435" s="566">
        <v>1</v>
      </c>
      <c r="G1435" s="662">
        <v>0</v>
      </c>
      <c r="H1435" s="662">
        <v>0</v>
      </c>
      <c r="I1435" s="662">
        <v>23089.424685644732</v>
      </c>
      <c r="J1435" s="662">
        <v>23905.286455534057</v>
      </c>
      <c r="K1435" s="566" t="s">
        <v>4076</v>
      </c>
      <c r="L1435" s="549"/>
      <c r="M1435" s="540"/>
      <c r="O1435" s="540"/>
      <c r="S1435" s="550"/>
      <c r="T1435" s="547"/>
      <c r="U1435" s="547"/>
      <c r="V1435" s="547"/>
      <c r="W1435" s="549"/>
    </row>
    <row r="1436" spans="1:23">
      <c r="A1436" s="565">
        <v>2130</v>
      </c>
      <c r="B1436" s="696" t="s">
        <v>6840</v>
      </c>
      <c r="C1436" s="566">
        <f t="shared" si="22"/>
        <v>2130</v>
      </c>
      <c r="D1436" s="700" t="s">
        <v>2236</v>
      </c>
      <c r="E1436" s="701" t="s">
        <v>9309</v>
      </c>
      <c r="F1436" s="566">
        <v>1</v>
      </c>
      <c r="G1436" s="662">
        <v>0</v>
      </c>
      <c r="H1436" s="662">
        <v>0</v>
      </c>
      <c r="I1436" s="662">
        <v>21709.063547968632</v>
      </c>
      <c r="J1436" s="662">
        <v>22470.785689151486</v>
      </c>
      <c r="K1436" s="566" t="s">
        <v>4077</v>
      </c>
      <c r="L1436" s="549"/>
      <c r="M1436" s="540"/>
      <c r="O1436" s="540"/>
      <c r="S1436" s="550"/>
      <c r="T1436" s="547"/>
      <c r="U1436" s="547"/>
      <c r="V1436" s="547"/>
      <c r="W1436" s="549"/>
    </row>
    <row r="1437" spans="1:23">
      <c r="A1437" s="565">
        <v>2131</v>
      </c>
      <c r="B1437" s="696" t="s">
        <v>6841</v>
      </c>
      <c r="C1437" s="566">
        <f t="shared" si="22"/>
        <v>2131</v>
      </c>
      <c r="D1437" s="700" t="s">
        <v>2236</v>
      </c>
      <c r="E1437" s="701" t="s">
        <v>9310</v>
      </c>
      <c r="F1437" s="566">
        <v>1</v>
      </c>
      <c r="G1437" s="662">
        <v>0</v>
      </c>
      <c r="H1437" s="662">
        <v>0</v>
      </c>
      <c r="I1437" s="662">
        <v>24265.287876998456</v>
      </c>
      <c r="J1437" s="662">
        <v>25127.288970804933</v>
      </c>
      <c r="K1437" s="566" t="s">
        <v>4079</v>
      </c>
      <c r="L1437" s="549"/>
      <c r="M1437" s="540"/>
      <c r="O1437" s="540"/>
      <c r="S1437" s="550"/>
      <c r="T1437" s="547"/>
      <c r="U1437" s="547"/>
      <c r="V1437" s="547"/>
      <c r="W1437" s="549"/>
    </row>
    <row r="1438" spans="1:23">
      <c r="A1438" s="565">
        <v>2132</v>
      </c>
      <c r="B1438" s="696" t="s">
        <v>6842</v>
      </c>
      <c r="C1438" s="566">
        <f t="shared" si="22"/>
        <v>2132</v>
      </c>
      <c r="D1438" s="700" t="s">
        <v>2236</v>
      </c>
      <c r="E1438" s="701" t="s">
        <v>9311</v>
      </c>
      <c r="F1438" s="566">
        <v>1</v>
      </c>
      <c r="G1438" s="662">
        <v>0</v>
      </c>
      <c r="H1438" s="662">
        <v>0</v>
      </c>
      <c r="I1438" s="662">
        <v>25645.64901467456</v>
      </c>
      <c r="J1438" s="662">
        <v>26561.789737187508</v>
      </c>
      <c r="K1438" s="566" t="s">
        <v>4078</v>
      </c>
      <c r="L1438" s="549"/>
      <c r="M1438" s="540"/>
      <c r="O1438" s="540"/>
      <c r="S1438" s="550"/>
      <c r="T1438" s="547"/>
      <c r="U1438" s="547"/>
      <c r="V1438" s="547"/>
      <c r="W1438" s="549"/>
    </row>
    <row r="1439" spans="1:23">
      <c r="A1439" s="565">
        <v>2133</v>
      </c>
      <c r="B1439" s="696" t="s">
        <v>6843</v>
      </c>
      <c r="C1439" s="566">
        <f t="shared" si="22"/>
        <v>2133</v>
      </c>
      <c r="D1439" s="700" t="s">
        <v>2236</v>
      </c>
      <c r="E1439" s="701" t="s">
        <v>9312</v>
      </c>
      <c r="F1439" s="566">
        <v>1</v>
      </c>
      <c r="G1439" s="662">
        <v>0</v>
      </c>
      <c r="H1439" s="662">
        <v>0</v>
      </c>
      <c r="I1439" s="662">
        <v>25645.64901467456</v>
      </c>
      <c r="J1439" s="662">
        <v>26561.789737187508</v>
      </c>
      <c r="K1439" s="566" t="s">
        <v>4080</v>
      </c>
      <c r="L1439" s="549"/>
      <c r="M1439" s="540"/>
      <c r="O1439" s="540"/>
      <c r="S1439" s="550"/>
      <c r="T1439" s="547"/>
      <c r="U1439" s="547"/>
      <c r="V1439" s="547"/>
      <c r="W1439" s="549"/>
    </row>
    <row r="1440" spans="1:23">
      <c r="A1440" s="565">
        <v>2134</v>
      </c>
      <c r="B1440" s="696" t="s">
        <v>6844</v>
      </c>
      <c r="C1440" s="566">
        <f t="shared" si="22"/>
        <v>2134</v>
      </c>
      <c r="D1440" s="700" t="s">
        <v>2236</v>
      </c>
      <c r="E1440" s="701" t="s">
        <v>9313</v>
      </c>
      <c r="F1440" s="566">
        <v>1</v>
      </c>
      <c r="G1440" s="662">
        <v>0</v>
      </c>
      <c r="H1440" s="662">
        <v>0</v>
      </c>
      <c r="I1440" s="662">
        <v>0</v>
      </c>
      <c r="J1440" s="662">
        <v>29991.230374025257</v>
      </c>
      <c r="K1440" s="566" t="s">
        <v>4820</v>
      </c>
      <c r="L1440" s="549"/>
      <c r="M1440" s="540"/>
      <c r="O1440" s="540"/>
      <c r="S1440" s="550"/>
      <c r="T1440" s="547"/>
      <c r="U1440" s="547"/>
      <c r="V1440" s="547"/>
      <c r="W1440" s="549"/>
    </row>
    <row r="1441" spans="1:23">
      <c r="A1441" s="565">
        <v>2135</v>
      </c>
      <c r="B1441" s="695" t="s">
        <v>6845</v>
      </c>
      <c r="C1441" s="566">
        <f t="shared" si="22"/>
        <v>2135</v>
      </c>
      <c r="D1441" s="699" t="s">
        <v>2236</v>
      </c>
      <c r="E1441" s="701" t="s">
        <v>9314</v>
      </c>
      <c r="F1441" s="567">
        <v>1</v>
      </c>
      <c r="G1441" s="662">
        <v>0</v>
      </c>
      <c r="H1441" s="662">
        <v>0</v>
      </c>
      <c r="I1441" s="662">
        <v>31167.093565378971</v>
      </c>
      <c r="J1441" s="662">
        <v>32299.750473062817</v>
      </c>
      <c r="K1441" s="568" t="s">
        <v>4081</v>
      </c>
      <c r="L1441" s="549"/>
      <c r="M1441" s="540"/>
      <c r="O1441" s="540"/>
      <c r="S1441" s="550"/>
      <c r="T1441" s="547"/>
      <c r="U1441" s="547"/>
      <c r="V1441" s="547"/>
      <c r="W1441" s="549"/>
    </row>
    <row r="1442" spans="1:23">
      <c r="A1442" s="565">
        <v>2136</v>
      </c>
      <c r="B1442" s="696" t="s">
        <v>6846</v>
      </c>
      <c r="C1442" s="566">
        <f t="shared" si="22"/>
        <v>2136</v>
      </c>
      <c r="D1442" s="700" t="s">
        <v>2236</v>
      </c>
      <c r="E1442" s="701" t="s">
        <v>9315</v>
      </c>
      <c r="F1442" s="566">
        <v>1</v>
      </c>
      <c r="G1442" s="662">
        <v>0</v>
      </c>
      <c r="H1442" s="662">
        <v>0</v>
      </c>
      <c r="I1442" s="662">
        <v>32547.454703055078</v>
      </c>
      <c r="J1442" s="662">
        <v>33734.251239445388</v>
      </c>
      <c r="K1442" s="566" t="s">
        <v>4082</v>
      </c>
      <c r="L1442" s="549"/>
      <c r="M1442" s="540"/>
      <c r="O1442" s="540"/>
      <c r="S1442" s="550"/>
      <c r="T1442" s="547"/>
      <c r="U1442" s="547"/>
      <c r="V1442" s="547"/>
      <c r="W1442" s="549"/>
    </row>
    <row r="1443" spans="1:23">
      <c r="A1443" s="565">
        <v>2137</v>
      </c>
      <c r="B1443" s="695" t="s">
        <v>6847</v>
      </c>
      <c r="C1443" s="566">
        <f t="shared" si="22"/>
        <v>2137</v>
      </c>
      <c r="D1443" s="699" t="s">
        <v>2236</v>
      </c>
      <c r="E1443" s="701" t="s">
        <v>9316</v>
      </c>
      <c r="F1443" s="567">
        <v>1</v>
      </c>
      <c r="G1443" s="662">
        <v>0</v>
      </c>
      <c r="H1443" s="662">
        <v>0</v>
      </c>
      <c r="I1443" s="662">
        <v>0</v>
      </c>
      <c r="J1443" s="662">
        <v>45737.572240848982</v>
      </c>
      <c r="K1443" s="568" t="s">
        <v>4821</v>
      </c>
      <c r="L1443" s="549"/>
      <c r="M1443" s="540"/>
      <c r="O1443" s="540"/>
      <c r="S1443" s="550"/>
      <c r="T1443" s="547"/>
      <c r="U1443" s="547"/>
      <c r="V1443" s="547"/>
      <c r="W1443" s="549"/>
    </row>
    <row r="1444" spans="1:23">
      <c r="A1444" s="565">
        <v>2138</v>
      </c>
      <c r="B1444" s="696" t="s">
        <v>6848</v>
      </c>
      <c r="C1444" s="566">
        <f t="shared" si="22"/>
        <v>2138</v>
      </c>
      <c r="D1444" s="700" t="s">
        <v>2236</v>
      </c>
      <c r="E1444" s="701" t="s">
        <v>9317</v>
      </c>
      <c r="F1444" s="566">
        <v>1</v>
      </c>
      <c r="G1444" s="662">
        <v>0</v>
      </c>
      <c r="H1444" s="662">
        <v>0</v>
      </c>
      <c r="I1444" s="662">
        <v>24265.287876998456</v>
      </c>
      <c r="J1444" s="662">
        <v>25127.288970804933</v>
      </c>
      <c r="K1444" s="566" t="s">
        <v>4083</v>
      </c>
      <c r="L1444" s="549"/>
      <c r="M1444" s="540"/>
      <c r="O1444" s="540"/>
      <c r="S1444" s="550"/>
      <c r="T1444" s="547"/>
      <c r="U1444" s="547"/>
      <c r="V1444" s="547"/>
      <c r="W1444" s="549"/>
    </row>
    <row r="1445" spans="1:23">
      <c r="A1445" s="565">
        <v>2139</v>
      </c>
      <c r="B1445" s="696" t="s">
        <v>6849</v>
      </c>
      <c r="C1445" s="566">
        <f t="shared" si="22"/>
        <v>2139</v>
      </c>
      <c r="D1445" s="700" t="s">
        <v>2236</v>
      </c>
      <c r="E1445" s="701" t="s">
        <v>9318</v>
      </c>
      <c r="F1445" s="566">
        <v>1</v>
      </c>
      <c r="G1445" s="662">
        <v>0</v>
      </c>
      <c r="H1445" s="662">
        <v>0</v>
      </c>
      <c r="I1445" s="662">
        <v>25645.64901467456</v>
      </c>
      <c r="J1445" s="662">
        <v>26561.789737187508</v>
      </c>
      <c r="K1445" s="566" t="s">
        <v>4084</v>
      </c>
      <c r="L1445" s="549"/>
      <c r="M1445" s="540"/>
      <c r="O1445" s="540"/>
      <c r="S1445" s="550"/>
      <c r="T1445" s="547"/>
      <c r="U1445" s="547"/>
      <c r="V1445" s="547"/>
      <c r="W1445" s="549"/>
    </row>
    <row r="1446" spans="1:23">
      <c r="A1446" s="565">
        <v>2140</v>
      </c>
      <c r="B1446" s="696" t="s">
        <v>6850</v>
      </c>
      <c r="C1446" s="566">
        <f t="shared" si="22"/>
        <v>2140</v>
      </c>
      <c r="D1446" s="700" t="s">
        <v>2236</v>
      </c>
      <c r="E1446" s="701" t="s">
        <v>9319</v>
      </c>
      <c r="F1446" s="566">
        <v>1</v>
      </c>
      <c r="G1446" s="662">
        <v>0</v>
      </c>
      <c r="H1446" s="662">
        <v>0</v>
      </c>
      <c r="I1446" s="662">
        <v>25390.026581771577</v>
      </c>
      <c r="J1446" s="662">
        <v>26296.135176056669</v>
      </c>
      <c r="K1446" s="566" t="s">
        <v>4085</v>
      </c>
      <c r="L1446" s="549"/>
      <c r="M1446" s="540"/>
      <c r="O1446" s="540"/>
      <c r="S1446" s="550"/>
      <c r="T1446" s="547"/>
      <c r="U1446" s="547"/>
      <c r="V1446" s="547"/>
      <c r="W1446" s="549"/>
    </row>
    <row r="1447" spans="1:23">
      <c r="A1447" s="565">
        <v>2141</v>
      </c>
      <c r="B1447" s="696" t="s">
        <v>6851</v>
      </c>
      <c r="C1447" s="566">
        <f t="shared" si="22"/>
        <v>2141</v>
      </c>
      <c r="D1447" s="700" t="s">
        <v>2236</v>
      </c>
      <c r="E1447" s="701" t="s">
        <v>9320</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6852</v>
      </c>
      <c r="C1448" s="566">
        <f t="shared" si="22"/>
        <v>2142</v>
      </c>
      <c r="D1448" s="700" t="s">
        <v>2236</v>
      </c>
      <c r="E1448" s="701" t="s">
        <v>9321</v>
      </c>
      <c r="F1448" s="566">
        <v>1</v>
      </c>
      <c r="G1448" s="662">
        <v>20524.383682959986</v>
      </c>
      <c r="H1448" s="662">
        <v>0</v>
      </c>
      <c r="I1448" s="662">
        <v>0</v>
      </c>
      <c r="J1448" s="662">
        <v>0</v>
      </c>
      <c r="K1448" s="566" t="s">
        <v>5287</v>
      </c>
      <c r="L1448" s="549"/>
      <c r="M1448" s="540"/>
      <c r="O1448" s="540"/>
      <c r="S1448" s="550"/>
      <c r="T1448" s="547"/>
      <c r="U1448" s="547"/>
      <c r="V1448" s="547"/>
      <c r="W1448" s="549"/>
    </row>
    <row r="1449" spans="1:23">
      <c r="A1449" s="565">
        <v>2143</v>
      </c>
      <c r="B1449" s="696" t="s">
        <v>6853</v>
      </c>
      <c r="C1449" s="566">
        <f t="shared" si="22"/>
        <v>2143</v>
      </c>
      <c r="D1449" s="700" t="s">
        <v>2236</v>
      </c>
      <c r="E1449" s="701" t="s">
        <v>9322</v>
      </c>
      <c r="F1449" s="566">
        <v>1</v>
      </c>
      <c r="G1449" s="662">
        <v>19306.519737253137</v>
      </c>
      <c r="H1449" s="662">
        <v>0</v>
      </c>
      <c r="I1449" s="662">
        <v>0</v>
      </c>
      <c r="J1449" s="662">
        <v>0</v>
      </c>
      <c r="K1449" s="566" t="s">
        <v>5288</v>
      </c>
      <c r="L1449" s="549"/>
      <c r="M1449" s="540"/>
      <c r="O1449" s="540"/>
      <c r="S1449" s="550"/>
      <c r="T1449" s="547"/>
      <c r="U1449" s="547"/>
      <c r="V1449" s="547"/>
      <c r="W1449" s="549"/>
    </row>
    <row r="1450" spans="1:23">
      <c r="A1450" s="565">
        <v>2144</v>
      </c>
      <c r="B1450" s="696" t="s">
        <v>6854</v>
      </c>
      <c r="C1450" s="566">
        <f t="shared" si="22"/>
        <v>2144</v>
      </c>
      <c r="D1450" s="700" t="s">
        <v>2236</v>
      </c>
      <c r="E1450" s="701" t="s">
        <v>9323</v>
      </c>
      <c r="F1450" s="566">
        <v>1</v>
      </c>
      <c r="G1450" s="662">
        <v>0</v>
      </c>
      <c r="H1450" s="662">
        <v>0</v>
      </c>
      <c r="I1450" s="662">
        <v>27026.010152350671</v>
      </c>
      <c r="J1450" s="662">
        <v>27996.290503570086</v>
      </c>
      <c r="K1450" s="566" t="s">
        <v>4086</v>
      </c>
      <c r="L1450" s="549"/>
      <c r="M1450" s="540"/>
      <c r="O1450" s="540"/>
      <c r="S1450" s="550"/>
      <c r="T1450" s="547"/>
      <c r="U1450" s="547"/>
      <c r="V1450" s="547"/>
      <c r="W1450" s="549"/>
    </row>
    <row r="1451" spans="1:23">
      <c r="A1451" s="565">
        <v>2145</v>
      </c>
      <c r="B1451" s="696" t="s">
        <v>6855</v>
      </c>
      <c r="C1451" s="566">
        <f t="shared" si="22"/>
        <v>2145</v>
      </c>
      <c r="D1451" s="700" t="s">
        <v>2236</v>
      </c>
      <c r="E1451" s="701" t="s">
        <v>9324</v>
      </c>
      <c r="F1451" s="566">
        <v>1</v>
      </c>
      <c r="G1451" s="662">
        <v>0</v>
      </c>
      <c r="H1451" s="662">
        <v>0</v>
      </c>
      <c r="I1451" s="662">
        <v>25645.64901467456</v>
      </c>
      <c r="J1451" s="662">
        <v>26561.789737187508</v>
      </c>
      <c r="K1451" s="566" t="s">
        <v>4087</v>
      </c>
      <c r="L1451" s="549"/>
      <c r="M1451" s="540"/>
      <c r="O1451" s="540"/>
      <c r="S1451" s="550"/>
      <c r="T1451" s="547"/>
      <c r="U1451" s="547"/>
      <c r="V1451" s="547"/>
      <c r="W1451" s="549"/>
    </row>
    <row r="1452" spans="1:23">
      <c r="A1452" s="565">
        <v>2146</v>
      </c>
      <c r="B1452" s="696" t="s">
        <v>6856</v>
      </c>
      <c r="C1452" s="566">
        <f t="shared" si="22"/>
        <v>2146</v>
      </c>
      <c r="D1452" s="700" t="s">
        <v>2236</v>
      </c>
      <c r="E1452" s="701" t="s">
        <v>9325</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6857</v>
      </c>
      <c r="C1453" s="566">
        <f t="shared" si="22"/>
        <v>2147</v>
      </c>
      <c r="D1453" s="700" t="s">
        <v>2236</v>
      </c>
      <c r="E1453" s="701" t="s">
        <v>9326</v>
      </c>
      <c r="F1453" s="566">
        <v>1</v>
      </c>
      <c r="G1453" s="662">
        <v>0</v>
      </c>
      <c r="H1453" s="662">
        <v>0</v>
      </c>
      <c r="I1453" s="662">
        <v>28866.491669252129</v>
      </c>
      <c r="J1453" s="662">
        <v>29908.944082195183</v>
      </c>
      <c r="K1453" s="566" t="s">
        <v>4088</v>
      </c>
      <c r="L1453" s="549"/>
      <c r="M1453" s="540"/>
      <c r="O1453" s="540"/>
      <c r="S1453" s="550"/>
      <c r="T1453" s="547"/>
      <c r="U1453" s="547"/>
      <c r="V1453" s="547"/>
      <c r="W1453" s="549"/>
    </row>
    <row r="1454" spans="1:23">
      <c r="A1454" s="565">
        <v>2148</v>
      </c>
      <c r="B1454" s="696" t="s">
        <v>6858</v>
      </c>
      <c r="C1454" s="566">
        <f t="shared" si="22"/>
        <v>2148</v>
      </c>
      <c r="D1454" s="700" t="s">
        <v>2236</v>
      </c>
      <c r="E1454" s="701" t="s">
        <v>9327</v>
      </c>
      <c r="F1454" s="566">
        <v>1</v>
      </c>
      <c r="G1454" s="662">
        <v>0</v>
      </c>
      <c r="H1454" s="662">
        <v>0</v>
      </c>
      <c r="I1454" s="662">
        <v>26818.150754368584</v>
      </c>
      <c r="J1454" s="662">
        <v>27734.291476881535</v>
      </c>
      <c r="K1454" s="566" t="s">
        <v>4089</v>
      </c>
      <c r="L1454" s="549"/>
      <c r="M1454" s="540"/>
      <c r="O1454" s="540"/>
      <c r="S1454" s="550"/>
      <c r="T1454" s="547"/>
      <c r="U1454" s="547"/>
      <c r="V1454" s="547"/>
      <c r="W1454" s="549"/>
    </row>
    <row r="1455" spans="1:23">
      <c r="A1455" s="565">
        <v>2149</v>
      </c>
      <c r="B1455" s="695" t="s">
        <v>6859</v>
      </c>
      <c r="C1455" s="566">
        <f t="shared" si="22"/>
        <v>2149</v>
      </c>
      <c r="D1455" s="699" t="s">
        <v>2236</v>
      </c>
      <c r="E1455" s="701" t="s">
        <v>9328</v>
      </c>
      <c r="F1455" s="567">
        <v>1</v>
      </c>
      <c r="G1455" s="662">
        <v>0</v>
      </c>
      <c r="H1455" s="662">
        <v>0</v>
      </c>
      <c r="I1455" s="662">
        <v>27844.001937640209</v>
      </c>
      <c r="J1455" s="662">
        <v>28846.325837671811</v>
      </c>
      <c r="K1455" s="568" t="s">
        <v>4091</v>
      </c>
      <c r="L1455" s="549"/>
      <c r="M1455" s="540"/>
      <c r="O1455" s="540"/>
      <c r="S1455" s="550"/>
      <c r="T1455" s="547"/>
      <c r="U1455" s="547"/>
      <c r="V1455" s="547"/>
      <c r="W1455" s="549"/>
    </row>
    <row r="1456" spans="1:23">
      <c r="A1456" s="565">
        <v>2150</v>
      </c>
      <c r="B1456" s="695" t="s">
        <v>6860</v>
      </c>
      <c r="C1456" s="566">
        <f t="shared" si="22"/>
        <v>2150</v>
      </c>
      <c r="D1456" s="699" t="s">
        <v>2236</v>
      </c>
      <c r="E1456" s="701" t="s">
        <v>9329</v>
      </c>
      <c r="F1456" s="567">
        <v>1</v>
      </c>
      <c r="G1456" s="662">
        <v>0</v>
      </c>
      <c r="H1456" s="662">
        <v>0</v>
      </c>
      <c r="I1456" s="662">
        <v>29224.363075316312</v>
      </c>
      <c r="J1456" s="662">
        <v>30280.826604054382</v>
      </c>
      <c r="K1456" s="568" t="s">
        <v>4090</v>
      </c>
      <c r="L1456" s="549"/>
      <c r="M1456" s="540"/>
      <c r="O1456" s="540"/>
      <c r="S1456" s="550"/>
      <c r="T1456" s="547"/>
      <c r="U1456" s="547"/>
      <c r="V1456" s="547"/>
      <c r="W1456" s="549"/>
    </row>
    <row r="1457" spans="1:23">
      <c r="A1457" s="565">
        <v>2151</v>
      </c>
      <c r="B1457" s="696" t="s">
        <v>6861</v>
      </c>
      <c r="C1457" s="566">
        <f t="shared" si="22"/>
        <v>2151</v>
      </c>
      <c r="D1457" s="700" t="s">
        <v>2236</v>
      </c>
      <c r="E1457" s="701" t="s">
        <v>9330</v>
      </c>
      <c r="F1457" s="566">
        <v>1</v>
      </c>
      <c r="G1457" s="662">
        <v>0</v>
      </c>
      <c r="H1457" s="662">
        <v>0</v>
      </c>
      <c r="I1457" s="662">
        <v>26867.85326137716</v>
      </c>
      <c r="J1457" s="662">
        <v>27949.440342698937</v>
      </c>
      <c r="K1457" s="566" t="s">
        <v>4822</v>
      </c>
      <c r="L1457" s="549"/>
      <c r="M1457" s="540"/>
      <c r="O1457" s="540"/>
      <c r="S1457" s="550"/>
      <c r="T1457" s="547"/>
      <c r="U1457" s="547"/>
      <c r="V1457" s="547"/>
      <c r="W1457" s="549"/>
    </row>
    <row r="1458" spans="1:23">
      <c r="A1458" s="565">
        <v>2152</v>
      </c>
      <c r="B1458" s="696" t="s">
        <v>6862</v>
      </c>
      <c r="C1458" s="566">
        <f t="shared" si="22"/>
        <v>2152</v>
      </c>
      <c r="D1458" s="700" t="s">
        <v>2236</v>
      </c>
      <c r="E1458" s="701" t="s">
        <v>9331</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6863</v>
      </c>
      <c r="C1459" s="566">
        <f t="shared" si="22"/>
        <v>2153</v>
      </c>
      <c r="D1459" s="700" t="s">
        <v>2236</v>
      </c>
      <c r="E1459" s="701" t="s">
        <v>9332</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6864</v>
      </c>
      <c r="C1460" s="566">
        <f t="shared" si="22"/>
        <v>2154</v>
      </c>
      <c r="D1460" s="700" t="s">
        <v>2236</v>
      </c>
      <c r="E1460" s="701" t="s">
        <v>9333</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6865</v>
      </c>
      <c r="C1461" s="566">
        <f t="shared" si="22"/>
        <v>2155</v>
      </c>
      <c r="D1461" s="700" t="s">
        <v>2236</v>
      </c>
      <c r="E1461" s="701" t="s">
        <v>9334</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6866</v>
      </c>
      <c r="C1462" s="566">
        <f t="shared" si="22"/>
        <v>2156</v>
      </c>
      <c r="D1462" s="700" t="s">
        <v>2236</v>
      </c>
      <c r="E1462" s="701" t="s">
        <v>9335</v>
      </c>
      <c r="F1462" s="566">
        <v>1</v>
      </c>
      <c r="G1462" s="662">
        <v>30058.680932612184</v>
      </c>
      <c r="H1462" s="662">
        <v>0</v>
      </c>
      <c r="I1462" s="662">
        <v>0</v>
      </c>
      <c r="J1462" s="662">
        <v>0</v>
      </c>
      <c r="K1462" s="566" t="s">
        <v>5289</v>
      </c>
      <c r="L1462" s="549"/>
      <c r="M1462" s="540"/>
      <c r="O1462" s="540"/>
      <c r="S1462" s="550"/>
      <c r="T1462" s="547"/>
      <c r="U1462" s="547"/>
      <c r="V1462" s="547"/>
      <c r="W1462" s="549"/>
    </row>
    <row r="1463" spans="1:23">
      <c r="A1463" s="565">
        <v>2157</v>
      </c>
      <c r="B1463" s="696" t="s">
        <v>6867</v>
      </c>
      <c r="C1463" s="566">
        <f t="shared" si="22"/>
        <v>2157</v>
      </c>
      <c r="D1463" s="700" t="s">
        <v>2236</v>
      </c>
      <c r="E1463" s="701" t="s">
        <v>9336</v>
      </c>
      <c r="F1463" s="566">
        <v>1</v>
      </c>
      <c r="G1463" s="662">
        <v>30545.991159610116</v>
      </c>
      <c r="H1463" s="662">
        <v>0</v>
      </c>
      <c r="I1463" s="662">
        <v>0</v>
      </c>
      <c r="J1463" s="662">
        <v>0</v>
      </c>
      <c r="K1463" s="566" t="s">
        <v>5290</v>
      </c>
      <c r="L1463" s="549"/>
      <c r="M1463" s="540"/>
      <c r="O1463" s="540"/>
      <c r="S1463" s="550"/>
      <c r="T1463" s="547"/>
      <c r="U1463" s="547"/>
      <c r="V1463" s="547"/>
      <c r="W1463" s="549"/>
    </row>
    <row r="1464" spans="1:23">
      <c r="A1464" s="565">
        <v>2158</v>
      </c>
      <c r="B1464" s="696" t="s">
        <v>6868</v>
      </c>
      <c r="C1464" s="566">
        <f t="shared" si="22"/>
        <v>2158</v>
      </c>
      <c r="D1464" s="700" t="s">
        <v>2236</v>
      </c>
      <c r="E1464" s="701" t="s">
        <v>9337</v>
      </c>
      <c r="F1464" s="566">
        <v>1</v>
      </c>
      <c r="G1464" s="662">
        <v>0</v>
      </c>
      <c r="H1464" s="662">
        <v>40094.918826097426</v>
      </c>
      <c r="I1464" s="662">
        <v>40996.268358284251</v>
      </c>
      <c r="J1464" s="662">
        <v>41945.081919558979</v>
      </c>
      <c r="K1464" s="566" t="s">
        <v>4092</v>
      </c>
      <c r="L1464" s="549"/>
      <c r="M1464" s="540"/>
      <c r="O1464" s="540"/>
      <c r="S1464" s="550"/>
      <c r="T1464" s="547"/>
      <c r="U1464" s="547"/>
      <c r="V1464" s="547"/>
      <c r="W1464" s="549"/>
    </row>
    <row r="1465" spans="1:23">
      <c r="A1465" s="565">
        <v>2159</v>
      </c>
      <c r="B1465" s="695" t="s">
        <v>6869</v>
      </c>
      <c r="C1465" s="566">
        <f t="shared" si="22"/>
        <v>2159</v>
      </c>
      <c r="D1465" s="699" t="s">
        <v>2236</v>
      </c>
      <c r="E1465" s="701" t="s">
        <v>9338</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6870</v>
      </c>
      <c r="C1466" s="566">
        <f t="shared" si="22"/>
        <v>2160</v>
      </c>
      <c r="D1466" s="700" t="s">
        <v>2236</v>
      </c>
      <c r="E1466" s="701" t="s">
        <v>9339</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6871</v>
      </c>
      <c r="C1467" s="566">
        <f t="shared" si="22"/>
        <v>2161</v>
      </c>
      <c r="D1467" s="700" t="s">
        <v>2236</v>
      </c>
      <c r="E1467" s="701" t="s">
        <v>9340</v>
      </c>
      <c r="F1467" s="566">
        <v>1</v>
      </c>
      <c r="G1467" s="662">
        <v>0</v>
      </c>
      <c r="H1467" s="662">
        <v>0</v>
      </c>
      <c r="I1467" s="662">
        <v>66181.546428992951</v>
      </c>
      <c r="J1467" s="662">
        <v>67885.500678917917</v>
      </c>
      <c r="K1467" s="566" t="s">
        <v>4093</v>
      </c>
      <c r="L1467" s="549"/>
      <c r="M1467" s="540"/>
      <c r="O1467" s="540"/>
      <c r="S1467" s="550"/>
      <c r="T1467" s="547"/>
      <c r="U1467" s="547"/>
      <c r="V1467" s="547"/>
      <c r="W1467" s="549"/>
    </row>
    <row r="1468" spans="1:23">
      <c r="A1468" s="565">
        <v>2162</v>
      </c>
      <c r="B1468" s="696" t="s">
        <v>6872</v>
      </c>
      <c r="C1468" s="566">
        <f t="shared" si="22"/>
        <v>2162</v>
      </c>
      <c r="D1468" s="700" t="s">
        <v>2236</v>
      </c>
      <c r="E1468" s="701" t="s">
        <v>9341</v>
      </c>
      <c r="F1468" s="566">
        <v>1</v>
      </c>
      <c r="G1468" s="662">
        <v>0</v>
      </c>
      <c r="H1468" s="662">
        <v>0</v>
      </c>
      <c r="I1468" s="662">
        <v>27077.13463893126</v>
      </c>
      <c r="J1468" s="662">
        <v>28049.404483934257</v>
      </c>
      <c r="K1468" s="566" t="s">
        <v>4094</v>
      </c>
      <c r="L1468" s="549"/>
      <c r="M1468" s="540"/>
      <c r="O1468" s="540"/>
      <c r="S1468" s="550"/>
      <c r="T1468" s="547"/>
      <c r="U1468" s="547"/>
      <c r="V1468" s="547"/>
      <c r="W1468" s="549"/>
    </row>
    <row r="1469" spans="1:23">
      <c r="A1469" s="565">
        <v>2163</v>
      </c>
      <c r="B1469" s="696" t="s">
        <v>6873</v>
      </c>
      <c r="C1469" s="566">
        <f t="shared" si="22"/>
        <v>2163</v>
      </c>
      <c r="D1469" s="700" t="s">
        <v>2236</v>
      </c>
      <c r="E1469" s="701" t="s">
        <v>9342</v>
      </c>
      <c r="F1469" s="566">
        <v>1</v>
      </c>
      <c r="G1469" s="662">
        <v>0</v>
      </c>
      <c r="H1469" s="662">
        <v>0</v>
      </c>
      <c r="I1469" s="662">
        <v>32445.205729893885</v>
      </c>
      <c r="J1469" s="662">
        <v>33628.023278717024</v>
      </c>
      <c r="K1469" s="566" t="s">
        <v>4095</v>
      </c>
      <c r="L1469" s="549"/>
      <c r="M1469" s="540"/>
      <c r="O1469" s="540"/>
      <c r="S1469" s="550"/>
      <c r="T1469" s="547"/>
      <c r="U1469" s="547"/>
      <c r="V1469" s="547"/>
      <c r="W1469" s="549"/>
    </row>
    <row r="1470" spans="1:23">
      <c r="A1470" s="565">
        <v>2164</v>
      </c>
      <c r="B1470" s="696" t="s">
        <v>6874</v>
      </c>
      <c r="C1470" s="566">
        <f t="shared" si="22"/>
        <v>2164</v>
      </c>
      <c r="D1470" s="700" t="s">
        <v>2236</v>
      </c>
      <c r="E1470" s="701" t="s">
        <v>9343</v>
      </c>
      <c r="F1470" s="566">
        <v>1</v>
      </c>
      <c r="G1470" s="662">
        <v>0</v>
      </c>
      <c r="H1470" s="662">
        <v>0</v>
      </c>
      <c r="I1470" s="662">
        <v>36535.164656341607</v>
      </c>
      <c r="J1470" s="662">
        <v>37878.369267845592</v>
      </c>
      <c r="K1470" s="566" t="s">
        <v>4096</v>
      </c>
      <c r="L1470" s="549"/>
      <c r="M1470" s="540"/>
      <c r="O1470" s="540"/>
      <c r="S1470" s="550"/>
      <c r="T1470" s="547"/>
      <c r="U1470" s="547"/>
      <c r="V1470" s="547"/>
      <c r="W1470" s="549"/>
    </row>
    <row r="1471" spans="1:23">
      <c r="A1471" s="565">
        <v>2165</v>
      </c>
      <c r="B1471" s="696" t="s">
        <v>6875</v>
      </c>
      <c r="C1471" s="566">
        <f t="shared" si="22"/>
        <v>2165</v>
      </c>
      <c r="D1471" s="700" t="s">
        <v>2236</v>
      </c>
      <c r="E1471" s="701" t="s">
        <v>9344</v>
      </c>
      <c r="F1471" s="566">
        <v>1</v>
      </c>
      <c r="G1471" s="662">
        <v>0</v>
      </c>
      <c r="H1471" s="662">
        <v>0</v>
      </c>
      <c r="I1471" s="662">
        <v>0</v>
      </c>
      <c r="J1471" s="662">
        <v>53406.24522793846</v>
      </c>
      <c r="K1471" s="566" t="s">
        <v>4823</v>
      </c>
      <c r="L1471" s="549"/>
      <c r="M1471" s="540"/>
      <c r="O1471" s="540"/>
      <c r="S1471" s="550"/>
      <c r="T1471" s="547"/>
      <c r="U1471" s="547"/>
      <c r="V1471" s="547"/>
      <c r="W1471" s="549"/>
    </row>
    <row r="1472" spans="1:23">
      <c r="A1472" s="565">
        <v>2166</v>
      </c>
      <c r="B1472" s="696" t="s">
        <v>6876</v>
      </c>
      <c r="C1472" s="566">
        <f t="shared" si="22"/>
        <v>2166</v>
      </c>
      <c r="D1472" s="700" t="s">
        <v>2236</v>
      </c>
      <c r="E1472" s="701" t="s">
        <v>9345</v>
      </c>
      <c r="F1472" s="566">
        <v>1</v>
      </c>
      <c r="G1472" s="662">
        <v>0</v>
      </c>
      <c r="H1472" s="662">
        <v>53827.001137007959</v>
      </c>
      <c r="I1472" s="662">
        <v>55950.002652366951</v>
      </c>
      <c r="J1472" s="662">
        <v>58184.669797536459</v>
      </c>
      <c r="K1472" s="566" t="s">
        <v>4097</v>
      </c>
      <c r="L1472" s="549"/>
      <c r="M1472" s="540"/>
      <c r="O1472" s="540"/>
      <c r="S1472" s="550"/>
      <c r="T1472" s="547"/>
      <c r="U1472" s="547"/>
      <c r="V1472" s="547"/>
      <c r="W1472" s="549"/>
    </row>
    <row r="1473" spans="1:23">
      <c r="A1473" s="565">
        <v>2167</v>
      </c>
      <c r="B1473" s="696" t="s">
        <v>6877</v>
      </c>
      <c r="C1473" s="566">
        <f t="shared" si="22"/>
        <v>2167</v>
      </c>
      <c r="D1473" s="700" t="s">
        <v>2236</v>
      </c>
      <c r="E1473" s="701" t="s">
        <v>9346</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6878</v>
      </c>
      <c r="C1474" s="566">
        <f t="shared" si="22"/>
        <v>2168</v>
      </c>
      <c r="D1474" s="700" t="s">
        <v>2236</v>
      </c>
      <c r="E1474" s="701" t="s">
        <v>9347</v>
      </c>
      <c r="F1474" s="566">
        <v>1</v>
      </c>
      <c r="G1474" s="662">
        <v>77527.640997596522</v>
      </c>
      <c r="H1474" s="662">
        <v>80356.320190958242</v>
      </c>
      <c r="I1474" s="662">
        <v>86642.273953984302</v>
      </c>
      <c r="J1474" s="662">
        <v>89950.675127119568</v>
      </c>
      <c r="K1474" s="566" t="s">
        <v>4098</v>
      </c>
      <c r="L1474" s="549"/>
      <c r="M1474" s="540"/>
      <c r="O1474" s="540"/>
      <c r="S1474" s="550"/>
      <c r="T1474" s="547"/>
      <c r="U1474" s="547"/>
      <c r="V1474" s="547"/>
      <c r="W1474" s="549"/>
    </row>
    <row r="1475" spans="1:23">
      <c r="A1475" s="565">
        <v>2169</v>
      </c>
      <c r="B1475" s="696" t="s">
        <v>6879</v>
      </c>
      <c r="C1475" s="566">
        <f t="shared" si="22"/>
        <v>2169</v>
      </c>
      <c r="D1475" s="700" t="s">
        <v>2236</v>
      </c>
      <c r="E1475" s="701" t="s">
        <v>9348</v>
      </c>
      <c r="F1475" s="566">
        <v>1</v>
      </c>
      <c r="G1475" s="662">
        <v>0</v>
      </c>
      <c r="H1475" s="662">
        <v>0</v>
      </c>
      <c r="I1475" s="662">
        <v>0</v>
      </c>
      <c r="J1475" s="662">
        <v>104530.73180853501</v>
      </c>
      <c r="K1475" s="566" t="s">
        <v>4824</v>
      </c>
      <c r="L1475" s="549"/>
      <c r="M1475" s="540"/>
      <c r="O1475" s="540"/>
      <c r="S1475" s="550"/>
      <c r="T1475" s="547"/>
      <c r="U1475" s="547"/>
      <c r="V1475" s="547"/>
      <c r="W1475" s="549"/>
    </row>
    <row r="1476" spans="1:23">
      <c r="A1476" s="565">
        <v>2170</v>
      </c>
      <c r="B1476" s="696" t="s">
        <v>6880</v>
      </c>
      <c r="C1476" s="566">
        <f t="shared" si="22"/>
        <v>2170</v>
      </c>
      <c r="D1476" s="700" t="s">
        <v>2236</v>
      </c>
      <c r="E1476" s="701" t="s">
        <v>9349</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6881</v>
      </c>
      <c r="C1477" s="566">
        <f t="shared" si="22"/>
        <v>2171</v>
      </c>
      <c r="D1477" s="700" t="s">
        <v>2236</v>
      </c>
      <c r="E1477" s="701" t="s">
        <v>9350</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6882</v>
      </c>
      <c r="C1478" s="566">
        <f t="shared" si="22"/>
        <v>2172</v>
      </c>
      <c r="D1478" s="700" t="s">
        <v>2236</v>
      </c>
      <c r="E1478" s="701" t="s">
        <v>9351</v>
      </c>
      <c r="F1478" s="566">
        <v>1</v>
      </c>
      <c r="G1478" s="662">
        <v>0</v>
      </c>
      <c r="H1478" s="662">
        <v>0</v>
      </c>
      <c r="I1478" s="662">
        <v>0</v>
      </c>
      <c r="J1478" s="662">
        <v>29735.598852833347</v>
      </c>
      <c r="K1478" s="566" t="s">
        <v>4825</v>
      </c>
      <c r="L1478" s="549"/>
      <c r="M1478" s="540"/>
      <c r="O1478" s="540"/>
      <c r="S1478" s="550"/>
      <c r="T1478" s="547"/>
      <c r="U1478" s="547"/>
      <c r="V1478" s="547"/>
      <c r="W1478" s="549"/>
    </row>
    <row r="1479" spans="1:23">
      <c r="A1479" s="565">
        <v>2173</v>
      </c>
      <c r="B1479" s="696" t="s">
        <v>6883</v>
      </c>
      <c r="C1479" s="566">
        <f t="shared" si="22"/>
        <v>2173</v>
      </c>
      <c r="D1479" s="700" t="s">
        <v>2236</v>
      </c>
      <c r="E1479" s="701" t="s">
        <v>9352</v>
      </c>
      <c r="F1479" s="566">
        <v>1</v>
      </c>
      <c r="G1479" s="662">
        <v>0</v>
      </c>
      <c r="H1479" s="662">
        <v>0</v>
      </c>
      <c r="I1479" s="662">
        <v>28034.605658132168</v>
      </c>
      <c r="J1479" s="662">
        <v>28685.982889671941</v>
      </c>
      <c r="K1479" s="566" t="s">
        <v>4099</v>
      </c>
      <c r="L1479" s="549"/>
      <c r="M1479" s="540"/>
      <c r="O1479" s="540"/>
      <c r="S1479" s="550"/>
      <c r="T1479" s="547"/>
      <c r="U1479" s="547"/>
      <c r="V1479" s="547"/>
      <c r="W1479" s="549"/>
    </row>
    <row r="1480" spans="1:23">
      <c r="A1480" s="565">
        <v>2174</v>
      </c>
      <c r="B1480" s="696" t="s">
        <v>6884</v>
      </c>
      <c r="C1480" s="566">
        <f t="shared" si="22"/>
        <v>2174</v>
      </c>
      <c r="D1480" s="700" t="s">
        <v>2236</v>
      </c>
      <c r="E1480" s="701" t="s">
        <v>9353</v>
      </c>
      <c r="F1480" s="566">
        <v>1</v>
      </c>
      <c r="G1480" s="662">
        <v>0</v>
      </c>
      <c r="H1480" s="662">
        <v>0</v>
      </c>
      <c r="I1480" s="662">
        <v>28974.176996390801</v>
      </c>
      <c r="J1480" s="662">
        <v>29649.306228099147</v>
      </c>
      <c r="K1480" s="566" t="s">
        <v>4100</v>
      </c>
      <c r="L1480" s="549"/>
      <c r="M1480" s="540"/>
      <c r="O1480" s="540"/>
      <c r="S1480" s="550"/>
      <c r="T1480" s="547"/>
      <c r="U1480" s="547"/>
      <c r="V1480" s="547"/>
      <c r="W1480" s="549"/>
    </row>
    <row r="1481" spans="1:23">
      <c r="A1481" s="565">
        <v>2175</v>
      </c>
      <c r="B1481" s="696" t="s">
        <v>6885</v>
      </c>
      <c r="C1481" s="566">
        <f t="shared" ref="C1481:C1544" si="23">A1481</f>
        <v>2175</v>
      </c>
      <c r="D1481" s="700" t="s">
        <v>2236</v>
      </c>
      <c r="E1481" s="701" t="s">
        <v>9354</v>
      </c>
      <c r="F1481" s="566">
        <v>1</v>
      </c>
      <c r="G1481" s="662">
        <v>28869.780181028738</v>
      </c>
      <c r="H1481" s="662">
        <v>0</v>
      </c>
      <c r="I1481" s="662">
        <v>0</v>
      </c>
      <c r="J1481" s="662">
        <v>0</v>
      </c>
      <c r="K1481" s="566" t="s">
        <v>5291</v>
      </c>
      <c r="L1481" s="549"/>
      <c r="M1481" s="540"/>
      <c r="O1481" s="540"/>
      <c r="S1481" s="550"/>
      <c r="T1481" s="547"/>
      <c r="U1481" s="547"/>
      <c r="V1481" s="547"/>
      <c r="W1481" s="549"/>
    </row>
    <row r="1482" spans="1:23">
      <c r="A1482" s="565">
        <v>2176</v>
      </c>
      <c r="B1482" s="696" t="s">
        <v>6886</v>
      </c>
      <c r="C1482" s="566">
        <f t="shared" si="23"/>
        <v>2176</v>
      </c>
      <c r="D1482" s="700" t="s">
        <v>2236</v>
      </c>
      <c r="E1482" s="701" t="s">
        <v>9355</v>
      </c>
      <c r="F1482" s="566">
        <v>1</v>
      </c>
      <c r="G1482" s="662">
        <v>30826.738590089466</v>
      </c>
      <c r="H1482" s="662">
        <v>0</v>
      </c>
      <c r="I1482" s="662">
        <v>0</v>
      </c>
      <c r="J1482" s="662">
        <v>0</v>
      </c>
      <c r="K1482" s="566" t="s">
        <v>5292</v>
      </c>
      <c r="L1482" s="549"/>
      <c r="M1482" s="540"/>
      <c r="O1482" s="540"/>
      <c r="S1482" s="550"/>
      <c r="T1482" s="547"/>
      <c r="U1482" s="547"/>
      <c r="V1482" s="547"/>
      <c r="W1482" s="549"/>
    </row>
    <row r="1483" spans="1:23">
      <c r="A1483" s="565">
        <v>2177</v>
      </c>
      <c r="B1483" s="696" t="s">
        <v>6887</v>
      </c>
      <c r="C1483" s="566">
        <f t="shared" si="23"/>
        <v>2177</v>
      </c>
      <c r="D1483" s="700" t="s">
        <v>2236</v>
      </c>
      <c r="E1483" s="701" t="s">
        <v>9356</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6888</v>
      </c>
      <c r="C1484" s="566">
        <f t="shared" si="23"/>
        <v>2178</v>
      </c>
      <c r="D1484" s="699" t="s">
        <v>2236</v>
      </c>
      <c r="E1484" s="701" t="s">
        <v>9357</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6889</v>
      </c>
      <c r="C1485" s="566">
        <f t="shared" si="23"/>
        <v>2179</v>
      </c>
      <c r="D1485" s="700" t="s">
        <v>2236</v>
      </c>
      <c r="E1485" s="701" t="s">
        <v>9358</v>
      </c>
      <c r="F1485" s="566">
        <v>1</v>
      </c>
      <c r="G1485" s="662">
        <v>30396.939832331056</v>
      </c>
      <c r="H1485" s="662">
        <v>0</v>
      </c>
      <c r="I1485" s="662">
        <v>0</v>
      </c>
      <c r="J1485" s="662">
        <v>0</v>
      </c>
      <c r="K1485" s="566" t="s">
        <v>5293</v>
      </c>
      <c r="L1485" s="549"/>
      <c r="M1485" s="540"/>
      <c r="O1485" s="540"/>
      <c r="S1485" s="550"/>
      <c r="T1485" s="547"/>
      <c r="U1485" s="547"/>
      <c r="V1485" s="547"/>
      <c r="W1485" s="549"/>
    </row>
    <row r="1486" spans="1:23">
      <c r="A1486" s="565">
        <v>2180</v>
      </c>
      <c r="B1486" s="696" t="s">
        <v>6890</v>
      </c>
      <c r="C1486" s="566">
        <f t="shared" si="23"/>
        <v>2180</v>
      </c>
      <c r="D1486" s="700" t="s">
        <v>2236</v>
      </c>
      <c r="E1486" s="701" t="s">
        <v>9359</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6891</v>
      </c>
      <c r="C1487" s="566">
        <f t="shared" si="23"/>
        <v>2181</v>
      </c>
      <c r="D1487" s="699" t="s">
        <v>2236</v>
      </c>
      <c r="E1487" s="701" t="s">
        <v>9360</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6892</v>
      </c>
      <c r="C1488" s="566">
        <f t="shared" si="23"/>
        <v>2182</v>
      </c>
      <c r="D1488" s="699" t="s">
        <v>2236</v>
      </c>
      <c r="E1488" s="701" t="s">
        <v>9361</v>
      </c>
      <c r="F1488" s="567">
        <v>1</v>
      </c>
      <c r="G1488" s="662">
        <v>0</v>
      </c>
      <c r="H1488" s="662">
        <v>0</v>
      </c>
      <c r="I1488" s="662">
        <v>0</v>
      </c>
      <c r="J1488" s="662">
        <v>39866.244732500236</v>
      </c>
      <c r="K1488" s="568" t="s">
        <v>4826</v>
      </c>
      <c r="L1488" s="549"/>
      <c r="M1488" s="540"/>
      <c r="O1488" s="540"/>
      <c r="S1488" s="550"/>
      <c r="T1488" s="547"/>
      <c r="U1488" s="547"/>
      <c r="V1488" s="547"/>
      <c r="W1488" s="549"/>
    </row>
    <row r="1489" spans="1:23">
      <c r="A1489" s="565">
        <v>2183</v>
      </c>
      <c r="B1489" s="695" t="s">
        <v>6893</v>
      </c>
      <c r="C1489" s="566">
        <f t="shared" si="23"/>
        <v>2183</v>
      </c>
      <c r="D1489" s="699" t="s">
        <v>2236</v>
      </c>
      <c r="E1489" s="701" t="s">
        <v>9362</v>
      </c>
      <c r="F1489" s="567">
        <v>1</v>
      </c>
      <c r="G1489" s="662">
        <v>0</v>
      </c>
      <c r="H1489" s="662">
        <v>0</v>
      </c>
      <c r="I1489" s="662">
        <v>0</v>
      </c>
      <c r="J1489" s="662">
        <v>37082.329656178343</v>
      </c>
      <c r="K1489" s="568" t="s">
        <v>4827</v>
      </c>
      <c r="L1489" s="549"/>
      <c r="M1489" s="540"/>
      <c r="O1489" s="540"/>
      <c r="S1489" s="550"/>
      <c r="T1489" s="547"/>
      <c r="U1489" s="547"/>
      <c r="V1489" s="547"/>
      <c r="W1489" s="549"/>
    </row>
    <row r="1490" spans="1:23">
      <c r="A1490" s="565">
        <v>2184</v>
      </c>
      <c r="B1490" s="695" t="s">
        <v>6894</v>
      </c>
      <c r="C1490" s="566">
        <f t="shared" si="23"/>
        <v>2184</v>
      </c>
      <c r="D1490" s="699" t="s">
        <v>2236</v>
      </c>
      <c r="E1490" s="701" t="s">
        <v>9363</v>
      </c>
      <c r="F1490" s="567">
        <v>1</v>
      </c>
      <c r="G1490" s="662">
        <v>0</v>
      </c>
      <c r="H1490" s="662">
        <v>0</v>
      </c>
      <c r="I1490" s="662">
        <v>0</v>
      </c>
      <c r="J1490" s="662">
        <v>37082.329656178343</v>
      </c>
      <c r="K1490" s="568" t="s">
        <v>4828</v>
      </c>
      <c r="L1490" s="549"/>
      <c r="M1490" s="540"/>
      <c r="O1490" s="540"/>
      <c r="S1490" s="550"/>
      <c r="T1490" s="547"/>
      <c r="U1490" s="547"/>
      <c r="V1490" s="547"/>
      <c r="W1490" s="549"/>
    </row>
    <row r="1491" spans="1:23">
      <c r="A1491" s="565">
        <v>2185</v>
      </c>
      <c r="B1491" s="695" t="s">
        <v>6895</v>
      </c>
      <c r="C1491" s="566">
        <f t="shared" si="23"/>
        <v>2185</v>
      </c>
      <c r="D1491" s="699" t="s">
        <v>2236</v>
      </c>
      <c r="E1491" s="701" t="s">
        <v>9364</v>
      </c>
      <c r="F1491" s="567">
        <v>1</v>
      </c>
      <c r="G1491" s="662">
        <v>0</v>
      </c>
      <c r="H1491" s="662">
        <v>0</v>
      </c>
      <c r="I1491" s="662">
        <v>0</v>
      </c>
      <c r="J1491" s="662">
        <v>34997.873242782312</v>
      </c>
      <c r="K1491" s="568" t="s">
        <v>4829</v>
      </c>
      <c r="L1491" s="549"/>
      <c r="M1491" s="540"/>
      <c r="O1491" s="540"/>
      <c r="S1491" s="550"/>
      <c r="T1491" s="547"/>
      <c r="U1491" s="547"/>
      <c r="V1491" s="547"/>
      <c r="W1491" s="549"/>
    </row>
    <row r="1492" spans="1:23">
      <c r="A1492" s="565">
        <v>2186</v>
      </c>
      <c r="B1492" s="695" t="s">
        <v>6896</v>
      </c>
      <c r="C1492" s="566">
        <f t="shared" si="23"/>
        <v>2186</v>
      </c>
      <c r="D1492" s="699" t="s">
        <v>2236</v>
      </c>
      <c r="E1492" s="701" t="s">
        <v>9365</v>
      </c>
      <c r="F1492" s="567">
        <v>1</v>
      </c>
      <c r="G1492" s="662">
        <v>52036.059703603743</v>
      </c>
      <c r="H1492" s="662">
        <v>0</v>
      </c>
      <c r="I1492" s="662">
        <v>0</v>
      </c>
      <c r="J1492" s="662">
        <v>0</v>
      </c>
      <c r="K1492" s="568" t="s">
        <v>5294</v>
      </c>
      <c r="L1492" s="549"/>
      <c r="M1492" s="540"/>
      <c r="O1492" s="540"/>
      <c r="S1492" s="550"/>
      <c r="T1492" s="547"/>
      <c r="U1492" s="547"/>
      <c r="V1492" s="547"/>
      <c r="W1492" s="549"/>
    </row>
    <row r="1493" spans="1:23">
      <c r="A1493" s="565">
        <v>2187</v>
      </c>
      <c r="B1493" s="695" t="s">
        <v>6897</v>
      </c>
      <c r="C1493" s="566">
        <f t="shared" si="23"/>
        <v>2187</v>
      </c>
      <c r="D1493" s="699" t="s">
        <v>2236</v>
      </c>
      <c r="E1493" s="701" t="s">
        <v>9366</v>
      </c>
      <c r="F1493" s="567">
        <v>1</v>
      </c>
      <c r="G1493" s="662">
        <v>89227.459123725377</v>
      </c>
      <c r="H1493" s="662">
        <v>0</v>
      </c>
      <c r="I1493" s="662">
        <v>0</v>
      </c>
      <c r="J1493" s="662">
        <v>0</v>
      </c>
      <c r="K1493" s="568" t="s">
        <v>5295</v>
      </c>
      <c r="L1493" s="549"/>
      <c r="M1493" s="540"/>
      <c r="O1493" s="540"/>
      <c r="S1493" s="550"/>
      <c r="T1493" s="547"/>
      <c r="U1493" s="547"/>
      <c r="V1493" s="547"/>
      <c r="W1493" s="549"/>
    </row>
    <row r="1494" spans="1:23">
      <c r="A1494" s="565">
        <v>2188</v>
      </c>
      <c r="B1494" s="695" t="s">
        <v>6898</v>
      </c>
      <c r="C1494" s="566">
        <f t="shared" si="23"/>
        <v>2188</v>
      </c>
      <c r="D1494" s="699" t="s">
        <v>2236</v>
      </c>
      <c r="E1494" s="701" t="s">
        <v>9367</v>
      </c>
      <c r="F1494" s="567">
        <v>1</v>
      </c>
      <c r="G1494" s="662">
        <v>68232.346336311472</v>
      </c>
      <c r="H1494" s="662">
        <v>68232.346336311472</v>
      </c>
      <c r="I1494" s="662">
        <v>68232.346336311486</v>
      </c>
      <c r="J1494" s="662">
        <v>70818.688254970679</v>
      </c>
      <c r="K1494" s="568" t="s">
        <v>4101</v>
      </c>
      <c r="L1494" s="549"/>
      <c r="M1494" s="540"/>
      <c r="O1494" s="540"/>
      <c r="S1494" s="550"/>
      <c r="T1494" s="547"/>
      <c r="U1494" s="547"/>
      <c r="V1494" s="547"/>
      <c r="W1494" s="549"/>
    </row>
    <row r="1495" spans="1:23">
      <c r="A1495" s="565">
        <v>2189</v>
      </c>
      <c r="B1495" s="695" t="s">
        <v>6899</v>
      </c>
      <c r="C1495" s="566">
        <f t="shared" si="23"/>
        <v>2189</v>
      </c>
      <c r="D1495" s="699" t="s">
        <v>2236</v>
      </c>
      <c r="E1495" s="701" t="s">
        <v>9368</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6900</v>
      </c>
      <c r="C1496" s="566">
        <f t="shared" si="23"/>
        <v>2190</v>
      </c>
      <c r="D1496" s="699" t="s">
        <v>2236</v>
      </c>
      <c r="E1496" s="701" t="s">
        <v>9369</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6901</v>
      </c>
      <c r="C1497" s="566">
        <f t="shared" si="23"/>
        <v>2191</v>
      </c>
      <c r="D1497" s="700" t="s">
        <v>2236</v>
      </c>
      <c r="E1497" s="701" t="s">
        <v>9370</v>
      </c>
      <c r="F1497" s="566">
        <v>1</v>
      </c>
      <c r="G1497" s="662">
        <v>65907.995546481805</v>
      </c>
      <c r="H1497" s="662">
        <v>0</v>
      </c>
      <c r="I1497" s="662">
        <v>0</v>
      </c>
      <c r="J1497" s="662">
        <v>0</v>
      </c>
      <c r="K1497" s="566" t="s">
        <v>5296</v>
      </c>
      <c r="L1497" s="549"/>
      <c r="M1497" s="540"/>
      <c r="O1497" s="540"/>
      <c r="S1497" s="550"/>
      <c r="T1497" s="547"/>
      <c r="U1497" s="547"/>
      <c r="V1497" s="547"/>
      <c r="W1497" s="549"/>
    </row>
    <row r="1498" spans="1:23">
      <c r="A1498" s="565">
        <v>2192</v>
      </c>
      <c r="B1498" s="696" t="s">
        <v>6902</v>
      </c>
      <c r="C1498" s="566">
        <f t="shared" si="23"/>
        <v>2192</v>
      </c>
      <c r="D1498" s="700" t="s">
        <v>2236</v>
      </c>
      <c r="E1498" s="701" t="s">
        <v>9371</v>
      </c>
      <c r="F1498" s="566">
        <v>1</v>
      </c>
      <c r="G1498" s="662">
        <v>0</v>
      </c>
      <c r="H1498" s="662">
        <v>0</v>
      </c>
      <c r="I1498" s="662">
        <v>0</v>
      </c>
      <c r="J1498" s="662">
        <v>89450.962597201811</v>
      </c>
      <c r="K1498" s="566" t="s">
        <v>4830</v>
      </c>
      <c r="L1498" s="549"/>
      <c r="M1498" s="540"/>
      <c r="O1498" s="540"/>
      <c r="S1498" s="550"/>
      <c r="T1498" s="547"/>
      <c r="U1498" s="547"/>
      <c r="V1498" s="547"/>
      <c r="W1498" s="549"/>
    </row>
    <row r="1499" spans="1:23">
      <c r="A1499" s="565">
        <v>2193</v>
      </c>
      <c r="B1499" s="696" t="s">
        <v>6903</v>
      </c>
      <c r="C1499" s="566">
        <f t="shared" si="23"/>
        <v>2193</v>
      </c>
      <c r="D1499" s="700" t="s">
        <v>2236</v>
      </c>
      <c r="E1499" s="701" t="s">
        <v>9372</v>
      </c>
      <c r="F1499" s="566">
        <v>1</v>
      </c>
      <c r="G1499" s="662">
        <v>0</v>
      </c>
      <c r="H1499" s="662">
        <v>0</v>
      </c>
      <c r="I1499" s="662">
        <v>114354.98874040232</v>
      </c>
      <c r="J1499" s="662">
        <v>0</v>
      </c>
      <c r="K1499" s="566" t="s">
        <v>4831</v>
      </c>
      <c r="L1499" s="549"/>
      <c r="M1499" s="540"/>
      <c r="O1499" s="540"/>
      <c r="S1499" s="550"/>
      <c r="T1499" s="547"/>
      <c r="U1499" s="547"/>
      <c r="V1499" s="547"/>
      <c r="W1499" s="549"/>
    </row>
    <row r="1500" spans="1:23">
      <c r="A1500" s="565">
        <v>2194</v>
      </c>
      <c r="B1500" s="695" t="s">
        <v>6904</v>
      </c>
      <c r="C1500" s="566">
        <f t="shared" si="23"/>
        <v>2194</v>
      </c>
      <c r="D1500" s="699" t="s">
        <v>2236</v>
      </c>
      <c r="E1500" s="701" t="s">
        <v>9373</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6905</v>
      </c>
      <c r="C1501" s="566">
        <f t="shared" si="23"/>
        <v>2195</v>
      </c>
      <c r="D1501" s="699" t="s">
        <v>2236</v>
      </c>
      <c r="E1501" s="701" t="s">
        <v>9374</v>
      </c>
      <c r="F1501" s="567">
        <v>1</v>
      </c>
      <c r="G1501" s="662">
        <v>0</v>
      </c>
      <c r="H1501" s="662">
        <v>0</v>
      </c>
      <c r="I1501" s="662">
        <v>0</v>
      </c>
      <c r="J1501" s="662">
        <v>30502.475239831227</v>
      </c>
      <c r="K1501" s="568" t="s">
        <v>4832</v>
      </c>
      <c r="L1501" s="549"/>
      <c r="M1501" s="540"/>
      <c r="O1501" s="540"/>
      <c r="S1501" s="550"/>
      <c r="T1501" s="547"/>
      <c r="U1501" s="547"/>
      <c r="V1501" s="547"/>
      <c r="W1501" s="549"/>
    </row>
    <row r="1502" spans="1:23">
      <c r="A1502" s="565">
        <v>2196</v>
      </c>
      <c r="B1502" s="696" t="s">
        <v>6906</v>
      </c>
      <c r="C1502" s="566">
        <f t="shared" si="23"/>
        <v>2196</v>
      </c>
      <c r="D1502" s="700" t="s">
        <v>2236</v>
      </c>
      <c r="E1502" s="701" t="s">
        <v>9375</v>
      </c>
      <c r="F1502" s="566">
        <v>1</v>
      </c>
      <c r="G1502" s="662">
        <v>0</v>
      </c>
      <c r="H1502" s="662">
        <v>0</v>
      </c>
      <c r="I1502" s="662">
        <v>0</v>
      </c>
      <c r="J1502" s="662">
        <v>28968.740642413333</v>
      </c>
      <c r="K1502" s="566" t="s">
        <v>4833</v>
      </c>
      <c r="L1502" s="549"/>
      <c r="M1502" s="540"/>
      <c r="O1502" s="540"/>
      <c r="S1502" s="550"/>
      <c r="T1502" s="547"/>
      <c r="U1502" s="547"/>
      <c r="V1502" s="547"/>
      <c r="W1502" s="549"/>
    </row>
    <row r="1503" spans="1:23">
      <c r="A1503" s="565">
        <v>2197</v>
      </c>
      <c r="B1503" s="695" t="s">
        <v>6907</v>
      </c>
      <c r="C1503" s="566">
        <f t="shared" si="23"/>
        <v>2197</v>
      </c>
      <c r="D1503" s="699" t="s">
        <v>2236</v>
      </c>
      <c r="E1503" s="701" t="s">
        <v>9376</v>
      </c>
      <c r="F1503" s="567">
        <v>1</v>
      </c>
      <c r="G1503" s="662">
        <v>0</v>
      </c>
      <c r="H1503" s="662">
        <v>0</v>
      </c>
      <c r="I1503" s="662">
        <v>0</v>
      </c>
      <c r="J1503" s="662">
        <v>30497.36279117316</v>
      </c>
      <c r="K1503" s="568" t="s">
        <v>4834</v>
      </c>
      <c r="L1503" s="549"/>
      <c r="M1503" s="540"/>
      <c r="O1503" s="540"/>
      <c r="S1503" s="550"/>
      <c r="T1503" s="547"/>
      <c r="U1503" s="547"/>
      <c r="V1503" s="547"/>
      <c r="W1503" s="549"/>
    </row>
    <row r="1504" spans="1:23">
      <c r="A1504" s="565">
        <v>2198</v>
      </c>
      <c r="B1504" s="695" t="s">
        <v>6908</v>
      </c>
      <c r="C1504" s="566">
        <f t="shared" si="23"/>
        <v>2198</v>
      </c>
      <c r="D1504" s="699" t="s">
        <v>2236</v>
      </c>
      <c r="E1504" s="701" t="s">
        <v>9377</v>
      </c>
      <c r="F1504" s="567">
        <v>1</v>
      </c>
      <c r="G1504" s="662">
        <v>0</v>
      </c>
      <c r="H1504" s="662">
        <v>0</v>
      </c>
      <c r="I1504" s="662">
        <v>0</v>
      </c>
      <c r="J1504" s="662">
        <v>28201.873343704385</v>
      </c>
      <c r="K1504" s="568" t="s">
        <v>4835</v>
      </c>
      <c r="L1504" s="549"/>
      <c r="M1504" s="540"/>
      <c r="O1504" s="540"/>
      <c r="S1504" s="550"/>
      <c r="T1504" s="547"/>
      <c r="U1504" s="547"/>
      <c r="V1504" s="547"/>
      <c r="W1504" s="549"/>
    </row>
    <row r="1505" spans="1:23">
      <c r="A1505" s="565">
        <v>2199</v>
      </c>
      <c r="B1505" s="695" t="s">
        <v>6909</v>
      </c>
      <c r="C1505" s="566">
        <f t="shared" si="23"/>
        <v>2199</v>
      </c>
      <c r="D1505" s="699" t="s">
        <v>2236</v>
      </c>
      <c r="E1505" s="701" t="s">
        <v>9378</v>
      </c>
      <c r="F1505" s="567">
        <v>1</v>
      </c>
      <c r="G1505" s="662">
        <v>0</v>
      </c>
      <c r="H1505" s="662">
        <v>0</v>
      </c>
      <c r="I1505" s="662">
        <v>0</v>
      </c>
      <c r="J1505" s="662">
        <v>30497.36279117316</v>
      </c>
      <c r="K1505" s="568" t="s">
        <v>4836</v>
      </c>
      <c r="L1505" s="549"/>
      <c r="M1505" s="540"/>
      <c r="O1505" s="540"/>
      <c r="S1505" s="550"/>
      <c r="T1505" s="547"/>
      <c r="U1505" s="547"/>
      <c r="V1505" s="547"/>
      <c r="W1505" s="549"/>
    </row>
    <row r="1506" spans="1:23">
      <c r="A1506" s="565">
        <v>2200</v>
      </c>
      <c r="B1506" s="695" t="s">
        <v>6910</v>
      </c>
      <c r="C1506" s="566">
        <f t="shared" si="23"/>
        <v>2200</v>
      </c>
      <c r="D1506" s="699" t="s">
        <v>2236</v>
      </c>
      <c r="E1506" s="701" t="s">
        <v>9379</v>
      </c>
      <c r="F1506" s="567">
        <v>1</v>
      </c>
      <c r="G1506" s="662">
        <v>0</v>
      </c>
      <c r="H1506" s="662">
        <v>0</v>
      </c>
      <c r="I1506" s="662">
        <v>0</v>
      </c>
      <c r="J1506" s="662">
        <v>25799.022474416353</v>
      </c>
      <c r="K1506" s="568" t="s">
        <v>4837</v>
      </c>
      <c r="L1506" s="549"/>
      <c r="M1506" s="540"/>
      <c r="O1506" s="540"/>
      <c r="S1506" s="550"/>
      <c r="T1506" s="547"/>
      <c r="U1506" s="547"/>
      <c r="V1506" s="547"/>
      <c r="W1506" s="549"/>
    </row>
    <row r="1507" spans="1:23">
      <c r="A1507" s="565">
        <v>2201</v>
      </c>
      <c r="B1507" s="696" t="s">
        <v>6911</v>
      </c>
      <c r="C1507" s="566">
        <f t="shared" si="23"/>
        <v>2201</v>
      </c>
      <c r="D1507" s="700" t="s">
        <v>2236</v>
      </c>
      <c r="E1507" s="701" t="s">
        <v>9380</v>
      </c>
      <c r="F1507" s="566">
        <v>1</v>
      </c>
      <c r="G1507" s="662">
        <v>0</v>
      </c>
      <c r="H1507" s="662">
        <v>0</v>
      </c>
      <c r="I1507" s="662">
        <v>0</v>
      </c>
      <c r="J1507" s="662">
        <v>27327.644623176191</v>
      </c>
      <c r="K1507" s="566" t="s">
        <v>4838</v>
      </c>
      <c r="L1507" s="549"/>
      <c r="M1507" s="540"/>
      <c r="O1507" s="540"/>
      <c r="S1507" s="550"/>
      <c r="T1507" s="547"/>
      <c r="U1507" s="547"/>
      <c r="V1507" s="547"/>
      <c r="W1507" s="549"/>
    </row>
    <row r="1508" spans="1:23">
      <c r="A1508" s="565">
        <v>2202</v>
      </c>
      <c r="B1508" s="696" t="s">
        <v>6912</v>
      </c>
      <c r="C1508" s="566">
        <f t="shared" si="23"/>
        <v>2202</v>
      </c>
      <c r="D1508" s="700" t="s">
        <v>2236</v>
      </c>
      <c r="E1508" s="701" t="s">
        <v>9381</v>
      </c>
      <c r="F1508" s="566">
        <v>1</v>
      </c>
      <c r="G1508" s="662">
        <v>0</v>
      </c>
      <c r="H1508" s="662">
        <v>0</v>
      </c>
      <c r="I1508" s="662">
        <v>0</v>
      </c>
      <c r="J1508" s="662">
        <v>33109.824055441648</v>
      </c>
      <c r="K1508" s="566" t="s">
        <v>4839</v>
      </c>
      <c r="L1508" s="549"/>
      <c r="M1508" s="540"/>
      <c r="O1508" s="540"/>
      <c r="S1508" s="550"/>
      <c r="T1508" s="547"/>
      <c r="U1508" s="547"/>
      <c r="V1508" s="547"/>
      <c r="W1508" s="549"/>
    </row>
    <row r="1509" spans="1:23">
      <c r="A1509" s="565">
        <v>2203</v>
      </c>
      <c r="B1509" s="696" t="s">
        <v>6913</v>
      </c>
      <c r="C1509" s="566">
        <f t="shared" si="23"/>
        <v>2203</v>
      </c>
      <c r="D1509" s="700" t="s">
        <v>2236</v>
      </c>
      <c r="E1509" s="701" t="s">
        <v>9382</v>
      </c>
      <c r="F1509" s="566">
        <v>1</v>
      </c>
      <c r="G1509" s="662">
        <v>0</v>
      </c>
      <c r="H1509" s="662">
        <v>0</v>
      </c>
      <c r="I1509" s="662">
        <v>0</v>
      </c>
      <c r="J1509" s="662">
        <v>34638.446204201471</v>
      </c>
      <c r="K1509" s="566" t="s">
        <v>4840</v>
      </c>
      <c r="L1509" s="549"/>
      <c r="M1509" s="540"/>
      <c r="O1509" s="540"/>
      <c r="S1509" s="550"/>
      <c r="T1509" s="547"/>
      <c r="U1509" s="547"/>
      <c r="V1509" s="547"/>
      <c r="W1509" s="549"/>
    </row>
    <row r="1510" spans="1:23">
      <c r="A1510" s="565">
        <v>2204</v>
      </c>
      <c r="B1510" s="696" t="s">
        <v>6914</v>
      </c>
      <c r="C1510" s="566">
        <f t="shared" si="23"/>
        <v>2204</v>
      </c>
      <c r="D1510" s="700" t="s">
        <v>2236</v>
      </c>
      <c r="E1510" s="701" t="s">
        <v>9383</v>
      </c>
      <c r="F1510" s="566">
        <v>1</v>
      </c>
      <c r="G1510" s="662">
        <v>0</v>
      </c>
      <c r="H1510" s="662">
        <v>0</v>
      </c>
      <c r="I1510" s="662">
        <v>0</v>
      </c>
      <c r="J1510" s="662">
        <v>35410.42595156849</v>
      </c>
      <c r="K1510" s="566" t="s">
        <v>4841</v>
      </c>
      <c r="L1510" s="549"/>
      <c r="M1510" s="540"/>
      <c r="O1510" s="540"/>
      <c r="S1510" s="550"/>
      <c r="T1510" s="547"/>
      <c r="U1510" s="547"/>
      <c r="V1510" s="547"/>
      <c r="W1510" s="549"/>
    </row>
    <row r="1511" spans="1:23">
      <c r="A1511" s="565">
        <v>2205</v>
      </c>
      <c r="B1511" s="696" t="s">
        <v>6915</v>
      </c>
      <c r="C1511" s="566">
        <f t="shared" si="23"/>
        <v>2205</v>
      </c>
      <c r="D1511" s="700" t="s">
        <v>2236</v>
      </c>
      <c r="E1511" s="701" t="s">
        <v>9384</v>
      </c>
      <c r="F1511" s="566">
        <v>1</v>
      </c>
      <c r="G1511" s="662">
        <v>0</v>
      </c>
      <c r="H1511" s="662">
        <v>0</v>
      </c>
      <c r="I1511" s="662">
        <v>0</v>
      </c>
      <c r="J1511" s="662">
        <v>54689.469841111437</v>
      </c>
      <c r="K1511" s="566" t="s">
        <v>4842</v>
      </c>
      <c r="L1511" s="549"/>
      <c r="M1511" s="540"/>
      <c r="O1511" s="540"/>
      <c r="S1511" s="550"/>
      <c r="T1511" s="547"/>
      <c r="U1511" s="547"/>
      <c r="V1511" s="547"/>
      <c r="W1511" s="549"/>
    </row>
    <row r="1512" spans="1:23">
      <c r="A1512" s="565">
        <v>2206</v>
      </c>
      <c r="B1512" s="696" t="s">
        <v>6916</v>
      </c>
      <c r="C1512" s="566">
        <f t="shared" si="23"/>
        <v>2206</v>
      </c>
      <c r="D1512" s="700" t="s">
        <v>2236</v>
      </c>
      <c r="E1512" s="701" t="s">
        <v>9385</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6917</v>
      </c>
      <c r="C1513" s="566">
        <f t="shared" si="23"/>
        <v>2207</v>
      </c>
      <c r="D1513" s="699" t="s">
        <v>2236</v>
      </c>
      <c r="E1513" s="701" t="s">
        <v>9386</v>
      </c>
      <c r="F1513" s="567">
        <v>1</v>
      </c>
      <c r="G1513" s="662">
        <v>31115.969078798378</v>
      </c>
      <c r="H1513" s="662">
        <v>0</v>
      </c>
      <c r="I1513" s="662">
        <v>0</v>
      </c>
      <c r="J1513" s="662">
        <v>0</v>
      </c>
      <c r="K1513" s="568" t="s">
        <v>5297</v>
      </c>
      <c r="L1513" s="549"/>
      <c r="M1513" s="540"/>
      <c r="O1513" s="540"/>
      <c r="S1513" s="550"/>
      <c r="T1513" s="547"/>
      <c r="U1513" s="547"/>
      <c r="V1513" s="547"/>
      <c r="W1513" s="549"/>
    </row>
    <row r="1514" spans="1:23">
      <c r="A1514" s="565">
        <v>2208</v>
      </c>
      <c r="B1514" s="696" t="s">
        <v>6918</v>
      </c>
      <c r="C1514" s="566">
        <f t="shared" si="23"/>
        <v>2208</v>
      </c>
      <c r="D1514" s="700" t="s">
        <v>2236</v>
      </c>
      <c r="E1514" s="701" t="s">
        <v>9387</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6919</v>
      </c>
      <c r="C1515" s="566">
        <f t="shared" si="23"/>
        <v>2209</v>
      </c>
      <c r="D1515" s="700" t="s">
        <v>2236</v>
      </c>
      <c r="E1515" s="701" t="s">
        <v>9388</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6920</v>
      </c>
      <c r="C1516" s="566">
        <f t="shared" si="23"/>
        <v>2210</v>
      </c>
      <c r="D1516" s="699" t="s">
        <v>2236</v>
      </c>
      <c r="E1516" s="701" t="s">
        <v>9389</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6921</v>
      </c>
      <c r="C1517" s="566">
        <f t="shared" si="23"/>
        <v>2211</v>
      </c>
      <c r="D1517" s="699" t="s">
        <v>2236</v>
      </c>
      <c r="E1517" s="701" t="s">
        <v>9390</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6922</v>
      </c>
      <c r="C1518" s="566">
        <f t="shared" si="23"/>
        <v>2212</v>
      </c>
      <c r="D1518" s="699" t="s">
        <v>2236</v>
      </c>
      <c r="E1518" s="701" t="s">
        <v>9391</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6923</v>
      </c>
      <c r="C1519" s="566">
        <f t="shared" si="23"/>
        <v>2213</v>
      </c>
      <c r="D1519" s="699" t="s">
        <v>2236</v>
      </c>
      <c r="E1519" s="701" t="s">
        <v>9392</v>
      </c>
      <c r="F1519" s="567">
        <v>1</v>
      </c>
      <c r="G1519" s="662">
        <v>45991.710277670369</v>
      </c>
      <c r="H1519" s="662">
        <v>0</v>
      </c>
      <c r="I1519" s="662">
        <v>0</v>
      </c>
      <c r="J1519" s="662">
        <v>0</v>
      </c>
      <c r="K1519" s="568" t="s">
        <v>5298</v>
      </c>
      <c r="L1519" s="549"/>
      <c r="M1519" s="540"/>
      <c r="O1519" s="540"/>
      <c r="S1519" s="550"/>
      <c r="T1519" s="547"/>
      <c r="U1519" s="547"/>
      <c r="V1519" s="547"/>
      <c r="W1519" s="549"/>
    </row>
    <row r="1520" spans="1:23">
      <c r="A1520" s="565">
        <v>2214</v>
      </c>
      <c r="B1520" s="695" t="s">
        <v>6924</v>
      </c>
      <c r="C1520" s="566">
        <f t="shared" si="23"/>
        <v>2214</v>
      </c>
      <c r="D1520" s="699" t="s">
        <v>2236</v>
      </c>
      <c r="E1520" s="701" t="s">
        <v>9393</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6925</v>
      </c>
      <c r="C1521" s="566">
        <f t="shared" si="23"/>
        <v>2215</v>
      </c>
      <c r="D1521" s="700" t="s">
        <v>2236</v>
      </c>
      <c r="E1521" s="701" t="s">
        <v>9394</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6926</v>
      </c>
      <c r="C1522" s="566">
        <f t="shared" si="23"/>
        <v>2216</v>
      </c>
      <c r="D1522" s="699" t="s">
        <v>2236</v>
      </c>
      <c r="E1522" s="701" t="s">
        <v>9395</v>
      </c>
      <c r="F1522" s="567">
        <v>1</v>
      </c>
      <c r="G1522" s="662">
        <v>75257.302276793795</v>
      </c>
      <c r="H1522" s="662">
        <v>0</v>
      </c>
      <c r="I1522" s="662">
        <v>0</v>
      </c>
      <c r="J1522" s="662">
        <v>0</v>
      </c>
      <c r="K1522" s="568" t="s">
        <v>5299</v>
      </c>
      <c r="L1522" s="549"/>
      <c r="M1522" s="540"/>
      <c r="O1522" s="540"/>
      <c r="S1522" s="550"/>
      <c r="T1522" s="547"/>
      <c r="U1522" s="547"/>
      <c r="V1522" s="547"/>
      <c r="W1522" s="549"/>
    </row>
    <row r="1523" spans="1:23">
      <c r="A1523" s="565">
        <v>2217</v>
      </c>
      <c r="B1523" s="696" t="s">
        <v>6927</v>
      </c>
      <c r="C1523" s="566">
        <f t="shared" si="23"/>
        <v>2217</v>
      </c>
      <c r="D1523" s="700" t="s">
        <v>2236</v>
      </c>
      <c r="E1523" s="701" t="s">
        <v>9396</v>
      </c>
      <c r="F1523" s="566">
        <v>1</v>
      </c>
      <c r="G1523" s="662">
        <v>0</v>
      </c>
      <c r="H1523" s="662">
        <v>0</v>
      </c>
      <c r="I1523" s="662">
        <v>284721.63580689888</v>
      </c>
      <c r="J1523" s="662">
        <v>291863.43121385307</v>
      </c>
      <c r="K1523" s="566" t="s">
        <v>4102</v>
      </c>
      <c r="L1523" s="549"/>
      <c r="M1523" s="540"/>
      <c r="O1523" s="540"/>
      <c r="S1523" s="550"/>
      <c r="T1523" s="547"/>
      <c r="U1523" s="547"/>
      <c r="V1523" s="547"/>
      <c r="W1523" s="549"/>
    </row>
    <row r="1524" spans="1:23">
      <c r="A1524" s="565">
        <v>2218</v>
      </c>
      <c r="B1524" s="696" t="s">
        <v>6928</v>
      </c>
      <c r="C1524" s="566">
        <f t="shared" si="23"/>
        <v>2218</v>
      </c>
      <c r="D1524" s="700" t="s">
        <v>2236</v>
      </c>
      <c r="E1524" s="701" t="s">
        <v>9397</v>
      </c>
      <c r="F1524" s="566">
        <v>1</v>
      </c>
      <c r="G1524" s="662">
        <v>85373.367533649958</v>
      </c>
      <c r="H1524" s="662">
        <v>0</v>
      </c>
      <c r="I1524" s="662">
        <v>0</v>
      </c>
      <c r="J1524" s="662">
        <v>0</v>
      </c>
      <c r="K1524" s="566" t="s">
        <v>5300</v>
      </c>
      <c r="L1524" s="549"/>
      <c r="M1524" s="540"/>
      <c r="O1524" s="540"/>
      <c r="S1524" s="550"/>
      <c r="T1524" s="547"/>
      <c r="U1524" s="547"/>
      <c r="V1524" s="547"/>
      <c r="W1524" s="549"/>
    </row>
    <row r="1525" spans="1:23">
      <c r="A1525" s="565">
        <v>2219</v>
      </c>
      <c r="B1525" s="695" t="s">
        <v>6929</v>
      </c>
      <c r="C1525" s="566">
        <f t="shared" si="23"/>
        <v>2219</v>
      </c>
      <c r="D1525" s="699" t="s">
        <v>2236</v>
      </c>
      <c r="E1525" s="701" t="s">
        <v>9398</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6930</v>
      </c>
      <c r="C1526" s="566">
        <f t="shared" si="23"/>
        <v>2220</v>
      </c>
      <c r="D1526" s="699" t="s">
        <v>2236</v>
      </c>
      <c r="E1526" s="701" t="s">
        <v>9399</v>
      </c>
      <c r="F1526" s="567">
        <v>1</v>
      </c>
      <c r="G1526" s="662">
        <v>25769.053490700502</v>
      </c>
      <c r="H1526" s="662">
        <v>0</v>
      </c>
      <c r="I1526" s="662">
        <v>0</v>
      </c>
      <c r="J1526" s="662">
        <v>0</v>
      </c>
      <c r="K1526" s="568" t="s">
        <v>5301</v>
      </c>
      <c r="L1526" s="549"/>
      <c r="M1526" s="540"/>
      <c r="O1526" s="540"/>
      <c r="S1526" s="550"/>
      <c r="T1526" s="547"/>
      <c r="U1526" s="547"/>
      <c r="V1526" s="547"/>
      <c r="W1526" s="549"/>
    </row>
    <row r="1527" spans="1:23">
      <c r="A1527" s="565">
        <v>2221</v>
      </c>
      <c r="B1527" s="696" t="s">
        <v>6931</v>
      </c>
      <c r="C1527" s="566">
        <f t="shared" si="23"/>
        <v>2221</v>
      </c>
      <c r="D1527" s="700" t="s">
        <v>2236</v>
      </c>
      <c r="E1527" s="701" t="s">
        <v>9400</v>
      </c>
      <c r="F1527" s="566">
        <v>1</v>
      </c>
      <c r="G1527" s="662">
        <v>24396.596687983885</v>
      </c>
      <c r="H1527" s="662">
        <v>0</v>
      </c>
      <c r="I1527" s="662">
        <v>0</v>
      </c>
      <c r="J1527" s="662">
        <v>0</v>
      </c>
      <c r="K1527" s="566" t="s">
        <v>5302</v>
      </c>
      <c r="L1527" s="549"/>
      <c r="M1527" s="540"/>
      <c r="O1527" s="540"/>
      <c r="S1527" s="550"/>
      <c r="T1527" s="547"/>
      <c r="U1527" s="547"/>
      <c r="V1527" s="547"/>
      <c r="W1527" s="549"/>
    </row>
    <row r="1528" spans="1:23">
      <c r="A1528" s="565">
        <v>2222</v>
      </c>
      <c r="B1528" s="696" t="s">
        <v>6932</v>
      </c>
      <c r="C1528" s="566">
        <f t="shared" si="23"/>
        <v>2222</v>
      </c>
      <c r="D1528" s="700" t="s">
        <v>2236</v>
      </c>
      <c r="E1528" s="701" t="s">
        <v>9401</v>
      </c>
      <c r="F1528" s="566">
        <v>1</v>
      </c>
      <c r="G1528" s="662">
        <v>42298.626923040465</v>
      </c>
      <c r="H1528" s="662">
        <v>0</v>
      </c>
      <c r="I1528" s="662">
        <v>0</v>
      </c>
      <c r="J1528" s="662">
        <v>0</v>
      </c>
      <c r="K1528" s="566" t="s">
        <v>5303</v>
      </c>
      <c r="L1528" s="549"/>
      <c r="M1528" s="540"/>
      <c r="O1528" s="540"/>
      <c r="S1528" s="550"/>
      <c r="T1528" s="547"/>
      <c r="U1528" s="547"/>
      <c r="V1528" s="547"/>
      <c r="W1528" s="549"/>
    </row>
    <row r="1529" spans="1:23">
      <c r="A1529" s="565">
        <v>2223</v>
      </c>
      <c r="B1529" s="696" t="s">
        <v>6933</v>
      </c>
      <c r="C1529" s="566">
        <f t="shared" si="23"/>
        <v>2223</v>
      </c>
      <c r="D1529" s="700" t="s">
        <v>2236</v>
      </c>
      <c r="E1529" s="701" t="s">
        <v>9402</v>
      </c>
      <c r="F1529" s="566">
        <v>1</v>
      </c>
      <c r="G1529" s="662">
        <v>0</v>
      </c>
      <c r="H1529" s="662">
        <v>45931.484741046574</v>
      </c>
      <c r="I1529" s="662">
        <v>49455.04755039372</v>
      </c>
      <c r="J1529" s="662">
        <v>51309.552064278803</v>
      </c>
      <c r="K1529" s="566" t="s">
        <v>4103</v>
      </c>
      <c r="L1529" s="549"/>
      <c r="M1529" s="540"/>
      <c r="O1529" s="540"/>
      <c r="S1529" s="550"/>
      <c r="T1529" s="547"/>
      <c r="U1529" s="547"/>
      <c r="V1529" s="547"/>
      <c r="W1529" s="549"/>
    </row>
    <row r="1530" spans="1:23">
      <c r="A1530" s="565">
        <v>2224</v>
      </c>
      <c r="B1530" s="696" t="s">
        <v>6934</v>
      </c>
      <c r="C1530" s="566">
        <f t="shared" si="23"/>
        <v>2224</v>
      </c>
      <c r="D1530" s="700" t="s">
        <v>2236</v>
      </c>
      <c r="E1530" s="701" t="s">
        <v>9403</v>
      </c>
      <c r="F1530" s="566">
        <v>1</v>
      </c>
      <c r="G1530" s="662">
        <v>66064.685244992972</v>
      </c>
      <c r="H1530" s="662">
        <v>0</v>
      </c>
      <c r="I1530" s="662">
        <v>0</v>
      </c>
      <c r="J1530" s="662">
        <v>0</v>
      </c>
      <c r="K1530" s="566" t="s">
        <v>5304</v>
      </c>
      <c r="L1530" s="549"/>
      <c r="M1530" s="540"/>
      <c r="O1530" s="540"/>
      <c r="S1530" s="550"/>
      <c r="T1530" s="547"/>
      <c r="U1530" s="547"/>
      <c r="V1530" s="547"/>
      <c r="W1530" s="549"/>
    </row>
    <row r="1531" spans="1:23">
      <c r="A1531" s="565">
        <v>2225</v>
      </c>
      <c r="B1531" s="696" t="s">
        <v>6935</v>
      </c>
      <c r="C1531" s="566">
        <f t="shared" si="23"/>
        <v>2225</v>
      </c>
      <c r="D1531" s="700" t="s">
        <v>2236</v>
      </c>
      <c r="E1531" s="701" t="s">
        <v>9404</v>
      </c>
      <c r="F1531" s="566">
        <v>1</v>
      </c>
      <c r="G1531" s="662">
        <v>69122.744553334473</v>
      </c>
      <c r="H1531" s="662">
        <v>0</v>
      </c>
      <c r="I1531" s="662">
        <v>0</v>
      </c>
      <c r="J1531" s="662">
        <v>0</v>
      </c>
      <c r="K1531" s="566" t="s">
        <v>5305</v>
      </c>
      <c r="L1531" s="549"/>
      <c r="M1531" s="540"/>
      <c r="O1531" s="540"/>
      <c r="S1531" s="550"/>
      <c r="T1531" s="547"/>
      <c r="U1531" s="547"/>
      <c r="V1531" s="547"/>
      <c r="W1531" s="549"/>
    </row>
    <row r="1532" spans="1:23">
      <c r="A1532" s="565">
        <v>2226</v>
      </c>
      <c r="B1532" s="696" t="s">
        <v>6936</v>
      </c>
      <c r="C1532" s="566">
        <f t="shared" si="23"/>
        <v>2226</v>
      </c>
      <c r="D1532" s="700" t="s">
        <v>2236</v>
      </c>
      <c r="E1532" s="701" t="s">
        <v>9405</v>
      </c>
      <c r="F1532" s="566">
        <v>1</v>
      </c>
      <c r="G1532" s="662">
        <v>0</v>
      </c>
      <c r="H1532" s="662">
        <v>0</v>
      </c>
      <c r="I1532" s="662">
        <v>0</v>
      </c>
      <c r="J1532" s="662">
        <v>191520.26645154911</v>
      </c>
      <c r="K1532" s="566" t="s">
        <v>4843</v>
      </c>
      <c r="L1532" s="549"/>
      <c r="M1532" s="540"/>
      <c r="O1532" s="540"/>
      <c r="S1532" s="550"/>
      <c r="T1532" s="547"/>
      <c r="U1532" s="547"/>
      <c r="V1532" s="547"/>
      <c r="W1532" s="549"/>
    </row>
    <row r="1533" spans="1:23">
      <c r="A1533" s="565">
        <v>2227</v>
      </c>
      <c r="B1533" s="696" t="s">
        <v>6937</v>
      </c>
      <c r="C1533" s="566">
        <f t="shared" si="23"/>
        <v>2227</v>
      </c>
      <c r="D1533" s="700" t="s">
        <v>2236</v>
      </c>
      <c r="E1533" s="701" t="s">
        <v>9406</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6938</v>
      </c>
      <c r="C1534" s="566">
        <f t="shared" si="23"/>
        <v>2228</v>
      </c>
      <c r="D1534" s="700" t="s">
        <v>2236</v>
      </c>
      <c r="E1534" s="701" t="s">
        <v>9407</v>
      </c>
      <c r="F1534" s="566">
        <v>1</v>
      </c>
      <c r="G1534" s="662">
        <v>0</v>
      </c>
      <c r="H1534" s="662">
        <v>0</v>
      </c>
      <c r="I1534" s="662">
        <v>0</v>
      </c>
      <c r="J1534" s="662">
        <v>15764.010893780622</v>
      </c>
      <c r="K1534" s="566" t="s">
        <v>4844</v>
      </c>
      <c r="L1534" s="549"/>
      <c r="M1534" s="540"/>
      <c r="O1534" s="540"/>
      <c r="S1534" s="550"/>
      <c r="T1534" s="547"/>
      <c r="U1534" s="547"/>
      <c r="V1534" s="547"/>
      <c r="W1534" s="549"/>
    </row>
    <row r="1535" spans="1:23">
      <c r="A1535" s="565">
        <v>2229</v>
      </c>
      <c r="B1535" s="695" t="s">
        <v>6939</v>
      </c>
      <c r="C1535" s="566">
        <f t="shared" si="23"/>
        <v>2229</v>
      </c>
      <c r="D1535" s="699" t="s">
        <v>2236</v>
      </c>
      <c r="E1535" s="701" t="s">
        <v>9408</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6940</v>
      </c>
      <c r="C1536" s="566">
        <f t="shared" si="23"/>
        <v>2230</v>
      </c>
      <c r="D1536" s="700" t="s">
        <v>2236</v>
      </c>
      <c r="E1536" s="701" t="s">
        <v>9409</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6941</v>
      </c>
      <c r="C1537" s="566">
        <f t="shared" si="23"/>
        <v>2231</v>
      </c>
      <c r="D1537" s="700" t="s">
        <v>2236</v>
      </c>
      <c r="E1537" s="701" t="s">
        <v>9410</v>
      </c>
      <c r="F1537" s="566">
        <v>1</v>
      </c>
      <c r="G1537" s="662">
        <v>0</v>
      </c>
      <c r="H1537" s="662">
        <v>0</v>
      </c>
      <c r="I1537" s="662">
        <v>0</v>
      </c>
      <c r="J1537" s="662">
        <v>14537.023215846306</v>
      </c>
      <c r="K1537" s="566" t="s">
        <v>4845</v>
      </c>
      <c r="L1537" s="549"/>
      <c r="M1537" s="540"/>
      <c r="O1537" s="540"/>
      <c r="S1537" s="550"/>
      <c r="T1537" s="547"/>
      <c r="U1537" s="547"/>
      <c r="V1537" s="547"/>
      <c r="W1537" s="549"/>
    </row>
    <row r="1538" spans="1:23">
      <c r="A1538" s="565">
        <v>2232</v>
      </c>
      <c r="B1538" s="696" t="s">
        <v>6942</v>
      </c>
      <c r="C1538" s="566">
        <f t="shared" si="23"/>
        <v>2232</v>
      </c>
      <c r="D1538" s="700" t="s">
        <v>2236</v>
      </c>
      <c r="E1538" s="701" t="s">
        <v>9411</v>
      </c>
      <c r="F1538" s="566">
        <v>1</v>
      </c>
      <c r="G1538" s="662">
        <v>0</v>
      </c>
      <c r="H1538" s="662">
        <v>0</v>
      </c>
      <c r="I1538" s="662">
        <v>0</v>
      </c>
      <c r="J1538" s="662">
        <v>13412.284511073178</v>
      </c>
      <c r="K1538" s="566" t="s">
        <v>4846</v>
      </c>
      <c r="L1538" s="549"/>
      <c r="M1538" s="540"/>
      <c r="O1538" s="540"/>
      <c r="S1538" s="550"/>
      <c r="T1538" s="547"/>
      <c r="U1538" s="547"/>
      <c r="V1538" s="547"/>
      <c r="W1538" s="549"/>
    </row>
    <row r="1539" spans="1:23">
      <c r="A1539" s="565">
        <v>2233</v>
      </c>
      <c r="B1539" s="696" t="s">
        <v>6943</v>
      </c>
      <c r="C1539" s="566">
        <f t="shared" si="23"/>
        <v>2233</v>
      </c>
      <c r="D1539" s="700" t="s">
        <v>2236</v>
      </c>
      <c r="E1539" s="701" t="s">
        <v>9412</v>
      </c>
      <c r="F1539" s="566">
        <v>1</v>
      </c>
      <c r="G1539" s="662">
        <v>0</v>
      </c>
      <c r="H1539" s="662">
        <v>0</v>
      </c>
      <c r="I1539" s="662">
        <v>0</v>
      </c>
      <c r="J1539" s="662">
        <v>13667.906943976159</v>
      </c>
      <c r="K1539" s="566" t="s">
        <v>4847</v>
      </c>
      <c r="L1539" s="549"/>
      <c r="M1539" s="540"/>
      <c r="O1539" s="540"/>
      <c r="S1539" s="550"/>
      <c r="T1539" s="547"/>
      <c r="U1539" s="547"/>
      <c r="V1539" s="547"/>
      <c r="W1539" s="549"/>
    </row>
    <row r="1540" spans="1:23">
      <c r="A1540" s="565">
        <v>2234</v>
      </c>
      <c r="B1540" s="696" t="s">
        <v>6944</v>
      </c>
      <c r="C1540" s="566">
        <f t="shared" si="23"/>
        <v>2234</v>
      </c>
      <c r="D1540" s="700" t="s">
        <v>2236</v>
      </c>
      <c r="E1540" s="701" t="s">
        <v>9413</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6945</v>
      </c>
      <c r="C1541" s="566">
        <f t="shared" si="23"/>
        <v>2235</v>
      </c>
      <c r="D1541" s="700" t="s">
        <v>2236</v>
      </c>
      <c r="E1541" s="701" t="s">
        <v>9414</v>
      </c>
      <c r="F1541" s="566">
        <v>1</v>
      </c>
      <c r="G1541" s="662">
        <v>12247.462477504654</v>
      </c>
      <c r="H1541" s="662">
        <v>0</v>
      </c>
      <c r="I1541" s="662">
        <v>0</v>
      </c>
      <c r="J1541" s="662">
        <v>0</v>
      </c>
      <c r="K1541" s="566" t="s">
        <v>5306</v>
      </c>
      <c r="L1541" s="549"/>
      <c r="M1541" s="540"/>
      <c r="O1541" s="540"/>
      <c r="S1541" s="550"/>
      <c r="T1541" s="547"/>
      <c r="U1541" s="547"/>
      <c r="V1541" s="547"/>
      <c r="W1541" s="549"/>
    </row>
    <row r="1542" spans="1:23">
      <c r="A1542" s="565">
        <v>2236</v>
      </c>
      <c r="B1542" s="696" t="s">
        <v>6946</v>
      </c>
      <c r="C1542" s="566">
        <f t="shared" si="23"/>
        <v>2236</v>
      </c>
      <c r="D1542" s="700" t="s">
        <v>2236</v>
      </c>
      <c r="E1542" s="701" t="s">
        <v>9415</v>
      </c>
      <c r="F1542" s="566">
        <v>1</v>
      </c>
      <c r="G1542" s="662">
        <v>0</v>
      </c>
      <c r="H1542" s="662">
        <v>0</v>
      </c>
      <c r="I1542" s="662">
        <v>43614.951368477217</v>
      </c>
      <c r="J1542" s="662">
        <v>45219.033643560528</v>
      </c>
      <c r="K1542" s="566" t="s">
        <v>4104</v>
      </c>
      <c r="L1542" s="549"/>
      <c r="M1542" s="540"/>
      <c r="O1542" s="540"/>
      <c r="S1542" s="550"/>
      <c r="T1542" s="547"/>
      <c r="U1542" s="547"/>
      <c r="V1542" s="547"/>
      <c r="W1542" s="549"/>
    </row>
    <row r="1543" spans="1:23">
      <c r="A1543" s="565">
        <v>2237</v>
      </c>
      <c r="B1543" s="696" t="s">
        <v>6947</v>
      </c>
      <c r="C1543" s="566">
        <f t="shared" si="23"/>
        <v>2237</v>
      </c>
      <c r="D1543" s="700" t="s">
        <v>2236</v>
      </c>
      <c r="E1543" s="701" t="s">
        <v>9416</v>
      </c>
      <c r="F1543" s="566">
        <v>2</v>
      </c>
      <c r="G1543" s="662">
        <v>0</v>
      </c>
      <c r="H1543" s="662">
        <v>0</v>
      </c>
      <c r="I1543" s="662">
        <v>23903.959673669724</v>
      </c>
      <c r="J1543" s="662">
        <v>0</v>
      </c>
      <c r="K1543" s="566" t="s">
        <v>4105</v>
      </c>
      <c r="L1543" s="549"/>
      <c r="M1543" s="540"/>
      <c r="O1543" s="540"/>
      <c r="S1543" s="550"/>
      <c r="T1543" s="547"/>
      <c r="U1543" s="547"/>
      <c r="V1543" s="547"/>
      <c r="W1543" s="549"/>
    </row>
    <row r="1544" spans="1:23">
      <c r="A1544" s="565">
        <v>2238</v>
      </c>
      <c r="B1544" s="696" t="s">
        <v>6948</v>
      </c>
      <c r="C1544" s="566">
        <f t="shared" si="23"/>
        <v>2238</v>
      </c>
      <c r="D1544" s="700" t="s">
        <v>2236</v>
      </c>
      <c r="E1544" s="701" t="s">
        <v>9417</v>
      </c>
      <c r="F1544" s="566">
        <v>2</v>
      </c>
      <c r="G1544" s="662">
        <v>0</v>
      </c>
      <c r="H1544" s="662">
        <v>0</v>
      </c>
      <c r="I1544" s="662">
        <v>25499.652825316243</v>
      </c>
      <c r="J1544" s="662">
        <v>0</v>
      </c>
      <c r="K1544" s="566" t="s">
        <v>4106</v>
      </c>
      <c r="L1544" s="549"/>
      <c r="M1544" s="540"/>
      <c r="O1544" s="540"/>
      <c r="S1544" s="550"/>
      <c r="T1544" s="547"/>
      <c r="U1544" s="547"/>
      <c r="V1544" s="547"/>
      <c r="W1544" s="549"/>
    </row>
    <row r="1545" spans="1:23">
      <c r="A1545" s="565">
        <v>2239</v>
      </c>
      <c r="B1545" s="696" t="s">
        <v>6949</v>
      </c>
      <c r="C1545" s="566">
        <f t="shared" ref="C1545:C1608" si="24">A1545</f>
        <v>2239</v>
      </c>
      <c r="D1545" s="700" t="s">
        <v>2236</v>
      </c>
      <c r="E1545" s="701" t="s">
        <v>9418</v>
      </c>
      <c r="F1545" s="566">
        <v>2</v>
      </c>
      <c r="G1545" s="662">
        <v>0</v>
      </c>
      <c r="H1545" s="662">
        <v>0</v>
      </c>
      <c r="I1545" s="662">
        <v>26580.60625062518</v>
      </c>
      <c r="J1545" s="662">
        <v>0</v>
      </c>
      <c r="K1545" s="566" t="s">
        <v>4107</v>
      </c>
      <c r="L1545" s="549"/>
      <c r="M1545" s="540"/>
      <c r="O1545" s="540"/>
      <c r="S1545" s="550"/>
      <c r="T1545" s="547"/>
      <c r="U1545" s="547"/>
      <c r="V1545" s="547"/>
      <c r="W1545" s="549"/>
    </row>
    <row r="1546" spans="1:23">
      <c r="A1546" s="565">
        <v>2240</v>
      </c>
      <c r="B1546" s="696" t="s">
        <v>6950</v>
      </c>
      <c r="C1546" s="566">
        <f t="shared" si="24"/>
        <v>2240</v>
      </c>
      <c r="D1546" s="700" t="s">
        <v>2236</v>
      </c>
      <c r="E1546" s="701" t="s">
        <v>9419</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6951</v>
      </c>
      <c r="C1547" s="566">
        <f t="shared" si="24"/>
        <v>2241</v>
      </c>
      <c r="D1547" s="700" t="s">
        <v>2236</v>
      </c>
      <c r="E1547" s="701" t="s">
        <v>9420</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6952</v>
      </c>
      <c r="C1548" s="566">
        <f t="shared" si="24"/>
        <v>2242</v>
      </c>
      <c r="D1548" s="700" t="s">
        <v>2236</v>
      </c>
      <c r="E1548" s="701" t="s">
        <v>9421</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6953</v>
      </c>
      <c r="C1549" s="566">
        <f t="shared" si="24"/>
        <v>2243</v>
      </c>
      <c r="D1549" s="700" t="s">
        <v>2236</v>
      </c>
      <c r="E1549" s="701" t="s">
        <v>9422</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6954</v>
      </c>
      <c r="C1550" s="566">
        <f t="shared" si="24"/>
        <v>2244</v>
      </c>
      <c r="D1550" s="700" t="s">
        <v>2236</v>
      </c>
      <c r="E1550" s="701" t="s">
        <v>9423</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6955</v>
      </c>
      <c r="C1551" s="566">
        <f t="shared" si="24"/>
        <v>2245</v>
      </c>
      <c r="D1551" s="699" t="s">
        <v>2236</v>
      </c>
      <c r="E1551" s="701" t="s">
        <v>9424</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6956</v>
      </c>
      <c r="C1552" s="566">
        <f t="shared" si="24"/>
        <v>2246</v>
      </c>
      <c r="D1552" s="700" t="s">
        <v>2236</v>
      </c>
      <c r="E1552" s="701" t="s">
        <v>9425</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6957</v>
      </c>
      <c r="C1553" s="566">
        <f t="shared" si="24"/>
        <v>2247</v>
      </c>
      <c r="D1553" s="700" t="s">
        <v>2236</v>
      </c>
      <c r="E1553" s="701" t="s">
        <v>9426</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6958</v>
      </c>
      <c r="C1554" s="566">
        <f t="shared" si="24"/>
        <v>2248</v>
      </c>
      <c r="D1554" s="700" t="s">
        <v>2236</v>
      </c>
      <c r="E1554" s="701" t="s">
        <v>9427</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6959</v>
      </c>
      <c r="C1555" s="566">
        <f t="shared" si="24"/>
        <v>2249</v>
      </c>
      <c r="D1555" s="700" t="s">
        <v>2236</v>
      </c>
      <c r="E1555" s="701" t="s">
        <v>9428</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6960</v>
      </c>
      <c r="C1556" s="566">
        <f t="shared" si="24"/>
        <v>2250</v>
      </c>
      <c r="D1556" s="700" t="s">
        <v>2236</v>
      </c>
      <c r="E1556" s="701" t="s">
        <v>9429</v>
      </c>
      <c r="F1556" s="566">
        <v>2</v>
      </c>
      <c r="G1556" s="662">
        <v>0</v>
      </c>
      <c r="H1556" s="662">
        <v>0</v>
      </c>
      <c r="I1556" s="662">
        <v>32911.904884577503</v>
      </c>
      <c r="J1556" s="662">
        <v>34206.888606896682</v>
      </c>
      <c r="K1556" s="566" t="s">
        <v>4108</v>
      </c>
      <c r="L1556" s="549"/>
      <c r="M1556" s="540"/>
      <c r="O1556" s="540"/>
      <c r="S1556" s="550"/>
      <c r="T1556" s="547"/>
      <c r="U1556" s="547"/>
      <c r="V1556" s="547"/>
      <c r="W1556" s="549"/>
    </row>
    <row r="1557" spans="1:23">
      <c r="A1557" s="565">
        <v>2251</v>
      </c>
      <c r="B1557" s="695" t="s">
        <v>6961</v>
      </c>
      <c r="C1557" s="566">
        <f t="shared" si="24"/>
        <v>2251</v>
      </c>
      <c r="D1557" s="699" t="s">
        <v>2236</v>
      </c>
      <c r="E1557" s="701" t="s">
        <v>9430</v>
      </c>
      <c r="F1557" s="567">
        <v>2</v>
      </c>
      <c r="G1557" s="662">
        <v>0</v>
      </c>
      <c r="H1557" s="662">
        <v>0</v>
      </c>
      <c r="I1557" s="662">
        <v>37184.244613179479</v>
      </c>
      <c r="J1557" s="662">
        <v>38670.537172144257</v>
      </c>
      <c r="K1557" s="568" t="s">
        <v>4109</v>
      </c>
      <c r="L1557" s="549"/>
      <c r="M1557" s="540"/>
      <c r="O1557" s="540"/>
      <c r="S1557" s="550"/>
      <c r="T1557" s="547"/>
      <c r="U1557" s="547"/>
      <c r="V1557" s="547"/>
      <c r="W1557" s="549"/>
    </row>
    <row r="1558" spans="1:23">
      <c r="A1558" s="565">
        <v>2252</v>
      </c>
      <c r="B1558" s="696" t="s">
        <v>6962</v>
      </c>
      <c r="C1558" s="566">
        <f t="shared" si="24"/>
        <v>2252</v>
      </c>
      <c r="D1558" s="700" t="s">
        <v>2236</v>
      </c>
      <c r="E1558" s="701" t="s">
        <v>9431</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6963</v>
      </c>
      <c r="C1559" s="566">
        <f t="shared" si="24"/>
        <v>2253</v>
      </c>
      <c r="D1559" s="700" t="s">
        <v>2236</v>
      </c>
      <c r="E1559" s="701" t="s">
        <v>9432</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6964</v>
      </c>
      <c r="C1560" s="566">
        <f t="shared" si="24"/>
        <v>2254</v>
      </c>
      <c r="D1560" s="700" t="s">
        <v>2236</v>
      </c>
      <c r="E1560" s="701" t="s">
        <v>9433</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6965</v>
      </c>
      <c r="C1561" s="566">
        <f t="shared" si="24"/>
        <v>2255</v>
      </c>
      <c r="D1561" s="700" t="s">
        <v>2236</v>
      </c>
      <c r="E1561" s="701" t="s">
        <v>9434</v>
      </c>
      <c r="F1561" s="566">
        <v>2</v>
      </c>
      <c r="G1561" s="662">
        <v>0</v>
      </c>
      <c r="H1561" s="662">
        <v>0</v>
      </c>
      <c r="I1561" s="662">
        <v>38700.731871449032</v>
      </c>
      <c r="J1561" s="662">
        <v>40341.307319783875</v>
      </c>
      <c r="K1561" s="566" t="s">
        <v>4110</v>
      </c>
      <c r="L1561" s="549"/>
      <c r="M1561" s="540"/>
      <c r="O1561" s="540"/>
      <c r="S1561" s="550"/>
      <c r="T1561" s="547"/>
      <c r="U1561" s="547"/>
      <c r="V1561" s="547"/>
      <c r="W1561" s="549"/>
    </row>
    <row r="1562" spans="1:23">
      <c r="A1562" s="565">
        <v>2256</v>
      </c>
      <c r="B1562" s="696" t="s">
        <v>6966</v>
      </c>
      <c r="C1562" s="566">
        <f t="shared" si="24"/>
        <v>2256</v>
      </c>
      <c r="D1562" s="700" t="s">
        <v>2236</v>
      </c>
      <c r="E1562" s="701" t="s">
        <v>9435</v>
      </c>
      <c r="F1562" s="566">
        <v>2</v>
      </c>
      <c r="G1562" s="662">
        <v>0</v>
      </c>
      <c r="H1562" s="662">
        <v>0</v>
      </c>
      <c r="I1562" s="662">
        <v>34428.392142847035</v>
      </c>
      <c r="J1562" s="662">
        <v>35867.052109981698</v>
      </c>
      <c r="K1562" s="566" t="s">
        <v>4111</v>
      </c>
      <c r="L1562" s="549"/>
      <c r="M1562" s="540"/>
      <c r="O1562" s="540"/>
      <c r="S1562" s="550"/>
      <c r="T1562" s="547"/>
      <c r="U1562" s="547"/>
      <c r="V1562" s="547"/>
      <c r="W1562" s="549"/>
    </row>
    <row r="1563" spans="1:23">
      <c r="A1563" s="565">
        <v>2257</v>
      </c>
      <c r="B1563" s="696" t="s">
        <v>6967</v>
      </c>
      <c r="C1563" s="566">
        <f t="shared" si="24"/>
        <v>2257</v>
      </c>
      <c r="D1563" s="700" t="s">
        <v>2236</v>
      </c>
      <c r="E1563" s="701" t="s">
        <v>9436</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6968</v>
      </c>
      <c r="C1564" s="566">
        <f t="shared" si="24"/>
        <v>2258</v>
      </c>
      <c r="D1564" s="700" t="s">
        <v>2236</v>
      </c>
      <c r="E1564" s="701" t="s">
        <v>9437</v>
      </c>
      <c r="F1564" s="566">
        <v>1</v>
      </c>
      <c r="G1564" s="662">
        <v>0</v>
      </c>
      <c r="H1564" s="662">
        <v>0</v>
      </c>
      <c r="I1564" s="662">
        <v>41316.790924608584</v>
      </c>
      <c r="J1564" s="662">
        <v>42824.615564290405</v>
      </c>
      <c r="K1564" s="566" t="s">
        <v>4112</v>
      </c>
      <c r="L1564" s="549"/>
      <c r="M1564" s="540"/>
      <c r="O1564" s="540"/>
      <c r="S1564" s="550"/>
      <c r="T1564" s="547"/>
      <c r="U1564" s="547"/>
      <c r="V1564" s="547"/>
      <c r="W1564" s="549"/>
    </row>
    <row r="1565" spans="1:23">
      <c r="A1565" s="565">
        <v>2259</v>
      </c>
      <c r="B1565" s="695" t="s">
        <v>6969</v>
      </c>
      <c r="C1565" s="566">
        <f t="shared" si="24"/>
        <v>2259</v>
      </c>
      <c r="D1565" s="699" t="s">
        <v>2236</v>
      </c>
      <c r="E1565" s="701" t="s">
        <v>9438</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6970</v>
      </c>
      <c r="C1566" s="566">
        <f t="shared" si="24"/>
        <v>2260</v>
      </c>
      <c r="D1566" s="699" t="s">
        <v>2236</v>
      </c>
      <c r="E1566" s="701" t="s">
        <v>9439</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6971</v>
      </c>
      <c r="C1567" s="566">
        <f t="shared" si="24"/>
        <v>2261</v>
      </c>
      <c r="D1567" s="699" t="s">
        <v>2236</v>
      </c>
      <c r="E1567" s="701" t="s">
        <v>9440</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6972</v>
      </c>
      <c r="C1568" s="566">
        <f t="shared" si="24"/>
        <v>2262</v>
      </c>
      <c r="D1568" s="699" t="s">
        <v>2236</v>
      </c>
      <c r="E1568" s="701" t="s">
        <v>9441</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6973</v>
      </c>
      <c r="C1569" s="566">
        <f t="shared" si="24"/>
        <v>2263</v>
      </c>
      <c r="D1569" s="700" t="s">
        <v>2236</v>
      </c>
      <c r="E1569" s="701" t="s">
        <v>9442</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6974</v>
      </c>
      <c r="C1570" s="566">
        <f t="shared" si="24"/>
        <v>2264</v>
      </c>
      <c r="D1570" s="700" t="s">
        <v>2236</v>
      </c>
      <c r="E1570" s="701" t="s">
        <v>9443</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6975</v>
      </c>
      <c r="C1571" s="566">
        <f t="shared" si="24"/>
        <v>2265</v>
      </c>
      <c r="D1571" s="700" t="s">
        <v>2236</v>
      </c>
      <c r="E1571" s="701" t="s">
        <v>9444</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6976</v>
      </c>
      <c r="C1572" s="566">
        <f t="shared" si="24"/>
        <v>2266</v>
      </c>
      <c r="D1572" s="700" t="s">
        <v>2236</v>
      </c>
      <c r="E1572" s="701" t="s">
        <v>9445</v>
      </c>
      <c r="F1572" s="566">
        <v>1</v>
      </c>
      <c r="G1572" s="662">
        <v>0</v>
      </c>
      <c r="H1572" s="662">
        <v>0</v>
      </c>
      <c r="I1572" s="662">
        <v>31945.676646133976</v>
      </c>
      <c r="J1572" s="662">
        <v>33177.554265067192</v>
      </c>
      <c r="K1572" s="566" t="s">
        <v>4113</v>
      </c>
      <c r="L1572" s="549"/>
      <c r="M1572" s="540"/>
      <c r="O1572" s="540"/>
      <c r="S1572" s="550"/>
      <c r="T1572" s="547"/>
      <c r="U1572" s="547"/>
      <c r="V1572" s="547"/>
      <c r="W1572" s="549"/>
    </row>
    <row r="1573" spans="1:23">
      <c r="A1573" s="565">
        <v>2267</v>
      </c>
      <c r="B1573" s="696" t="s">
        <v>6977</v>
      </c>
      <c r="C1573" s="566">
        <f t="shared" si="24"/>
        <v>2267</v>
      </c>
      <c r="D1573" s="700" t="s">
        <v>2236</v>
      </c>
      <c r="E1573" s="701" t="s">
        <v>9446</v>
      </c>
      <c r="F1573" s="566">
        <v>1</v>
      </c>
      <c r="G1573" s="662">
        <v>0</v>
      </c>
      <c r="H1573" s="662">
        <v>0</v>
      </c>
      <c r="I1573" s="662">
        <v>0</v>
      </c>
      <c r="J1573" s="662">
        <v>32567.417349516927</v>
      </c>
      <c r="K1573" s="566" t="s">
        <v>4848</v>
      </c>
      <c r="L1573" s="549"/>
      <c r="M1573" s="540"/>
      <c r="O1573" s="540"/>
      <c r="S1573" s="550"/>
      <c r="T1573" s="547"/>
      <c r="U1573" s="547"/>
      <c r="V1573" s="547"/>
      <c r="W1573" s="549"/>
    </row>
    <row r="1574" spans="1:23">
      <c r="A1574" s="565">
        <v>2268</v>
      </c>
      <c r="B1574" s="696" t="s">
        <v>6978</v>
      </c>
      <c r="C1574" s="566">
        <f t="shared" si="24"/>
        <v>2268</v>
      </c>
      <c r="D1574" s="700" t="s">
        <v>2236</v>
      </c>
      <c r="E1574" s="701" t="s">
        <v>9447</v>
      </c>
      <c r="F1574" s="566">
        <v>1</v>
      </c>
      <c r="G1574" s="662">
        <v>37983.82670759983</v>
      </c>
      <c r="H1574" s="662">
        <v>0</v>
      </c>
      <c r="I1574" s="662">
        <v>0</v>
      </c>
      <c r="J1574" s="662">
        <v>0</v>
      </c>
      <c r="K1574" s="566" t="s">
        <v>5307</v>
      </c>
      <c r="L1574" s="549"/>
      <c r="M1574" s="540"/>
      <c r="O1574" s="540"/>
      <c r="S1574" s="550"/>
      <c r="T1574" s="547"/>
      <c r="U1574" s="547"/>
      <c r="V1574" s="547"/>
      <c r="W1574" s="549"/>
    </row>
    <row r="1575" spans="1:23">
      <c r="A1575" s="565">
        <v>2269</v>
      </c>
      <c r="B1575" s="696" t="s">
        <v>6979</v>
      </c>
      <c r="C1575" s="566">
        <f t="shared" si="24"/>
        <v>2269</v>
      </c>
      <c r="D1575" s="700" t="s">
        <v>2236</v>
      </c>
      <c r="E1575" s="701" t="s">
        <v>9448</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6980</v>
      </c>
      <c r="C1576" s="566">
        <f t="shared" si="24"/>
        <v>2270</v>
      </c>
      <c r="D1576" s="700" t="s">
        <v>2236</v>
      </c>
      <c r="E1576" s="701" t="s">
        <v>9449</v>
      </c>
      <c r="F1576" s="566">
        <v>1</v>
      </c>
      <c r="G1576" s="662">
        <v>0</v>
      </c>
      <c r="H1576" s="662">
        <v>0</v>
      </c>
      <c r="I1576" s="662">
        <v>41205.369145537094</v>
      </c>
      <c r="J1576" s="662">
        <v>44044.52662050318</v>
      </c>
      <c r="K1576" s="566" t="s">
        <v>4849</v>
      </c>
      <c r="L1576" s="549"/>
      <c r="M1576" s="540"/>
      <c r="O1576" s="540"/>
      <c r="S1576" s="550"/>
      <c r="T1576" s="547"/>
      <c r="U1576" s="547"/>
      <c r="V1576" s="547"/>
      <c r="W1576" s="549"/>
    </row>
    <row r="1577" spans="1:23">
      <c r="A1577" s="565">
        <v>2271</v>
      </c>
      <c r="B1577" s="696" t="s">
        <v>6981</v>
      </c>
      <c r="C1577" s="566">
        <f t="shared" si="24"/>
        <v>2271</v>
      </c>
      <c r="D1577" s="700" t="s">
        <v>2236</v>
      </c>
      <c r="E1577" s="701" t="s">
        <v>9450</v>
      </c>
      <c r="F1577" s="566">
        <v>1</v>
      </c>
      <c r="G1577" s="662">
        <v>0</v>
      </c>
      <c r="H1577" s="662">
        <v>0</v>
      </c>
      <c r="I1577" s="662">
        <v>41551.711549158688</v>
      </c>
      <c r="J1577" s="662">
        <v>44413.315914162733</v>
      </c>
      <c r="K1577" s="566" t="s">
        <v>4850</v>
      </c>
      <c r="L1577" s="549"/>
      <c r="M1577" s="540"/>
      <c r="O1577" s="540"/>
      <c r="S1577" s="550"/>
      <c r="T1577" s="547"/>
      <c r="U1577" s="547"/>
      <c r="V1577" s="547"/>
      <c r="W1577" s="549"/>
    </row>
    <row r="1578" spans="1:23">
      <c r="A1578" s="565">
        <v>2272</v>
      </c>
      <c r="B1578" s="696" t="s">
        <v>6982</v>
      </c>
      <c r="C1578" s="566">
        <f t="shared" si="24"/>
        <v>2272</v>
      </c>
      <c r="D1578" s="700" t="s">
        <v>2236</v>
      </c>
      <c r="E1578" s="701" t="s">
        <v>9451</v>
      </c>
      <c r="F1578" s="566">
        <v>1</v>
      </c>
      <c r="G1578" s="662">
        <v>0</v>
      </c>
      <c r="H1578" s="662">
        <v>0</v>
      </c>
      <c r="I1578" s="662">
        <v>0</v>
      </c>
      <c r="J1578" s="662">
        <v>44947.022990652025</v>
      </c>
      <c r="K1578" s="566" t="s">
        <v>4851</v>
      </c>
      <c r="L1578" s="549"/>
      <c r="M1578" s="540"/>
      <c r="O1578" s="540"/>
      <c r="S1578" s="550"/>
      <c r="T1578" s="547"/>
      <c r="U1578" s="547"/>
      <c r="V1578" s="547"/>
      <c r="W1578" s="549"/>
    </row>
    <row r="1579" spans="1:23">
      <c r="A1579" s="565">
        <v>2273</v>
      </c>
      <c r="B1579" s="695" t="s">
        <v>6983</v>
      </c>
      <c r="C1579" s="566">
        <f t="shared" si="24"/>
        <v>2273</v>
      </c>
      <c r="D1579" s="699" t="s">
        <v>2236</v>
      </c>
      <c r="E1579" s="701" t="s">
        <v>9452</v>
      </c>
      <c r="F1579" s="567">
        <v>1</v>
      </c>
      <c r="G1579" s="662">
        <v>0</v>
      </c>
      <c r="H1579" s="662">
        <v>0</v>
      </c>
      <c r="I1579" s="662">
        <v>37453.195874204182</v>
      </c>
      <c r="J1579" s="662">
        <v>40015.508372035627</v>
      </c>
      <c r="K1579" s="568" t="s">
        <v>4852</v>
      </c>
      <c r="L1579" s="549"/>
      <c r="M1579" s="540"/>
      <c r="O1579" s="540"/>
      <c r="S1579" s="550"/>
      <c r="T1579" s="547"/>
      <c r="U1579" s="547"/>
      <c r="V1579" s="547"/>
      <c r="W1579" s="549"/>
    </row>
    <row r="1580" spans="1:23">
      <c r="A1580" s="565">
        <v>2274</v>
      </c>
      <c r="B1580" s="695" t="s">
        <v>6984</v>
      </c>
      <c r="C1580" s="566">
        <f t="shared" si="24"/>
        <v>2274</v>
      </c>
      <c r="D1580" s="699" t="s">
        <v>2236</v>
      </c>
      <c r="E1580" s="701" t="s">
        <v>9453</v>
      </c>
      <c r="F1580" s="567">
        <v>1</v>
      </c>
      <c r="G1580" s="662">
        <v>0</v>
      </c>
      <c r="H1580" s="662">
        <v>0</v>
      </c>
      <c r="I1580" s="662">
        <v>37850.769723762714</v>
      </c>
      <c r="J1580" s="662">
        <v>40439.270259971752</v>
      </c>
      <c r="K1580" s="568" t="s">
        <v>4853</v>
      </c>
      <c r="L1580" s="549"/>
      <c r="M1580" s="540"/>
      <c r="O1580" s="540"/>
      <c r="S1580" s="550"/>
      <c r="T1580" s="547"/>
      <c r="U1580" s="547"/>
      <c r="V1580" s="547"/>
      <c r="W1580" s="549"/>
    </row>
    <row r="1581" spans="1:23">
      <c r="A1581" s="565">
        <v>2275</v>
      </c>
      <c r="B1581" s="696" t="s">
        <v>6985</v>
      </c>
      <c r="C1581" s="566">
        <f t="shared" si="24"/>
        <v>2275</v>
      </c>
      <c r="D1581" s="700" t="s">
        <v>2236</v>
      </c>
      <c r="E1581" s="701" t="s">
        <v>9454</v>
      </c>
      <c r="F1581" s="566">
        <v>2</v>
      </c>
      <c r="G1581" s="662">
        <v>22414.909001861</v>
      </c>
      <c r="H1581" s="662">
        <v>23269.133123169908</v>
      </c>
      <c r="I1581" s="662">
        <v>0</v>
      </c>
      <c r="J1581" s="662">
        <v>0</v>
      </c>
      <c r="K1581" s="566" t="s">
        <v>4854</v>
      </c>
      <c r="L1581" s="549"/>
      <c r="M1581" s="540"/>
      <c r="O1581" s="540"/>
      <c r="S1581" s="550"/>
      <c r="T1581" s="547"/>
      <c r="U1581" s="547"/>
      <c r="V1581" s="547"/>
      <c r="W1581" s="549"/>
    </row>
    <row r="1582" spans="1:23">
      <c r="A1582" s="565">
        <v>2276</v>
      </c>
      <c r="B1582" s="696" t="s">
        <v>6986</v>
      </c>
      <c r="C1582" s="566">
        <f t="shared" si="24"/>
        <v>2276</v>
      </c>
      <c r="D1582" s="700" t="s">
        <v>2236</v>
      </c>
      <c r="E1582" s="701" t="s">
        <v>9455</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6987</v>
      </c>
      <c r="C1583" s="566">
        <f t="shared" si="24"/>
        <v>2277</v>
      </c>
      <c r="D1583" s="700" t="s">
        <v>2236</v>
      </c>
      <c r="E1583" s="701" t="s">
        <v>9456</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6988</v>
      </c>
      <c r="C1584" s="566">
        <f t="shared" si="24"/>
        <v>2278</v>
      </c>
      <c r="D1584" s="699" t="s">
        <v>2236</v>
      </c>
      <c r="E1584" s="701" t="s">
        <v>9457</v>
      </c>
      <c r="F1584" s="567">
        <v>1</v>
      </c>
      <c r="G1584" s="662">
        <v>27858.614148479024</v>
      </c>
      <c r="H1584" s="662">
        <v>0</v>
      </c>
      <c r="I1584" s="662">
        <v>0</v>
      </c>
      <c r="J1584" s="662">
        <v>0</v>
      </c>
      <c r="K1584" s="568" t="s">
        <v>5308</v>
      </c>
      <c r="L1584" s="549"/>
      <c r="M1584" s="540"/>
      <c r="O1584" s="540"/>
      <c r="S1584" s="550"/>
      <c r="T1584" s="547"/>
      <c r="U1584" s="547"/>
      <c r="V1584" s="547"/>
      <c r="W1584" s="549"/>
    </row>
    <row r="1585" spans="1:23">
      <c r="A1585" s="565">
        <v>2279</v>
      </c>
      <c r="B1585" s="695" t="s">
        <v>6989</v>
      </c>
      <c r="C1585" s="566">
        <f t="shared" si="24"/>
        <v>2279</v>
      </c>
      <c r="D1585" s="699" t="s">
        <v>2237</v>
      </c>
      <c r="E1585" s="701" t="s">
        <v>9458</v>
      </c>
      <c r="F1585" s="567">
        <v>1</v>
      </c>
      <c r="G1585" s="662">
        <v>0</v>
      </c>
      <c r="H1585" s="662">
        <v>0</v>
      </c>
      <c r="I1585" s="662">
        <v>0</v>
      </c>
      <c r="J1585" s="662">
        <v>18746.96324515259</v>
      </c>
      <c r="K1585" s="568" t="s">
        <v>4855</v>
      </c>
      <c r="L1585" s="549"/>
      <c r="M1585" s="540"/>
      <c r="O1585" s="540"/>
      <c r="S1585" s="550"/>
      <c r="T1585" s="547"/>
      <c r="U1585" s="547"/>
      <c r="V1585" s="547"/>
      <c r="W1585" s="549"/>
    </row>
    <row r="1586" spans="1:23">
      <c r="A1586" s="565">
        <v>2280</v>
      </c>
      <c r="B1586" s="696" t="s">
        <v>6990</v>
      </c>
      <c r="C1586" s="566">
        <f t="shared" si="24"/>
        <v>2280</v>
      </c>
      <c r="D1586" s="700" t="s">
        <v>2237</v>
      </c>
      <c r="E1586" s="701" t="s">
        <v>9459</v>
      </c>
      <c r="F1586" s="566">
        <v>1</v>
      </c>
      <c r="G1586" s="662">
        <v>0</v>
      </c>
      <c r="H1586" s="662">
        <v>0</v>
      </c>
      <c r="I1586" s="662">
        <v>20318.762902476185</v>
      </c>
      <c r="J1586" s="662">
        <v>20789.058398774418</v>
      </c>
      <c r="K1586" s="566" t="s">
        <v>4114</v>
      </c>
      <c r="L1586" s="549"/>
      <c r="M1586" s="540"/>
      <c r="O1586" s="540"/>
      <c r="S1586" s="550"/>
      <c r="T1586" s="547"/>
      <c r="U1586" s="547"/>
      <c r="V1586" s="547"/>
      <c r="W1586" s="549"/>
    </row>
    <row r="1587" spans="1:23">
      <c r="A1587" s="565">
        <v>2281</v>
      </c>
      <c r="B1587" s="695" t="s">
        <v>6991</v>
      </c>
      <c r="C1587" s="566">
        <f t="shared" si="24"/>
        <v>2281</v>
      </c>
      <c r="D1587" s="699" t="s">
        <v>2237</v>
      </c>
      <c r="E1587" s="701" t="s">
        <v>9460</v>
      </c>
      <c r="F1587" s="567">
        <v>1</v>
      </c>
      <c r="G1587" s="662">
        <v>0</v>
      </c>
      <c r="H1587" s="662">
        <v>0</v>
      </c>
      <c r="I1587" s="662">
        <v>0</v>
      </c>
      <c r="J1587" s="662">
        <v>22508.975539730363</v>
      </c>
      <c r="K1587" s="568" t="s">
        <v>4856</v>
      </c>
      <c r="L1587" s="549"/>
      <c r="M1587" s="540"/>
      <c r="O1587" s="540"/>
      <c r="S1587" s="550"/>
      <c r="T1587" s="547"/>
      <c r="U1587" s="547"/>
      <c r="V1587" s="547"/>
      <c r="W1587" s="549"/>
    </row>
    <row r="1588" spans="1:23">
      <c r="A1588" s="565">
        <v>2282</v>
      </c>
      <c r="B1588" s="696" t="s">
        <v>6992</v>
      </c>
      <c r="C1588" s="566">
        <f t="shared" si="24"/>
        <v>2282</v>
      </c>
      <c r="D1588" s="700" t="s">
        <v>2237</v>
      </c>
      <c r="E1588" s="701" t="s">
        <v>9461</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6993</v>
      </c>
      <c r="C1589" s="566">
        <f t="shared" si="24"/>
        <v>2283</v>
      </c>
      <c r="D1589" s="700" t="s">
        <v>2237</v>
      </c>
      <c r="E1589" s="701" t="s">
        <v>9462</v>
      </c>
      <c r="F1589" s="566">
        <v>1</v>
      </c>
      <c r="G1589" s="662">
        <v>20831.867502403031</v>
      </c>
      <c r="H1589" s="662">
        <v>0</v>
      </c>
      <c r="I1589" s="662">
        <v>0</v>
      </c>
      <c r="J1589" s="662">
        <v>0</v>
      </c>
      <c r="K1589" s="566" t="s">
        <v>5309</v>
      </c>
      <c r="L1589" s="549"/>
      <c r="M1589" s="540"/>
      <c r="O1589" s="540"/>
      <c r="S1589" s="550"/>
      <c r="T1589" s="547"/>
      <c r="U1589" s="547"/>
      <c r="V1589" s="547"/>
      <c r="W1589" s="549"/>
    </row>
    <row r="1590" spans="1:23">
      <c r="A1590" s="565">
        <v>2284</v>
      </c>
      <c r="B1590" s="696" t="s">
        <v>6994</v>
      </c>
      <c r="C1590" s="566">
        <f t="shared" si="24"/>
        <v>2284</v>
      </c>
      <c r="D1590" s="700" t="s">
        <v>2237</v>
      </c>
      <c r="E1590" s="701" t="s">
        <v>9463</v>
      </c>
      <c r="F1590" s="566">
        <v>1</v>
      </c>
      <c r="G1590" s="662">
        <v>18973.713249511457</v>
      </c>
      <c r="H1590" s="662">
        <v>0</v>
      </c>
      <c r="I1590" s="662">
        <v>0</v>
      </c>
      <c r="J1590" s="662">
        <v>0</v>
      </c>
      <c r="K1590" s="566" t="s">
        <v>5310</v>
      </c>
      <c r="L1590" s="549"/>
      <c r="M1590" s="540"/>
      <c r="O1590" s="540"/>
      <c r="S1590" s="550"/>
      <c r="T1590" s="547"/>
      <c r="U1590" s="547"/>
      <c r="V1590" s="547"/>
      <c r="W1590" s="549"/>
    </row>
    <row r="1591" spans="1:23">
      <c r="A1591" s="565">
        <v>2285</v>
      </c>
      <c r="B1591" s="696" t="s">
        <v>6995</v>
      </c>
      <c r="C1591" s="566">
        <f t="shared" si="24"/>
        <v>2285</v>
      </c>
      <c r="D1591" s="700" t="s">
        <v>2237</v>
      </c>
      <c r="E1591" s="701" t="s">
        <v>9464</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6996</v>
      </c>
      <c r="C1592" s="566">
        <f t="shared" si="24"/>
        <v>2286</v>
      </c>
      <c r="D1592" s="700" t="s">
        <v>2237</v>
      </c>
      <c r="E1592" s="701" t="s">
        <v>9465</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6997</v>
      </c>
      <c r="C1593" s="566">
        <f t="shared" si="24"/>
        <v>2287</v>
      </c>
      <c r="D1593" s="700" t="s">
        <v>2237</v>
      </c>
      <c r="E1593" s="701" t="s">
        <v>9466</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6998</v>
      </c>
      <c r="C1594" s="566">
        <f t="shared" si="24"/>
        <v>2288</v>
      </c>
      <c r="D1594" s="700" t="s">
        <v>2237</v>
      </c>
      <c r="E1594" s="701" t="s">
        <v>9467</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6999</v>
      </c>
      <c r="C1595" s="566">
        <f t="shared" si="24"/>
        <v>2289</v>
      </c>
      <c r="D1595" s="699" t="s">
        <v>2237</v>
      </c>
      <c r="E1595" s="701" t="s">
        <v>9468</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7000</v>
      </c>
      <c r="C1596" s="566">
        <f t="shared" si="24"/>
        <v>2290</v>
      </c>
      <c r="D1596" s="700" t="s">
        <v>2237</v>
      </c>
      <c r="E1596" s="701" t="s">
        <v>9469</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7001</v>
      </c>
      <c r="C1597" s="566">
        <f t="shared" si="24"/>
        <v>2291</v>
      </c>
      <c r="D1597" s="700" t="s">
        <v>2237</v>
      </c>
      <c r="E1597" s="701" t="s">
        <v>9470</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7002</v>
      </c>
      <c r="C1598" s="566">
        <f t="shared" si="24"/>
        <v>2292</v>
      </c>
      <c r="D1598" s="700" t="s">
        <v>2237</v>
      </c>
      <c r="E1598" s="701" t="s">
        <v>9471</v>
      </c>
      <c r="F1598" s="566">
        <v>1</v>
      </c>
      <c r="G1598" s="662">
        <v>0</v>
      </c>
      <c r="H1598" s="662">
        <v>0</v>
      </c>
      <c r="I1598" s="662">
        <v>10693.31583201775</v>
      </c>
      <c r="J1598" s="662">
        <v>10989.617169902162</v>
      </c>
      <c r="K1598" s="566" t="s">
        <v>4115</v>
      </c>
      <c r="L1598" s="549"/>
      <c r="M1598" s="540"/>
      <c r="O1598" s="540"/>
      <c r="S1598" s="550"/>
      <c r="T1598" s="547"/>
      <c r="U1598" s="547"/>
      <c r="V1598" s="547"/>
      <c r="W1598" s="549"/>
    </row>
    <row r="1599" spans="1:23">
      <c r="A1599" s="565">
        <v>2293</v>
      </c>
      <c r="B1599" s="696" t="s">
        <v>7003</v>
      </c>
      <c r="C1599" s="566">
        <f t="shared" si="24"/>
        <v>2293</v>
      </c>
      <c r="D1599" s="700" t="s">
        <v>2237</v>
      </c>
      <c r="E1599" s="701" t="s">
        <v>9472</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7004</v>
      </c>
      <c r="C1600" s="566">
        <f t="shared" si="24"/>
        <v>2294</v>
      </c>
      <c r="D1600" s="700" t="s">
        <v>2237</v>
      </c>
      <c r="E1600" s="701" t="s">
        <v>9473</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7005</v>
      </c>
      <c r="C1601" s="566">
        <f t="shared" si="24"/>
        <v>2295</v>
      </c>
      <c r="D1601" s="699" t="s">
        <v>2237</v>
      </c>
      <c r="E1601" s="701" t="s">
        <v>9474</v>
      </c>
      <c r="F1601" s="567">
        <v>1</v>
      </c>
      <c r="G1601" s="662">
        <v>0</v>
      </c>
      <c r="H1601" s="662">
        <v>0</v>
      </c>
      <c r="I1601" s="662">
        <v>0</v>
      </c>
      <c r="J1601" s="662">
        <v>36008.423260210169</v>
      </c>
      <c r="K1601" s="568" t="s">
        <v>4857</v>
      </c>
      <c r="L1601" s="549"/>
      <c r="M1601" s="540"/>
      <c r="O1601" s="540"/>
      <c r="S1601" s="550"/>
      <c r="T1601" s="547"/>
      <c r="U1601" s="547"/>
      <c r="V1601" s="547"/>
      <c r="W1601" s="549"/>
    </row>
    <row r="1602" spans="1:23">
      <c r="A1602" s="565">
        <v>2296</v>
      </c>
      <c r="B1602" s="696" t="s">
        <v>7006</v>
      </c>
      <c r="C1602" s="566">
        <f t="shared" si="24"/>
        <v>2296</v>
      </c>
      <c r="D1602" s="700" t="s">
        <v>2237</v>
      </c>
      <c r="E1602" s="701" t="s">
        <v>9475</v>
      </c>
      <c r="F1602" s="566">
        <v>1</v>
      </c>
      <c r="G1602" s="662">
        <v>0</v>
      </c>
      <c r="H1602" s="662">
        <v>0</v>
      </c>
      <c r="I1602" s="662">
        <v>14862.424887442603</v>
      </c>
      <c r="J1602" s="662">
        <v>15305.663553479069</v>
      </c>
      <c r="K1602" s="566" t="s">
        <v>4116</v>
      </c>
      <c r="L1602" s="549"/>
      <c r="M1602" s="540"/>
      <c r="O1602" s="540"/>
      <c r="S1602" s="550"/>
      <c r="T1602" s="547"/>
      <c r="U1602" s="547"/>
      <c r="V1602" s="547"/>
      <c r="W1602" s="549"/>
    </row>
    <row r="1603" spans="1:23">
      <c r="A1603" s="565">
        <v>2297</v>
      </c>
      <c r="B1603" s="696" t="s">
        <v>7007</v>
      </c>
      <c r="C1603" s="566">
        <f t="shared" si="24"/>
        <v>2297</v>
      </c>
      <c r="D1603" s="700" t="s">
        <v>2237</v>
      </c>
      <c r="E1603" s="701" t="s">
        <v>9476</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7008</v>
      </c>
      <c r="C1604" s="566">
        <f t="shared" si="24"/>
        <v>2298</v>
      </c>
      <c r="D1604" s="700" t="s">
        <v>2237</v>
      </c>
      <c r="E1604" s="701" t="s">
        <v>9477</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7009</v>
      </c>
      <c r="C1605" s="566">
        <f t="shared" si="24"/>
        <v>2299</v>
      </c>
      <c r="D1605" s="700" t="s">
        <v>2237</v>
      </c>
      <c r="E1605" s="701" t="s">
        <v>9478</v>
      </c>
      <c r="F1605" s="566">
        <v>1</v>
      </c>
      <c r="G1605" s="662">
        <v>0</v>
      </c>
      <c r="H1605" s="662">
        <v>23284.130846200278</v>
      </c>
      <c r="I1605" s="662">
        <v>23999.734601728433</v>
      </c>
      <c r="J1605" s="662">
        <v>24753.015519658729</v>
      </c>
      <c r="K1605" s="566" t="s">
        <v>4117</v>
      </c>
      <c r="L1605" s="549"/>
      <c r="M1605" s="540"/>
      <c r="O1605" s="540"/>
      <c r="S1605" s="550"/>
      <c r="T1605" s="547"/>
      <c r="U1605" s="547"/>
      <c r="V1605" s="547"/>
      <c r="W1605" s="549"/>
    </row>
    <row r="1606" spans="1:23">
      <c r="A1606" s="565">
        <v>2300</v>
      </c>
      <c r="B1606" s="696" t="s">
        <v>7010</v>
      </c>
      <c r="C1606" s="566">
        <f t="shared" si="24"/>
        <v>2300</v>
      </c>
      <c r="D1606" s="700" t="s">
        <v>2237</v>
      </c>
      <c r="E1606" s="701" t="s">
        <v>9479</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7011</v>
      </c>
      <c r="C1607" s="566">
        <f t="shared" si="24"/>
        <v>2301</v>
      </c>
      <c r="D1607" s="700" t="s">
        <v>2237</v>
      </c>
      <c r="E1607" s="701" t="s">
        <v>9480</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7012</v>
      </c>
      <c r="C1608" s="566">
        <f t="shared" si="24"/>
        <v>2302</v>
      </c>
      <c r="D1608" s="700" t="s">
        <v>2237</v>
      </c>
      <c r="E1608" s="701" t="s">
        <v>9481</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7013</v>
      </c>
      <c r="C1609" s="566">
        <f t="shared" ref="C1609:C1672" si="25">A1609</f>
        <v>2303</v>
      </c>
      <c r="D1609" s="700" t="s">
        <v>2237</v>
      </c>
      <c r="E1609" s="701" t="s">
        <v>9482</v>
      </c>
      <c r="F1609" s="566">
        <v>1</v>
      </c>
      <c r="G1609" s="662">
        <v>0</v>
      </c>
      <c r="H1609" s="662">
        <v>0</v>
      </c>
      <c r="I1609" s="662">
        <v>0</v>
      </c>
      <c r="J1609" s="662">
        <v>18739.380914813028</v>
      </c>
      <c r="K1609" s="566" t="s">
        <v>4858</v>
      </c>
      <c r="L1609" s="549"/>
      <c r="M1609" s="540"/>
      <c r="O1609" s="540"/>
      <c r="S1609" s="550"/>
      <c r="T1609" s="547"/>
      <c r="U1609" s="547"/>
      <c r="V1609" s="547"/>
      <c r="W1609" s="549"/>
    </row>
    <row r="1610" spans="1:23">
      <c r="A1610" s="565">
        <v>2304</v>
      </c>
      <c r="B1610" s="696" t="s">
        <v>7014</v>
      </c>
      <c r="C1610" s="566">
        <f t="shared" si="25"/>
        <v>2304</v>
      </c>
      <c r="D1610" s="700" t="s">
        <v>2237</v>
      </c>
      <c r="E1610" s="701" t="s">
        <v>9483</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7015</v>
      </c>
      <c r="C1611" s="566">
        <f t="shared" si="25"/>
        <v>2305</v>
      </c>
      <c r="D1611" s="700" t="s">
        <v>2238</v>
      </c>
      <c r="E1611" s="701" t="s">
        <v>9484</v>
      </c>
      <c r="F1611" s="566">
        <v>1</v>
      </c>
      <c r="G1611" s="662">
        <v>0</v>
      </c>
      <c r="H1611" s="662">
        <v>35472.757247975089</v>
      </c>
      <c r="I1611" s="662">
        <v>36619.637160651342</v>
      </c>
      <c r="J1611" s="662">
        <v>37826.886036443691</v>
      </c>
      <c r="K1611" s="566" t="s">
        <v>4118</v>
      </c>
      <c r="L1611" s="549"/>
      <c r="M1611" s="540"/>
      <c r="O1611" s="540"/>
      <c r="S1611" s="550"/>
      <c r="T1611" s="547"/>
      <c r="U1611" s="547"/>
      <c r="V1611" s="547"/>
      <c r="W1611" s="549"/>
    </row>
    <row r="1612" spans="1:23">
      <c r="A1612" s="565">
        <v>2306</v>
      </c>
      <c r="B1612" s="695" t="s">
        <v>7016</v>
      </c>
      <c r="C1612" s="566">
        <f t="shared" si="25"/>
        <v>2306</v>
      </c>
      <c r="D1612" s="699" t="s">
        <v>2238</v>
      </c>
      <c r="E1612" s="701" t="s">
        <v>9485</v>
      </c>
      <c r="F1612" s="567">
        <v>1</v>
      </c>
      <c r="G1612" s="662">
        <v>0</v>
      </c>
      <c r="H1612" s="662">
        <v>0</v>
      </c>
      <c r="I1612" s="662">
        <v>19227.685842848674</v>
      </c>
      <c r="J1612" s="662">
        <v>19831.250107330867</v>
      </c>
      <c r="K1612" s="568" t="s">
        <v>4119</v>
      </c>
      <c r="L1612" s="549"/>
      <c r="M1612" s="540"/>
      <c r="O1612" s="540"/>
      <c r="S1612" s="550"/>
      <c r="T1612" s="547"/>
      <c r="U1612" s="547"/>
      <c r="V1612" s="547"/>
      <c r="W1612" s="549"/>
    </row>
    <row r="1613" spans="1:23">
      <c r="A1613" s="565">
        <v>2307</v>
      </c>
      <c r="B1613" s="696" t="s">
        <v>7017</v>
      </c>
      <c r="C1613" s="566">
        <f t="shared" si="25"/>
        <v>2307</v>
      </c>
      <c r="D1613" s="700" t="s">
        <v>2238</v>
      </c>
      <c r="E1613" s="701" t="s">
        <v>9486</v>
      </c>
      <c r="F1613" s="566">
        <v>1</v>
      </c>
      <c r="G1613" s="662">
        <v>0</v>
      </c>
      <c r="H1613" s="662">
        <v>0</v>
      </c>
      <c r="I1613" s="662">
        <v>20204.848788811694</v>
      </c>
      <c r="J1613" s="662">
        <v>20843.227236883798</v>
      </c>
      <c r="K1613" s="566" t="s">
        <v>4120</v>
      </c>
      <c r="L1613" s="549"/>
      <c r="M1613" s="540"/>
      <c r="O1613" s="540"/>
      <c r="S1613" s="550"/>
      <c r="T1613" s="547"/>
      <c r="U1613" s="547"/>
      <c r="V1613" s="547"/>
      <c r="W1613" s="549"/>
    </row>
    <row r="1614" spans="1:23">
      <c r="A1614" s="565">
        <v>2308</v>
      </c>
      <c r="B1614" s="696" t="s">
        <v>7018</v>
      </c>
      <c r="C1614" s="566">
        <f t="shared" si="25"/>
        <v>2308</v>
      </c>
      <c r="D1614" s="700" t="s">
        <v>2238</v>
      </c>
      <c r="E1614" s="701" t="s">
        <v>9487</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7019</v>
      </c>
      <c r="C1615" s="566">
        <f t="shared" si="25"/>
        <v>2309</v>
      </c>
      <c r="D1615" s="699" t="s">
        <v>2238</v>
      </c>
      <c r="E1615" s="701" t="s">
        <v>9488</v>
      </c>
      <c r="F1615" s="567">
        <v>1</v>
      </c>
      <c r="G1615" s="662">
        <v>0</v>
      </c>
      <c r="H1615" s="662">
        <v>0</v>
      </c>
      <c r="I1615" s="662">
        <v>22368.56674058695</v>
      </c>
      <c r="J1615" s="662">
        <v>23084.033738036709</v>
      </c>
      <c r="K1615" s="568" t="s">
        <v>4121</v>
      </c>
      <c r="L1615" s="549"/>
      <c r="M1615" s="540"/>
      <c r="O1615" s="540"/>
      <c r="S1615" s="550"/>
      <c r="T1615" s="547"/>
      <c r="U1615" s="547"/>
      <c r="V1615" s="547"/>
      <c r="W1615" s="549"/>
    </row>
    <row r="1616" spans="1:23">
      <c r="A1616" s="565">
        <v>2310</v>
      </c>
      <c r="B1616" s="696" t="s">
        <v>7020</v>
      </c>
      <c r="C1616" s="566">
        <f t="shared" si="25"/>
        <v>2310</v>
      </c>
      <c r="D1616" s="700" t="s">
        <v>2238</v>
      </c>
      <c r="E1616" s="701" t="s">
        <v>9489</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7021</v>
      </c>
      <c r="C1617" s="566">
        <f t="shared" si="25"/>
        <v>2311</v>
      </c>
      <c r="D1617" s="700" t="s">
        <v>2238</v>
      </c>
      <c r="E1617" s="701" t="s">
        <v>9490</v>
      </c>
      <c r="F1617" s="566">
        <v>1</v>
      </c>
      <c r="G1617" s="662">
        <v>0</v>
      </c>
      <c r="H1617" s="662">
        <v>0</v>
      </c>
      <c r="I1617" s="662">
        <v>17751.970373435139</v>
      </c>
      <c r="J1617" s="662">
        <v>18302.958115761139</v>
      </c>
      <c r="K1617" s="566" t="s">
        <v>4122</v>
      </c>
      <c r="L1617" s="549"/>
      <c r="M1617" s="540"/>
      <c r="O1617" s="540"/>
      <c r="S1617" s="550"/>
      <c r="T1617" s="547"/>
      <c r="U1617" s="547"/>
      <c r="V1617" s="547"/>
      <c r="W1617" s="549"/>
    </row>
    <row r="1618" spans="1:23">
      <c r="A1618" s="565">
        <v>2312</v>
      </c>
      <c r="B1618" s="695" t="s">
        <v>7022</v>
      </c>
      <c r="C1618" s="566">
        <f t="shared" si="25"/>
        <v>2312</v>
      </c>
      <c r="D1618" s="699" t="s">
        <v>2238</v>
      </c>
      <c r="E1618" s="701" t="s">
        <v>9491</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7023</v>
      </c>
      <c r="C1619" s="566">
        <f t="shared" si="25"/>
        <v>2313</v>
      </c>
      <c r="D1619" s="700" t="s">
        <v>2238</v>
      </c>
      <c r="E1619" s="701" t="s">
        <v>9492</v>
      </c>
      <c r="F1619" s="566">
        <v>1</v>
      </c>
      <c r="G1619" s="662">
        <v>16148.674731024692</v>
      </c>
      <c r="H1619" s="662">
        <v>0</v>
      </c>
      <c r="I1619" s="662">
        <v>0</v>
      </c>
      <c r="J1619" s="662">
        <v>0</v>
      </c>
      <c r="K1619" s="566" t="s">
        <v>5311</v>
      </c>
      <c r="L1619" s="549"/>
      <c r="M1619" s="540"/>
      <c r="O1619" s="540"/>
      <c r="S1619" s="550"/>
      <c r="T1619" s="547"/>
      <c r="U1619" s="547"/>
      <c r="V1619" s="547"/>
      <c r="W1619" s="549"/>
    </row>
    <row r="1620" spans="1:23">
      <c r="A1620" s="565">
        <v>2314</v>
      </c>
      <c r="B1620" s="696" t="s">
        <v>7024</v>
      </c>
      <c r="C1620" s="566">
        <f t="shared" si="25"/>
        <v>2314</v>
      </c>
      <c r="D1620" s="700" t="s">
        <v>2238</v>
      </c>
      <c r="E1620" s="701" t="s">
        <v>9493</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7025</v>
      </c>
      <c r="C1621" s="566">
        <f t="shared" si="25"/>
        <v>2315</v>
      </c>
      <c r="D1621" s="700" t="s">
        <v>2238</v>
      </c>
      <c r="E1621" s="701" t="s">
        <v>9494</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7026</v>
      </c>
      <c r="C1622" s="566">
        <f t="shared" si="25"/>
        <v>2316</v>
      </c>
      <c r="D1622" s="700" t="s">
        <v>2238</v>
      </c>
      <c r="E1622" s="701" t="s">
        <v>9495</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7027</v>
      </c>
      <c r="C1623" s="566">
        <f t="shared" si="25"/>
        <v>2317</v>
      </c>
      <c r="D1623" s="699" t="s">
        <v>2238</v>
      </c>
      <c r="E1623" s="701" t="s">
        <v>9496</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7028</v>
      </c>
      <c r="C1624" s="566">
        <f t="shared" si="25"/>
        <v>2318</v>
      </c>
      <c r="D1624" s="699" t="s">
        <v>2238</v>
      </c>
      <c r="E1624" s="701" t="s">
        <v>9497</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7029</v>
      </c>
      <c r="C1625" s="566">
        <f t="shared" si="25"/>
        <v>2319</v>
      </c>
      <c r="D1625" s="699" t="s">
        <v>2238</v>
      </c>
      <c r="E1625" s="701" t="s">
        <v>9498</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7030</v>
      </c>
      <c r="C1626" s="566">
        <f t="shared" si="25"/>
        <v>2320</v>
      </c>
      <c r="D1626" s="700" t="s">
        <v>2238</v>
      </c>
      <c r="E1626" s="701" t="s">
        <v>9499</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7031</v>
      </c>
      <c r="C1627" s="566">
        <f t="shared" si="25"/>
        <v>2321</v>
      </c>
      <c r="D1627" s="699" t="s">
        <v>2238</v>
      </c>
      <c r="E1627" s="701" t="s">
        <v>9500</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7032</v>
      </c>
      <c r="C1628" s="566">
        <f t="shared" si="25"/>
        <v>2322</v>
      </c>
      <c r="D1628" s="700" t="s">
        <v>2238</v>
      </c>
      <c r="E1628" s="701" t="s">
        <v>9501</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7033</v>
      </c>
      <c r="C1629" s="566">
        <f t="shared" si="25"/>
        <v>2323</v>
      </c>
      <c r="D1629" s="699" t="s">
        <v>2238</v>
      </c>
      <c r="E1629" s="701" t="s">
        <v>9502</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7034</v>
      </c>
      <c r="C1630" s="566">
        <f t="shared" si="25"/>
        <v>2324</v>
      </c>
      <c r="D1630" s="700" t="s">
        <v>2238</v>
      </c>
      <c r="E1630" s="701" t="s">
        <v>9503</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7035</v>
      </c>
      <c r="C1631" s="566">
        <f t="shared" si="25"/>
        <v>2325</v>
      </c>
      <c r="D1631" s="700" t="s">
        <v>2238</v>
      </c>
      <c r="E1631" s="701" t="s">
        <v>9504</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7036</v>
      </c>
      <c r="C1632" s="566">
        <f t="shared" si="25"/>
        <v>2326</v>
      </c>
      <c r="D1632" s="700" t="s">
        <v>2238</v>
      </c>
      <c r="E1632" s="701" t="s">
        <v>9505</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7037</v>
      </c>
      <c r="C1633" s="566">
        <f t="shared" si="25"/>
        <v>2327</v>
      </c>
      <c r="D1633" s="700" t="s">
        <v>2238</v>
      </c>
      <c r="E1633" s="701" t="s">
        <v>9506</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7038</v>
      </c>
      <c r="C1634" s="566">
        <f t="shared" si="25"/>
        <v>2328</v>
      </c>
      <c r="D1634" s="700" t="s">
        <v>2238</v>
      </c>
      <c r="E1634" s="701" t="s">
        <v>9507</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7039</v>
      </c>
      <c r="C1635" s="566">
        <f t="shared" si="25"/>
        <v>2329</v>
      </c>
      <c r="D1635" s="700" t="s">
        <v>2238</v>
      </c>
      <c r="E1635" s="701" t="s">
        <v>9508</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7040</v>
      </c>
      <c r="C1636" s="566">
        <f t="shared" si="25"/>
        <v>2330</v>
      </c>
      <c r="D1636" s="700" t="s">
        <v>2238</v>
      </c>
      <c r="E1636" s="701" t="s">
        <v>9509</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7041</v>
      </c>
      <c r="C1637" s="566">
        <f t="shared" si="25"/>
        <v>2331</v>
      </c>
      <c r="D1637" s="700" t="s">
        <v>2238</v>
      </c>
      <c r="E1637" s="701" t="s">
        <v>9510</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7042</v>
      </c>
      <c r="C1638" s="566">
        <f t="shared" si="25"/>
        <v>2332</v>
      </c>
      <c r="D1638" s="700" t="s">
        <v>2238</v>
      </c>
      <c r="E1638" s="701" t="s">
        <v>9511</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7043</v>
      </c>
      <c r="C1639" s="566">
        <f t="shared" si="25"/>
        <v>2333</v>
      </c>
      <c r="D1639" s="700" t="s">
        <v>2238</v>
      </c>
      <c r="E1639" s="701" t="s">
        <v>9512</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7044</v>
      </c>
      <c r="C1640" s="566">
        <f t="shared" si="25"/>
        <v>2334</v>
      </c>
      <c r="D1640" s="700" t="s">
        <v>2238</v>
      </c>
      <c r="E1640" s="701" t="s">
        <v>9513</v>
      </c>
      <c r="F1640" s="566">
        <v>2</v>
      </c>
      <c r="G1640" s="662">
        <v>0</v>
      </c>
      <c r="H1640" s="662">
        <v>0</v>
      </c>
      <c r="I1640" s="662">
        <v>0</v>
      </c>
      <c r="J1640" s="662">
        <v>29629.763391947545</v>
      </c>
      <c r="K1640" s="566" t="s">
        <v>4859</v>
      </c>
      <c r="L1640" s="549"/>
      <c r="M1640" s="540"/>
      <c r="O1640" s="540"/>
      <c r="S1640" s="550"/>
      <c r="T1640" s="547"/>
      <c r="U1640" s="547"/>
      <c r="V1640" s="547"/>
      <c r="W1640" s="549"/>
    </row>
    <row r="1641" spans="1:23">
      <c r="A1641" s="565">
        <v>2335</v>
      </c>
      <c r="B1641" s="696" t="s">
        <v>7045</v>
      </c>
      <c r="C1641" s="566">
        <f t="shared" si="25"/>
        <v>2335</v>
      </c>
      <c r="D1641" s="700" t="s">
        <v>2238</v>
      </c>
      <c r="E1641" s="701" t="s">
        <v>9514</v>
      </c>
      <c r="F1641" s="566">
        <v>2</v>
      </c>
      <c r="G1641" s="662">
        <v>0</v>
      </c>
      <c r="H1641" s="662">
        <v>33175.014551418935</v>
      </c>
      <c r="I1641" s="662">
        <v>34015.436455056239</v>
      </c>
      <c r="J1641" s="662">
        <v>34900.086079108129</v>
      </c>
      <c r="K1641" s="566" t="s">
        <v>4123</v>
      </c>
      <c r="L1641" s="549"/>
      <c r="M1641" s="540"/>
      <c r="O1641" s="540"/>
      <c r="S1641" s="550"/>
      <c r="T1641" s="547"/>
      <c r="U1641" s="547"/>
      <c r="V1641" s="547"/>
      <c r="W1641" s="549"/>
    </row>
    <row r="1642" spans="1:23">
      <c r="A1642" s="565">
        <v>2336</v>
      </c>
      <c r="B1642" s="696" t="s">
        <v>7046</v>
      </c>
      <c r="C1642" s="566">
        <f t="shared" si="25"/>
        <v>2336</v>
      </c>
      <c r="D1642" s="700" t="s">
        <v>2238</v>
      </c>
      <c r="E1642" s="701" t="s">
        <v>9515</v>
      </c>
      <c r="F1642" s="566">
        <v>2</v>
      </c>
      <c r="G1642" s="662">
        <v>0</v>
      </c>
      <c r="H1642" s="662">
        <v>36018.738687714918</v>
      </c>
      <c r="I1642" s="662">
        <v>36940.379634438672</v>
      </c>
      <c r="J1642" s="662">
        <v>37910.48540288693</v>
      </c>
      <c r="K1642" s="566" t="s">
        <v>4124</v>
      </c>
      <c r="L1642" s="549"/>
      <c r="M1642" s="540"/>
      <c r="O1642" s="540"/>
      <c r="S1642" s="550"/>
      <c r="T1642" s="547"/>
      <c r="U1642" s="547"/>
      <c r="V1642" s="547"/>
      <c r="W1642" s="549"/>
    </row>
    <row r="1643" spans="1:23">
      <c r="A1643" s="565">
        <v>2337</v>
      </c>
      <c r="B1643" s="696" t="s">
        <v>7047</v>
      </c>
      <c r="C1643" s="566">
        <f t="shared" si="25"/>
        <v>2337</v>
      </c>
      <c r="D1643" s="700" t="s">
        <v>2238</v>
      </c>
      <c r="E1643" s="701" t="s">
        <v>9516</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7048</v>
      </c>
      <c r="C1644" s="566">
        <f t="shared" si="25"/>
        <v>2338</v>
      </c>
      <c r="D1644" s="700" t="s">
        <v>2238</v>
      </c>
      <c r="E1644" s="701" t="s">
        <v>9517</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7049</v>
      </c>
      <c r="C1645" s="566">
        <f t="shared" si="25"/>
        <v>2339</v>
      </c>
      <c r="D1645" s="700" t="s">
        <v>2238</v>
      </c>
      <c r="E1645" s="701" t="s">
        <v>9518</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7050</v>
      </c>
      <c r="C1646" s="566">
        <f t="shared" si="25"/>
        <v>2340</v>
      </c>
      <c r="D1646" s="700" t="s">
        <v>2238</v>
      </c>
      <c r="E1646" s="701" t="s">
        <v>9519</v>
      </c>
      <c r="F1646" s="566">
        <v>1</v>
      </c>
      <c r="G1646" s="662">
        <v>0</v>
      </c>
      <c r="H1646" s="662">
        <v>0</v>
      </c>
      <c r="I1646" s="662">
        <v>18978.868112626566</v>
      </c>
      <c r="J1646" s="662">
        <v>19414.233371447841</v>
      </c>
      <c r="K1646" s="566" t="s">
        <v>4125</v>
      </c>
      <c r="L1646" s="549"/>
      <c r="M1646" s="540"/>
      <c r="O1646" s="540"/>
      <c r="S1646" s="550"/>
      <c r="T1646" s="547"/>
      <c r="U1646" s="547"/>
      <c r="V1646" s="547"/>
      <c r="W1646" s="549"/>
    </row>
    <row r="1647" spans="1:23">
      <c r="A1647" s="565">
        <v>2341</v>
      </c>
      <c r="B1647" s="696" t="s">
        <v>7051</v>
      </c>
      <c r="C1647" s="566">
        <f t="shared" si="25"/>
        <v>2341</v>
      </c>
      <c r="D1647" s="700" t="s">
        <v>2238</v>
      </c>
      <c r="E1647" s="701" t="s">
        <v>9520</v>
      </c>
      <c r="F1647" s="566">
        <v>1</v>
      </c>
      <c r="G1647" s="662">
        <v>0</v>
      </c>
      <c r="H1647" s="662">
        <v>0</v>
      </c>
      <c r="I1647" s="662">
        <v>19906.487582522459</v>
      </c>
      <c r="J1647" s="662">
        <v>20366.028765251416</v>
      </c>
      <c r="K1647" s="566" t="s">
        <v>4126</v>
      </c>
      <c r="L1647" s="549"/>
      <c r="M1647" s="540"/>
      <c r="O1647" s="540"/>
      <c r="S1647" s="550"/>
      <c r="T1647" s="547"/>
      <c r="U1647" s="547"/>
      <c r="V1647" s="547"/>
      <c r="W1647" s="549"/>
    </row>
    <row r="1648" spans="1:23">
      <c r="A1648" s="565">
        <v>2342</v>
      </c>
      <c r="B1648" s="696" t="s">
        <v>7052</v>
      </c>
      <c r="C1648" s="566">
        <f t="shared" si="25"/>
        <v>2342</v>
      </c>
      <c r="D1648" s="700" t="s">
        <v>2238</v>
      </c>
      <c r="E1648" s="701" t="s">
        <v>9521</v>
      </c>
      <c r="F1648" s="566">
        <v>1</v>
      </c>
      <c r="G1648" s="662">
        <v>0</v>
      </c>
      <c r="H1648" s="662">
        <v>0</v>
      </c>
      <c r="I1648" s="662">
        <v>0</v>
      </c>
      <c r="J1648" s="662">
        <v>19772.498103537491</v>
      </c>
      <c r="K1648" s="566" t="s">
        <v>4860</v>
      </c>
      <c r="L1648" s="549"/>
      <c r="M1648" s="540"/>
      <c r="O1648" s="540"/>
      <c r="S1648" s="550"/>
      <c r="T1648" s="547"/>
      <c r="U1648" s="547"/>
      <c r="V1648" s="547"/>
      <c r="W1648" s="549"/>
    </row>
    <row r="1649" spans="1:23">
      <c r="A1649" s="565">
        <v>2343</v>
      </c>
      <c r="B1649" s="696" t="s">
        <v>7053</v>
      </c>
      <c r="C1649" s="566">
        <f t="shared" si="25"/>
        <v>2343</v>
      </c>
      <c r="D1649" s="700" t="s">
        <v>2238</v>
      </c>
      <c r="E1649" s="701" t="s">
        <v>9522</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7054</v>
      </c>
      <c r="C1650" s="566">
        <f t="shared" si="25"/>
        <v>2344</v>
      </c>
      <c r="D1650" s="700" t="s">
        <v>2238</v>
      </c>
      <c r="E1650" s="701" t="s">
        <v>9523</v>
      </c>
      <c r="F1650" s="566">
        <v>1</v>
      </c>
      <c r="G1650" s="662">
        <v>0</v>
      </c>
      <c r="H1650" s="662">
        <v>0</v>
      </c>
      <c r="I1650" s="662">
        <v>0</v>
      </c>
      <c r="J1650" s="662">
        <v>8837.2554408492906</v>
      </c>
      <c r="K1650" s="566" t="s">
        <v>4861</v>
      </c>
      <c r="L1650" s="549"/>
      <c r="M1650" s="540"/>
      <c r="O1650" s="540"/>
      <c r="S1650" s="550"/>
      <c r="T1650" s="547"/>
      <c r="U1650" s="547"/>
      <c r="V1650" s="547"/>
      <c r="W1650" s="549"/>
    </row>
    <row r="1651" spans="1:23">
      <c r="A1651" s="565">
        <v>2345</v>
      </c>
      <c r="B1651" s="696" t="s">
        <v>7055</v>
      </c>
      <c r="C1651" s="566">
        <f t="shared" si="25"/>
        <v>2345</v>
      </c>
      <c r="D1651" s="700" t="s">
        <v>2238</v>
      </c>
      <c r="E1651" s="701" t="s">
        <v>9524</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7056</v>
      </c>
      <c r="C1652" s="566">
        <f t="shared" si="25"/>
        <v>2346</v>
      </c>
      <c r="D1652" s="699" t="s">
        <v>2238</v>
      </c>
      <c r="E1652" s="701" t="s">
        <v>9525</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7057</v>
      </c>
      <c r="C1653" s="566">
        <f t="shared" si="25"/>
        <v>2347</v>
      </c>
      <c r="D1653" s="699" t="s">
        <v>2238</v>
      </c>
      <c r="E1653" s="701" t="s">
        <v>9526</v>
      </c>
      <c r="F1653" s="567">
        <v>1</v>
      </c>
      <c r="G1653" s="662">
        <v>0</v>
      </c>
      <c r="H1653" s="662">
        <v>0</v>
      </c>
      <c r="I1653" s="662">
        <v>0</v>
      </c>
      <c r="J1653" s="662">
        <v>12862.957236590677</v>
      </c>
      <c r="K1653" s="568" t="s">
        <v>4862</v>
      </c>
      <c r="L1653" s="549"/>
      <c r="M1653" s="540"/>
      <c r="O1653" s="540"/>
      <c r="S1653" s="550"/>
      <c r="T1653" s="547"/>
      <c r="U1653" s="547"/>
      <c r="V1653" s="547"/>
      <c r="W1653" s="549"/>
    </row>
    <row r="1654" spans="1:23">
      <c r="A1654" s="565">
        <v>2348</v>
      </c>
      <c r="B1654" s="696" t="s">
        <v>7058</v>
      </c>
      <c r="C1654" s="566">
        <f t="shared" si="25"/>
        <v>2348</v>
      </c>
      <c r="D1654" s="700" t="s">
        <v>2238</v>
      </c>
      <c r="E1654" s="701" t="s">
        <v>9527</v>
      </c>
      <c r="F1654" s="566">
        <v>1</v>
      </c>
      <c r="G1654" s="662">
        <v>0</v>
      </c>
      <c r="H1654" s="662">
        <v>0</v>
      </c>
      <c r="I1654" s="662">
        <v>0</v>
      </c>
      <c r="J1654" s="662">
        <v>12120.403545676587</v>
      </c>
      <c r="K1654" s="566" t="s">
        <v>4863</v>
      </c>
      <c r="L1654" s="549"/>
      <c r="M1654" s="540"/>
      <c r="O1654" s="540"/>
      <c r="S1654" s="550"/>
      <c r="T1654" s="547"/>
      <c r="U1654" s="547"/>
      <c r="V1654" s="547"/>
      <c r="W1654" s="549"/>
    </row>
    <row r="1655" spans="1:23">
      <c r="A1655" s="565">
        <v>2349</v>
      </c>
      <c r="B1655" s="696" t="s">
        <v>7059</v>
      </c>
      <c r="C1655" s="566">
        <f t="shared" si="25"/>
        <v>2349</v>
      </c>
      <c r="D1655" s="700" t="s">
        <v>2238</v>
      </c>
      <c r="E1655" s="701" t="s">
        <v>9528</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7060</v>
      </c>
      <c r="C1656" s="566">
        <f t="shared" si="25"/>
        <v>2350</v>
      </c>
      <c r="D1656" s="700" t="s">
        <v>2238</v>
      </c>
      <c r="E1656" s="701" t="s">
        <v>9529</v>
      </c>
      <c r="F1656" s="566">
        <v>1</v>
      </c>
      <c r="G1656" s="662">
        <v>0</v>
      </c>
      <c r="H1656" s="662">
        <v>0</v>
      </c>
      <c r="I1656" s="662">
        <v>10534.521020081496</v>
      </c>
      <c r="J1656" s="662">
        <v>10809.474640335304</v>
      </c>
      <c r="K1656" s="566" t="s">
        <v>4127</v>
      </c>
      <c r="L1656" s="549"/>
      <c r="M1656" s="540"/>
      <c r="O1656" s="540"/>
      <c r="S1656" s="550"/>
      <c r="T1656" s="547"/>
      <c r="U1656" s="547"/>
      <c r="V1656" s="547"/>
      <c r="W1656" s="549"/>
    </row>
    <row r="1657" spans="1:23">
      <c r="A1657" s="565">
        <v>2351</v>
      </c>
      <c r="B1657" s="695" t="s">
        <v>7061</v>
      </c>
      <c r="C1657" s="566">
        <f t="shared" si="25"/>
        <v>2351</v>
      </c>
      <c r="D1657" s="699" t="s">
        <v>2238</v>
      </c>
      <c r="E1657" s="701" t="s">
        <v>9530</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7062</v>
      </c>
      <c r="C1658" s="566">
        <f t="shared" si="25"/>
        <v>2352</v>
      </c>
      <c r="D1658" s="699" t="s">
        <v>2238</v>
      </c>
      <c r="E1658" s="701" t="s">
        <v>9531</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7063</v>
      </c>
      <c r="C1659" s="566">
        <f t="shared" si="25"/>
        <v>2353</v>
      </c>
      <c r="D1659" s="700" t="s">
        <v>2238</v>
      </c>
      <c r="E1659" s="701" t="s">
        <v>9532</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7064</v>
      </c>
      <c r="C1660" s="566">
        <f t="shared" si="25"/>
        <v>2354</v>
      </c>
      <c r="D1660" s="700" t="s">
        <v>2238</v>
      </c>
      <c r="E1660" s="701" t="s">
        <v>9533</v>
      </c>
      <c r="F1660" s="566">
        <v>1</v>
      </c>
      <c r="G1660" s="662">
        <v>0</v>
      </c>
      <c r="H1660" s="662">
        <v>0</v>
      </c>
      <c r="I1660" s="662">
        <v>0</v>
      </c>
      <c r="J1660" s="662">
        <v>13594.903017634562</v>
      </c>
      <c r="K1660" s="566" t="s">
        <v>4864</v>
      </c>
      <c r="L1660" s="549"/>
      <c r="M1660" s="540"/>
      <c r="O1660" s="540"/>
      <c r="S1660" s="550"/>
      <c r="T1660" s="547"/>
      <c r="U1660" s="547"/>
      <c r="V1660" s="547"/>
      <c r="W1660" s="549"/>
    </row>
    <row r="1661" spans="1:23">
      <c r="A1661" s="565">
        <v>2355</v>
      </c>
      <c r="B1661" s="696" t="s">
        <v>7065</v>
      </c>
      <c r="C1661" s="566">
        <f t="shared" si="25"/>
        <v>2355</v>
      </c>
      <c r="D1661" s="700" t="s">
        <v>2238</v>
      </c>
      <c r="E1661" s="701" t="s">
        <v>9534</v>
      </c>
      <c r="F1661" s="566">
        <v>1</v>
      </c>
      <c r="G1661" s="662">
        <v>0</v>
      </c>
      <c r="H1661" s="662">
        <v>0</v>
      </c>
      <c r="I1661" s="662">
        <v>0</v>
      </c>
      <c r="J1661" s="662">
        <v>12836.437461915175</v>
      </c>
      <c r="K1661" s="566" t="s">
        <v>4865</v>
      </c>
      <c r="L1661" s="549"/>
      <c r="M1661" s="540"/>
      <c r="O1661" s="540"/>
      <c r="S1661" s="550"/>
      <c r="T1661" s="547"/>
      <c r="U1661" s="547"/>
      <c r="V1661" s="547"/>
      <c r="W1661" s="549"/>
    </row>
    <row r="1662" spans="1:23">
      <c r="A1662" s="565">
        <v>2356</v>
      </c>
      <c r="B1662" s="696" t="s">
        <v>7066</v>
      </c>
      <c r="C1662" s="566">
        <f t="shared" si="25"/>
        <v>2356</v>
      </c>
      <c r="D1662" s="700" t="s">
        <v>2238</v>
      </c>
      <c r="E1662" s="701" t="s">
        <v>9535</v>
      </c>
      <c r="F1662" s="566">
        <v>1</v>
      </c>
      <c r="G1662" s="662">
        <v>0</v>
      </c>
      <c r="H1662" s="662">
        <v>0</v>
      </c>
      <c r="I1662" s="662">
        <v>30604.95355703653</v>
      </c>
      <c r="J1662" s="662">
        <v>31735.654832459379</v>
      </c>
      <c r="K1662" s="566" t="s">
        <v>4128</v>
      </c>
      <c r="L1662" s="549"/>
      <c r="M1662" s="540"/>
      <c r="O1662" s="540"/>
      <c r="S1662" s="550"/>
      <c r="T1662" s="547"/>
      <c r="U1662" s="547"/>
      <c r="V1662" s="547"/>
      <c r="W1662" s="549"/>
    </row>
    <row r="1663" spans="1:23">
      <c r="A1663" s="565">
        <v>2357</v>
      </c>
      <c r="B1663" s="695" t="s">
        <v>7067</v>
      </c>
      <c r="C1663" s="566">
        <f t="shared" si="25"/>
        <v>2357</v>
      </c>
      <c r="D1663" s="699" t="s">
        <v>2238</v>
      </c>
      <c r="E1663" s="701" t="s">
        <v>9536</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7068</v>
      </c>
      <c r="C1664" s="566">
        <f t="shared" si="25"/>
        <v>2358</v>
      </c>
      <c r="D1664" s="700" t="s">
        <v>2238</v>
      </c>
      <c r="E1664" s="701" t="s">
        <v>9537</v>
      </c>
      <c r="F1664" s="566">
        <v>1</v>
      </c>
      <c r="G1664" s="662">
        <v>0</v>
      </c>
      <c r="H1664" s="662">
        <v>0</v>
      </c>
      <c r="I1664" s="662">
        <v>30078.286009307783</v>
      </c>
      <c r="J1664" s="662">
        <v>31187.958371937584</v>
      </c>
      <c r="K1664" s="566" t="s">
        <v>4129</v>
      </c>
      <c r="L1664" s="549"/>
      <c r="M1664" s="540"/>
      <c r="O1664" s="540"/>
      <c r="S1664" s="550"/>
      <c r="T1664" s="547"/>
      <c r="U1664" s="547"/>
      <c r="V1664" s="547"/>
      <c r="W1664" s="549"/>
    </row>
    <row r="1665" spans="1:23">
      <c r="A1665" s="565">
        <v>2359</v>
      </c>
      <c r="B1665" s="696" t="s">
        <v>7069</v>
      </c>
      <c r="C1665" s="566">
        <f t="shared" si="25"/>
        <v>2359</v>
      </c>
      <c r="D1665" s="700" t="s">
        <v>2238</v>
      </c>
      <c r="E1665" s="701" t="s">
        <v>9538</v>
      </c>
      <c r="F1665" s="566">
        <v>1</v>
      </c>
      <c r="G1665" s="662">
        <v>0</v>
      </c>
      <c r="H1665" s="662">
        <v>23464.391982115711</v>
      </c>
      <c r="I1665" s="662">
        <v>24002.804423925267</v>
      </c>
      <c r="J1665" s="662">
        <v>24569.544835861972</v>
      </c>
      <c r="K1665" s="566" t="s">
        <v>4130</v>
      </c>
      <c r="L1665" s="549"/>
      <c r="M1665" s="540"/>
      <c r="O1665" s="540"/>
      <c r="S1665" s="550"/>
      <c r="T1665" s="547"/>
      <c r="U1665" s="547"/>
      <c r="V1665" s="547"/>
      <c r="W1665" s="549"/>
    </row>
    <row r="1666" spans="1:23">
      <c r="A1666" s="565">
        <v>2360</v>
      </c>
      <c r="B1666" s="696" t="s">
        <v>7070</v>
      </c>
      <c r="C1666" s="566">
        <f t="shared" si="25"/>
        <v>2360</v>
      </c>
      <c r="D1666" s="700" t="s">
        <v>2238</v>
      </c>
      <c r="E1666" s="701" t="s">
        <v>9539</v>
      </c>
      <c r="F1666" s="566">
        <v>1</v>
      </c>
      <c r="G1666" s="662">
        <v>0</v>
      </c>
      <c r="H1666" s="662">
        <v>24994.235586218627</v>
      </c>
      <c r="I1666" s="662">
        <v>25571.542421517453</v>
      </c>
      <c r="J1666" s="662">
        <v>26179.236208797705</v>
      </c>
      <c r="K1666" s="566" t="s">
        <v>4131</v>
      </c>
      <c r="L1666" s="549"/>
      <c r="M1666" s="540"/>
      <c r="O1666" s="540"/>
      <c r="S1666" s="550"/>
      <c r="T1666" s="547"/>
      <c r="U1666" s="547"/>
      <c r="V1666" s="547"/>
      <c r="W1666" s="549"/>
    </row>
    <row r="1667" spans="1:23">
      <c r="A1667" s="565">
        <v>2361</v>
      </c>
      <c r="B1667" s="695" t="s">
        <v>7071</v>
      </c>
      <c r="C1667" s="566">
        <f t="shared" si="25"/>
        <v>2361</v>
      </c>
      <c r="D1667" s="699" t="s">
        <v>2238</v>
      </c>
      <c r="E1667" s="701" t="s">
        <v>9540</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7072</v>
      </c>
      <c r="C1668" s="566">
        <f t="shared" si="25"/>
        <v>2362</v>
      </c>
      <c r="D1668" s="700" t="s">
        <v>2238</v>
      </c>
      <c r="E1668" s="701" t="s">
        <v>9541</v>
      </c>
      <c r="F1668" s="566">
        <v>1</v>
      </c>
      <c r="G1668" s="662">
        <v>19531.835841636323</v>
      </c>
      <c r="H1668" s="662">
        <v>0</v>
      </c>
      <c r="I1668" s="662">
        <v>0</v>
      </c>
      <c r="J1668" s="662">
        <v>0</v>
      </c>
      <c r="K1668" s="566" t="s">
        <v>5312</v>
      </c>
      <c r="L1668" s="549"/>
      <c r="M1668" s="540"/>
      <c r="O1668" s="540"/>
      <c r="S1668" s="550"/>
      <c r="T1668" s="547"/>
      <c r="U1668" s="547"/>
      <c r="V1668" s="547"/>
      <c r="W1668" s="549"/>
    </row>
    <row r="1669" spans="1:23">
      <c r="A1669" s="565">
        <v>2363</v>
      </c>
      <c r="B1669" s="695" t="s">
        <v>7073</v>
      </c>
      <c r="C1669" s="566">
        <f t="shared" si="25"/>
        <v>2363</v>
      </c>
      <c r="D1669" s="699" t="s">
        <v>2238</v>
      </c>
      <c r="E1669" s="701" t="s">
        <v>9542</v>
      </c>
      <c r="F1669" s="567">
        <v>1</v>
      </c>
      <c r="G1669" s="662">
        <v>0</v>
      </c>
      <c r="H1669" s="662">
        <v>0</v>
      </c>
      <c r="I1669" s="662">
        <v>0</v>
      </c>
      <c r="J1669" s="662">
        <v>15385.691588800475</v>
      </c>
      <c r="K1669" s="568" t="s">
        <v>4866</v>
      </c>
      <c r="L1669" s="549"/>
      <c r="M1669" s="540"/>
      <c r="O1669" s="540"/>
      <c r="S1669" s="550"/>
      <c r="T1669" s="547"/>
      <c r="U1669" s="547"/>
      <c r="V1669" s="547"/>
      <c r="W1669" s="549"/>
    </row>
    <row r="1670" spans="1:23">
      <c r="A1670" s="565">
        <v>2364</v>
      </c>
      <c r="B1670" s="695" t="s">
        <v>7074</v>
      </c>
      <c r="C1670" s="566">
        <f t="shared" si="25"/>
        <v>2364</v>
      </c>
      <c r="D1670" s="699" t="s">
        <v>2238</v>
      </c>
      <c r="E1670" s="701" t="s">
        <v>9543</v>
      </c>
      <c r="F1670" s="567">
        <v>1</v>
      </c>
      <c r="G1670" s="662">
        <v>0</v>
      </c>
      <c r="H1670" s="662">
        <v>0</v>
      </c>
      <c r="I1670" s="662">
        <v>0</v>
      </c>
      <c r="J1670" s="662">
        <v>16148.565086008441</v>
      </c>
      <c r="K1670" s="568" t="s">
        <v>4867</v>
      </c>
      <c r="L1670" s="549"/>
      <c r="M1670" s="540"/>
      <c r="O1670" s="540"/>
      <c r="S1670" s="550"/>
      <c r="T1670" s="547"/>
      <c r="U1670" s="547"/>
      <c r="V1670" s="547"/>
      <c r="W1670" s="549"/>
    </row>
    <row r="1671" spans="1:23">
      <c r="A1671" s="565">
        <v>2365</v>
      </c>
      <c r="B1671" s="695" t="s">
        <v>7075</v>
      </c>
      <c r="C1671" s="566">
        <f t="shared" si="25"/>
        <v>2365</v>
      </c>
      <c r="D1671" s="699" t="s">
        <v>2238</v>
      </c>
      <c r="E1671" s="701" t="s">
        <v>9544</v>
      </c>
      <c r="F1671" s="567">
        <v>1</v>
      </c>
      <c r="G1671" s="662">
        <v>0</v>
      </c>
      <c r="H1671" s="662">
        <v>0</v>
      </c>
      <c r="I1671" s="662">
        <v>0</v>
      </c>
      <c r="J1671" s="662">
        <v>14136.839419297063</v>
      </c>
      <c r="K1671" s="568" t="s">
        <v>4868</v>
      </c>
      <c r="L1671" s="549"/>
      <c r="M1671" s="540"/>
      <c r="O1671" s="540"/>
      <c r="S1671" s="550"/>
      <c r="T1671" s="547"/>
      <c r="U1671" s="547"/>
      <c r="V1671" s="547"/>
      <c r="W1671" s="549"/>
    </row>
    <row r="1672" spans="1:23">
      <c r="A1672" s="565">
        <v>2366</v>
      </c>
      <c r="B1672" s="696" t="s">
        <v>7076</v>
      </c>
      <c r="C1672" s="566">
        <f t="shared" si="25"/>
        <v>2366</v>
      </c>
      <c r="D1672" s="700" t="s">
        <v>2238</v>
      </c>
      <c r="E1672" s="701" t="s">
        <v>9545</v>
      </c>
      <c r="F1672" s="566">
        <v>1</v>
      </c>
      <c r="G1672" s="662">
        <v>0</v>
      </c>
      <c r="H1672" s="662">
        <v>0</v>
      </c>
      <c r="I1672" s="662">
        <v>0</v>
      </c>
      <c r="J1672" s="662">
        <v>14899.712916505032</v>
      </c>
      <c r="K1672" s="566" t="s">
        <v>4869</v>
      </c>
      <c r="L1672" s="549"/>
      <c r="M1672" s="540"/>
      <c r="O1672" s="540"/>
      <c r="S1672" s="550"/>
      <c r="T1672" s="547"/>
      <c r="U1672" s="547"/>
      <c r="V1672" s="547"/>
      <c r="W1672" s="549"/>
    </row>
    <row r="1673" spans="1:23">
      <c r="A1673" s="565">
        <v>2367</v>
      </c>
      <c r="B1673" s="696" t="s">
        <v>7077</v>
      </c>
      <c r="C1673" s="566">
        <f t="shared" ref="C1673:C1736" si="26">A1673</f>
        <v>2367</v>
      </c>
      <c r="D1673" s="700" t="s">
        <v>2238</v>
      </c>
      <c r="E1673" s="701" t="s">
        <v>9546</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7078</v>
      </c>
      <c r="C1674" s="566">
        <f t="shared" si="26"/>
        <v>2368</v>
      </c>
      <c r="D1674" s="700" t="s">
        <v>2238</v>
      </c>
      <c r="E1674" s="701" t="s">
        <v>9547</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7079</v>
      </c>
      <c r="C1675" s="566">
        <f t="shared" si="26"/>
        <v>2369</v>
      </c>
      <c r="D1675" s="700" t="s">
        <v>2238</v>
      </c>
      <c r="E1675" s="701" t="s">
        <v>9548</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7080</v>
      </c>
      <c r="C1676" s="566">
        <f t="shared" si="26"/>
        <v>2370</v>
      </c>
      <c r="D1676" s="700" t="s">
        <v>2238</v>
      </c>
      <c r="E1676" s="701" t="s">
        <v>9549</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7081</v>
      </c>
      <c r="C1677" s="566">
        <f t="shared" si="26"/>
        <v>2371</v>
      </c>
      <c r="D1677" s="700" t="s">
        <v>2238</v>
      </c>
      <c r="E1677" s="701" t="s">
        <v>9550</v>
      </c>
      <c r="F1677" s="566">
        <v>2</v>
      </c>
      <c r="G1677" s="662">
        <v>13866.642342306814</v>
      </c>
      <c r="H1677" s="662">
        <v>14313.912023069575</v>
      </c>
      <c r="I1677" s="662">
        <v>14784.722213346169</v>
      </c>
      <c r="J1677" s="662">
        <v>15280.329135222013</v>
      </c>
      <c r="K1677" s="566" t="s">
        <v>4870</v>
      </c>
      <c r="L1677" s="549"/>
      <c r="M1677" s="540"/>
      <c r="O1677" s="540"/>
      <c r="S1677" s="550"/>
      <c r="T1677" s="547"/>
      <c r="U1677" s="547"/>
      <c r="V1677" s="547"/>
      <c r="W1677" s="549"/>
    </row>
    <row r="1678" spans="1:23">
      <c r="A1678" s="565">
        <v>2372</v>
      </c>
      <c r="B1678" s="696" t="s">
        <v>7082</v>
      </c>
      <c r="C1678" s="566">
        <f t="shared" si="26"/>
        <v>2372</v>
      </c>
      <c r="D1678" s="700" t="s">
        <v>2238</v>
      </c>
      <c r="E1678" s="701" t="s">
        <v>9551</v>
      </c>
      <c r="F1678" s="566">
        <v>2</v>
      </c>
      <c r="G1678" s="662">
        <v>14221.255386251518</v>
      </c>
      <c r="H1678" s="662">
        <v>14684.09129720324</v>
      </c>
      <c r="I1678" s="662">
        <v>15171.23237459035</v>
      </c>
      <c r="J1678" s="662">
        <v>15684.044077201366</v>
      </c>
      <c r="K1678" s="566" t="s">
        <v>4871</v>
      </c>
      <c r="L1678" s="549"/>
      <c r="M1678" s="540"/>
      <c r="O1678" s="540"/>
      <c r="S1678" s="550"/>
      <c r="T1678" s="547"/>
      <c r="U1678" s="547"/>
      <c r="V1678" s="547"/>
      <c r="W1678" s="549"/>
    </row>
    <row r="1679" spans="1:23">
      <c r="A1679" s="565">
        <v>2373</v>
      </c>
      <c r="B1679" s="696" t="s">
        <v>7083</v>
      </c>
      <c r="C1679" s="566">
        <f t="shared" si="26"/>
        <v>2373</v>
      </c>
      <c r="D1679" s="700" t="s">
        <v>2238</v>
      </c>
      <c r="E1679" s="701" t="s">
        <v>9552</v>
      </c>
      <c r="F1679" s="566">
        <v>2</v>
      </c>
      <c r="G1679" s="662">
        <v>14504.718694991965</v>
      </c>
      <c r="H1679" s="662">
        <v>14979.352169876372</v>
      </c>
      <c r="I1679" s="662">
        <v>15478.891613063115</v>
      </c>
      <c r="J1679" s="662">
        <v>16004.757101692237</v>
      </c>
      <c r="K1679" s="566" t="s">
        <v>4872</v>
      </c>
      <c r="L1679" s="549"/>
      <c r="M1679" s="540"/>
      <c r="O1679" s="540"/>
      <c r="S1679" s="550"/>
      <c r="T1679" s="547"/>
      <c r="U1679" s="547"/>
      <c r="V1679" s="547"/>
      <c r="W1679" s="549"/>
    </row>
    <row r="1680" spans="1:23">
      <c r="A1680" s="565">
        <v>2374</v>
      </c>
      <c r="B1680" s="696" t="s">
        <v>7084</v>
      </c>
      <c r="C1680" s="566">
        <f t="shared" si="26"/>
        <v>2374</v>
      </c>
      <c r="D1680" s="700" t="s">
        <v>2238</v>
      </c>
      <c r="E1680" s="701" t="s">
        <v>9553</v>
      </c>
      <c r="F1680" s="566">
        <v>2</v>
      </c>
      <c r="G1680" s="662">
        <v>14675.821671756974</v>
      </c>
      <c r="H1680" s="662">
        <v>15158.538662669331</v>
      </c>
      <c r="I1680" s="662">
        <v>15666.653187047885</v>
      </c>
      <c r="J1680" s="662">
        <v>16201.530703681137</v>
      </c>
      <c r="K1680" s="566" t="s">
        <v>4873</v>
      </c>
      <c r="L1680" s="549"/>
      <c r="M1680" s="540"/>
      <c r="O1680" s="540"/>
      <c r="S1680" s="550"/>
      <c r="T1680" s="547"/>
      <c r="U1680" s="547"/>
      <c r="V1680" s="547"/>
      <c r="W1680" s="549"/>
    </row>
    <row r="1681" spans="1:23">
      <c r="A1681" s="565">
        <v>2375</v>
      </c>
      <c r="B1681" s="696" t="s">
        <v>7085</v>
      </c>
      <c r="C1681" s="566">
        <f t="shared" si="26"/>
        <v>2375</v>
      </c>
      <c r="D1681" s="700" t="s">
        <v>2238</v>
      </c>
      <c r="E1681" s="701" t="s">
        <v>9554</v>
      </c>
      <c r="F1681" s="566">
        <v>2</v>
      </c>
      <c r="G1681" s="662">
        <v>0</v>
      </c>
      <c r="H1681" s="662">
        <v>0</v>
      </c>
      <c r="I1681" s="662">
        <v>0</v>
      </c>
      <c r="J1681" s="662">
        <v>17302.104612424646</v>
      </c>
      <c r="K1681" s="566" t="s">
        <v>4874</v>
      </c>
      <c r="L1681" s="549"/>
      <c r="M1681" s="540"/>
      <c r="O1681" s="540"/>
      <c r="S1681" s="550"/>
      <c r="T1681" s="547"/>
      <c r="U1681" s="547"/>
      <c r="V1681" s="547"/>
      <c r="W1681" s="549"/>
    </row>
    <row r="1682" spans="1:23">
      <c r="A1682" s="565">
        <v>2376</v>
      </c>
      <c r="B1682" s="696" t="s">
        <v>7086</v>
      </c>
      <c r="C1682" s="566">
        <f t="shared" si="26"/>
        <v>2376</v>
      </c>
      <c r="D1682" s="700" t="s">
        <v>2238</v>
      </c>
      <c r="E1682" s="701" t="s">
        <v>9555</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7087</v>
      </c>
      <c r="C1683" s="566">
        <f t="shared" si="26"/>
        <v>2377</v>
      </c>
      <c r="D1683" s="700" t="s">
        <v>2238</v>
      </c>
      <c r="E1683" s="701" t="s">
        <v>9556</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7088</v>
      </c>
      <c r="C1684" s="566">
        <f t="shared" si="26"/>
        <v>2378</v>
      </c>
      <c r="D1684" s="700" t="s">
        <v>2238</v>
      </c>
      <c r="E1684" s="701" t="s">
        <v>9557</v>
      </c>
      <c r="F1684" s="566">
        <v>2</v>
      </c>
      <c r="G1684" s="662">
        <v>19757.538780541683</v>
      </c>
      <c r="H1684" s="662">
        <v>20298.183887244919</v>
      </c>
      <c r="I1684" s="662">
        <v>20867.288483408753</v>
      </c>
      <c r="J1684" s="662">
        <v>21466.338436021237</v>
      </c>
      <c r="K1684" s="566" t="s">
        <v>4875</v>
      </c>
      <c r="L1684" s="549"/>
      <c r="M1684" s="540"/>
      <c r="O1684" s="540"/>
      <c r="S1684" s="550"/>
      <c r="T1684" s="547"/>
      <c r="U1684" s="547"/>
      <c r="V1684" s="547"/>
      <c r="W1684" s="549"/>
    </row>
    <row r="1685" spans="1:23">
      <c r="A1685" s="565">
        <v>2379</v>
      </c>
      <c r="B1685" s="696" t="s">
        <v>7089</v>
      </c>
      <c r="C1685" s="566">
        <f t="shared" si="26"/>
        <v>2379</v>
      </c>
      <c r="D1685" s="700" t="s">
        <v>2238</v>
      </c>
      <c r="E1685" s="701" t="s">
        <v>9558</v>
      </c>
      <c r="F1685" s="566">
        <v>2</v>
      </c>
      <c r="G1685" s="662">
        <v>19380.215827382635</v>
      </c>
      <c r="H1685" s="662">
        <v>19908.615686243469</v>
      </c>
      <c r="I1685" s="662">
        <v>20464.770939078164</v>
      </c>
      <c r="J1685" s="662">
        <v>21050.252645922974</v>
      </c>
      <c r="K1685" s="566" t="s">
        <v>4876</v>
      </c>
      <c r="L1685" s="549"/>
      <c r="M1685" s="540"/>
      <c r="O1685" s="540"/>
      <c r="S1685" s="550"/>
      <c r="T1685" s="547"/>
      <c r="U1685" s="547"/>
      <c r="V1685" s="547"/>
      <c r="W1685" s="549"/>
    </row>
    <row r="1686" spans="1:23">
      <c r="A1686" s="565">
        <v>2380</v>
      </c>
      <c r="B1686" s="696" t="s">
        <v>7090</v>
      </c>
      <c r="C1686" s="566">
        <f t="shared" si="26"/>
        <v>2380</v>
      </c>
      <c r="D1686" s="700" t="s">
        <v>2238</v>
      </c>
      <c r="E1686" s="701" t="s">
        <v>9559</v>
      </c>
      <c r="F1686" s="566">
        <v>2</v>
      </c>
      <c r="G1686" s="662">
        <v>18153.155597802128</v>
      </c>
      <c r="H1686" s="662">
        <v>18643.707192153157</v>
      </c>
      <c r="I1686" s="662">
        <v>19160.062257402693</v>
      </c>
      <c r="J1686" s="662">
        <v>19703.601422067451</v>
      </c>
      <c r="K1686" s="566" t="s">
        <v>4877</v>
      </c>
      <c r="L1686" s="549"/>
      <c r="M1686" s="540"/>
      <c r="O1686" s="540"/>
      <c r="S1686" s="550"/>
      <c r="T1686" s="547"/>
      <c r="U1686" s="547"/>
      <c r="V1686" s="547"/>
      <c r="W1686" s="549"/>
    </row>
    <row r="1687" spans="1:23">
      <c r="A1687" s="565">
        <v>2381</v>
      </c>
      <c r="B1687" s="696" t="s">
        <v>7091</v>
      </c>
      <c r="C1687" s="566">
        <f t="shared" si="26"/>
        <v>2381</v>
      </c>
      <c r="D1687" s="700" t="s">
        <v>2238</v>
      </c>
      <c r="E1687" s="701" t="s">
        <v>9560</v>
      </c>
      <c r="F1687" s="566">
        <v>2</v>
      </c>
      <c r="G1687" s="662">
        <v>25178.866691486597</v>
      </c>
      <c r="H1687" s="662">
        <v>26501.413594735001</v>
      </c>
      <c r="I1687" s="662">
        <v>27970.926023193188</v>
      </c>
      <c r="J1687" s="662">
        <v>29603.68587178236</v>
      </c>
      <c r="K1687" s="566" t="s">
        <v>4878</v>
      </c>
      <c r="L1687" s="549"/>
      <c r="M1687" s="540"/>
      <c r="O1687" s="540"/>
      <c r="S1687" s="550"/>
      <c r="T1687" s="547"/>
      <c r="U1687" s="547"/>
      <c r="V1687" s="547"/>
      <c r="W1687" s="549"/>
    </row>
    <row r="1688" spans="1:23">
      <c r="A1688" s="565">
        <v>2382</v>
      </c>
      <c r="B1688" s="696" t="s">
        <v>7092</v>
      </c>
      <c r="C1688" s="566">
        <f t="shared" si="26"/>
        <v>2382</v>
      </c>
      <c r="D1688" s="700" t="s">
        <v>2238</v>
      </c>
      <c r="E1688" s="701" t="s">
        <v>9561</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7093</v>
      </c>
      <c r="C1689" s="566">
        <f t="shared" si="26"/>
        <v>2383</v>
      </c>
      <c r="D1689" s="700" t="s">
        <v>2238</v>
      </c>
      <c r="E1689" s="701" t="s">
        <v>9562</v>
      </c>
      <c r="F1689" s="566">
        <v>2</v>
      </c>
      <c r="G1689" s="662">
        <v>16631.463789164991</v>
      </c>
      <c r="H1689" s="662">
        <v>17073.074482992637</v>
      </c>
      <c r="I1689" s="662">
        <v>17537.91782220493</v>
      </c>
      <c r="J1689" s="662">
        <v>18027.231611678904</v>
      </c>
      <c r="K1689" s="566" t="s">
        <v>4879</v>
      </c>
      <c r="L1689" s="549"/>
      <c r="M1689" s="540"/>
      <c r="O1689" s="540"/>
      <c r="S1689" s="550"/>
      <c r="T1689" s="547"/>
      <c r="U1689" s="547"/>
      <c r="V1689" s="547"/>
      <c r="W1689" s="549"/>
    </row>
    <row r="1690" spans="1:23">
      <c r="A1690" s="565">
        <v>2384</v>
      </c>
      <c r="B1690" s="696" t="s">
        <v>7094</v>
      </c>
      <c r="C1690" s="566">
        <f t="shared" si="26"/>
        <v>2384</v>
      </c>
      <c r="D1690" s="700" t="s">
        <v>2238</v>
      </c>
      <c r="E1690" s="701" t="s">
        <v>9563</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7095</v>
      </c>
      <c r="C1691" s="566">
        <f t="shared" si="26"/>
        <v>2385</v>
      </c>
      <c r="D1691" s="700" t="s">
        <v>2238</v>
      </c>
      <c r="E1691" s="701" t="s">
        <v>9564</v>
      </c>
      <c r="F1691" s="566">
        <v>2</v>
      </c>
      <c r="G1691" s="662">
        <v>0</v>
      </c>
      <c r="H1691" s="662">
        <v>0</v>
      </c>
      <c r="I1691" s="662">
        <v>0</v>
      </c>
      <c r="J1691" s="662">
        <v>25457.341410955178</v>
      </c>
      <c r="K1691" s="566" t="s">
        <v>4880</v>
      </c>
      <c r="L1691" s="549"/>
      <c r="M1691" s="540"/>
      <c r="O1691" s="540"/>
      <c r="S1691" s="550"/>
      <c r="T1691" s="547"/>
      <c r="U1691" s="547"/>
      <c r="V1691" s="547"/>
      <c r="W1691" s="549"/>
    </row>
    <row r="1692" spans="1:23">
      <c r="A1692" s="565">
        <v>2386</v>
      </c>
      <c r="B1692" s="696" t="s">
        <v>7096</v>
      </c>
      <c r="C1692" s="566">
        <f t="shared" si="26"/>
        <v>2386</v>
      </c>
      <c r="D1692" s="700" t="s">
        <v>2238</v>
      </c>
      <c r="E1692" s="701" t="s">
        <v>9565</v>
      </c>
      <c r="F1692" s="566">
        <v>2</v>
      </c>
      <c r="G1692" s="662">
        <v>0</v>
      </c>
      <c r="H1692" s="662">
        <v>0</v>
      </c>
      <c r="I1692" s="662">
        <v>0</v>
      </c>
      <c r="J1692" s="662">
        <v>24222.209158229703</v>
      </c>
      <c r="K1692" s="566" t="s">
        <v>4881</v>
      </c>
      <c r="L1692" s="549"/>
      <c r="M1692" s="540"/>
      <c r="O1692" s="540"/>
      <c r="S1692" s="550"/>
      <c r="T1692" s="547"/>
      <c r="U1692" s="547"/>
      <c r="V1692" s="547"/>
      <c r="W1692" s="549"/>
    </row>
    <row r="1693" spans="1:23">
      <c r="A1693" s="565">
        <v>2387</v>
      </c>
      <c r="B1693" s="696" t="s">
        <v>7097</v>
      </c>
      <c r="C1693" s="566">
        <f t="shared" si="26"/>
        <v>2387</v>
      </c>
      <c r="D1693" s="700" t="s">
        <v>2238</v>
      </c>
      <c r="E1693" s="701" t="s">
        <v>9566</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7098</v>
      </c>
      <c r="C1694" s="566">
        <f t="shared" si="26"/>
        <v>2388</v>
      </c>
      <c r="D1694" s="700" t="s">
        <v>2238</v>
      </c>
      <c r="E1694" s="701" t="s">
        <v>9567</v>
      </c>
      <c r="F1694" s="566">
        <v>2</v>
      </c>
      <c r="G1694" s="662">
        <v>0</v>
      </c>
      <c r="H1694" s="662">
        <v>0</v>
      </c>
      <c r="I1694" s="662">
        <v>30157.944913256699</v>
      </c>
      <c r="J1694" s="662">
        <v>0</v>
      </c>
      <c r="K1694" s="566" t="s">
        <v>4882</v>
      </c>
      <c r="L1694" s="549"/>
      <c r="M1694" s="540"/>
      <c r="O1694" s="540"/>
      <c r="S1694" s="550"/>
      <c r="T1694" s="547"/>
      <c r="U1694" s="547"/>
      <c r="V1694" s="547"/>
      <c r="W1694" s="549"/>
    </row>
    <row r="1695" spans="1:23">
      <c r="A1695" s="565">
        <v>2389</v>
      </c>
      <c r="B1695" s="696" t="s">
        <v>7099</v>
      </c>
      <c r="C1695" s="566">
        <f t="shared" si="26"/>
        <v>2389</v>
      </c>
      <c r="D1695" s="700" t="s">
        <v>2238</v>
      </c>
      <c r="E1695" s="701" t="s">
        <v>9568</v>
      </c>
      <c r="F1695" s="566">
        <v>2</v>
      </c>
      <c r="G1695" s="662">
        <v>0</v>
      </c>
      <c r="H1695" s="662">
        <v>0</v>
      </c>
      <c r="I1695" s="662">
        <v>31113.078271582177</v>
      </c>
      <c r="J1695" s="662">
        <v>0</v>
      </c>
      <c r="K1695" s="566" t="s">
        <v>4883</v>
      </c>
      <c r="L1695" s="549"/>
      <c r="M1695" s="540"/>
      <c r="O1695" s="540"/>
      <c r="S1695" s="550"/>
      <c r="T1695" s="547"/>
      <c r="U1695" s="547"/>
      <c r="V1695" s="547"/>
      <c r="W1695" s="549"/>
    </row>
    <row r="1696" spans="1:23">
      <c r="A1696" s="565">
        <v>2390</v>
      </c>
      <c r="B1696" s="696" t="s">
        <v>7100</v>
      </c>
      <c r="C1696" s="566">
        <f t="shared" si="26"/>
        <v>2390</v>
      </c>
      <c r="D1696" s="700" t="s">
        <v>2238</v>
      </c>
      <c r="E1696" s="701" t="s">
        <v>9569</v>
      </c>
      <c r="F1696" s="566">
        <v>2</v>
      </c>
      <c r="G1696" s="662">
        <v>0</v>
      </c>
      <c r="H1696" s="662">
        <v>0</v>
      </c>
      <c r="I1696" s="662">
        <v>32227.4005229619</v>
      </c>
      <c r="J1696" s="662">
        <v>0</v>
      </c>
      <c r="K1696" s="566" t="s">
        <v>4884</v>
      </c>
      <c r="L1696" s="549"/>
      <c r="M1696" s="540"/>
      <c r="O1696" s="540"/>
      <c r="S1696" s="550"/>
      <c r="T1696" s="547"/>
      <c r="U1696" s="547"/>
      <c r="V1696" s="547"/>
      <c r="W1696" s="549"/>
    </row>
    <row r="1697" spans="1:23">
      <c r="A1697" s="565">
        <v>2391</v>
      </c>
      <c r="B1697" s="696" t="s">
        <v>7101</v>
      </c>
      <c r="C1697" s="566">
        <f t="shared" si="26"/>
        <v>2391</v>
      </c>
      <c r="D1697" s="700" t="s">
        <v>2238</v>
      </c>
      <c r="E1697" s="701" t="s">
        <v>9570</v>
      </c>
      <c r="F1697" s="566">
        <v>2</v>
      </c>
      <c r="G1697" s="662">
        <v>0</v>
      </c>
      <c r="H1697" s="662">
        <v>0</v>
      </c>
      <c r="I1697" s="662">
        <v>33188.901437009554</v>
      </c>
      <c r="J1697" s="662">
        <v>0</v>
      </c>
      <c r="K1697" s="566" t="s">
        <v>4885</v>
      </c>
      <c r="L1697" s="549"/>
      <c r="M1697" s="540"/>
      <c r="O1697" s="540"/>
      <c r="S1697" s="550"/>
      <c r="T1697" s="547"/>
      <c r="U1697" s="547"/>
      <c r="V1697" s="547"/>
      <c r="W1697" s="549"/>
    </row>
    <row r="1698" spans="1:23">
      <c r="A1698" s="565">
        <v>2392</v>
      </c>
      <c r="B1698" s="696" t="s">
        <v>7102</v>
      </c>
      <c r="C1698" s="566">
        <f t="shared" si="26"/>
        <v>2392</v>
      </c>
      <c r="D1698" s="700" t="s">
        <v>2238</v>
      </c>
      <c r="E1698" s="701" t="s">
        <v>9571</v>
      </c>
      <c r="F1698" s="566">
        <v>1</v>
      </c>
      <c r="G1698" s="662">
        <v>0</v>
      </c>
      <c r="H1698" s="662">
        <v>0</v>
      </c>
      <c r="I1698" s="662">
        <v>0</v>
      </c>
      <c r="J1698" s="662">
        <v>22183.623415950107</v>
      </c>
      <c r="K1698" s="566" t="s">
        <v>4886</v>
      </c>
      <c r="L1698" s="549"/>
      <c r="M1698" s="540"/>
      <c r="O1698" s="540"/>
      <c r="S1698" s="550"/>
      <c r="T1698" s="547"/>
      <c r="U1698" s="547"/>
      <c r="V1698" s="547"/>
      <c r="W1698" s="549"/>
    </row>
    <row r="1699" spans="1:23">
      <c r="A1699" s="565">
        <v>2393</v>
      </c>
      <c r="B1699" s="696" t="s">
        <v>7103</v>
      </c>
      <c r="C1699" s="566">
        <f t="shared" si="26"/>
        <v>2393</v>
      </c>
      <c r="D1699" s="700" t="s">
        <v>2238</v>
      </c>
      <c r="E1699" s="701" t="s">
        <v>9572</v>
      </c>
      <c r="F1699" s="566">
        <v>1</v>
      </c>
      <c r="G1699" s="662">
        <v>0</v>
      </c>
      <c r="H1699" s="662">
        <v>0</v>
      </c>
      <c r="I1699" s="662">
        <v>0</v>
      </c>
      <c r="J1699" s="662">
        <v>20426.130848322664</v>
      </c>
      <c r="K1699" s="566" t="s">
        <v>4887</v>
      </c>
      <c r="L1699" s="549"/>
      <c r="M1699" s="540"/>
      <c r="O1699" s="540"/>
      <c r="S1699" s="550"/>
      <c r="T1699" s="547"/>
      <c r="U1699" s="547"/>
      <c r="V1699" s="547"/>
      <c r="W1699" s="549"/>
    </row>
    <row r="1700" spans="1:23">
      <c r="A1700" s="565">
        <v>2394</v>
      </c>
      <c r="B1700" s="696" t="s">
        <v>7104</v>
      </c>
      <c r="C1700" s="566">
        <f t="shared" si="26"/>
        <v>2394</v>
      </c>
      <c r="D1700" s="700" t="s">
        <v>2238</v>
      </c>
      <c r="E1700" s="701" t="s">
        <v>9573</v>
      </c>
      <c r="F1700" s="566">
        <v>1</v>
      </c>
      <c r="G1700" s="662">
        <v>0</v>
      </c>
      <c r="H1700" s="662">
        <v>0</v>
      </c>
      <c r="I1700" s="662">
        <v>0</v>
      </c>
      <c r="J1700" s="662">
        <v>21295.647027484738</v>
      </c>
      <c r="K1700" s="566" t="s">
        <v>4888</v>
      </c>
      <c r="L1700" s="549"/>
      <c r="M1700" s="540"/>
      <c r="O1700" s="540"/>
      <c r="S1700" s="550"/>
      <c r="T1700" s="547"/>
      <c r="U1700" s="547"/>
      <c r="V1700" s="547"/>
      <c r="W1700" s="549"/>
    </row>
    <row r="1701" spans="1:23">
      <c r="A1701" s="565">
        <v>2395</v>
      </c>
      <c r="B1701" s="696" t="s">
        <v>7105</v>
      </c>
      <c r="C1701" s="566">
        <f t="shared" si="26"/>
        <v>2395</v>
      </c>
      <c r="D1701" s="700" t="s">
        <v>2238</v>
      </c>
      <c r="E1701" s="701" t="s">
        <v>9574</v>
      </c>
      <c r="F1701" s="566">
        <v>1</v>
      </c>
      <c r="G1701" s="662">
        <v>0</v>
      </c>
      <c r="H1701" s="662">
        <v>0</v>
      </c>
      <c r="I1701" s="662">
        <v>0</v>
      </c>
      <c r="J1701" s="662">
        <v>23510.396836183492</v>
      </c>
      <c r="K1701" s="566" t="s">
        <v>4889</v>
      </c>
      <c r="L1701" s="549"/>
      <c r="M1701" s="540"/>
      <c r="O1701" s="540"/>
      <c r="S1701" s="550"/>
      <c r="T1701" s="547"/>
      <c r="U1701" s="547"/>
      <c r="V1701" s="547"/>
      <c r="W1701" s="549"/>
    </row>
    <row r="1702" spans="1:23">
      <c r="A1702" s="565">
        <v>2396</v>
      </c>
      <c r="B1702" s="696" t="s">
        <v>7106</v>
      </c>
      <c r="C1702" s="566">
        <f t="shared" si="26"/>
        <v>2396</v>
      </c>
      <c r="D1702" s="700" t="s">
        <v>2238</v>
      </c>
      <c r="E1702" s="701" t="s">
        <v>9575</v>
      </c>
      <c r="F1702" s="566">
        <v>1</v>
      </c>
      <c r="G1702" s="662">
        <v>0</v>
      </c>
      <c r="H1702" s="662">
        <v>0</v>
      </c>
      <c r="I1702" s="662">
        <v>0</v>
      </c>
      <c r="J1702" s="662">
        <v>25140.299292801614</v>
      </c>
      <c r="K1702" s="566" t="s">
        <v>4890</v>
      </c>
      <c r="L1702" s="549"/>
      <c r="M1702" s="540"/>
      <c r="O1702" s="540"/>
      <c r="S1702" s="550"/>
      <c r="T1702" s="547"/>
      <c r="U1702" s="547"/>
      <c r="V1702" s="547"/>
      <c r="W1702" s="549"/>
    </row>
    <row r="1703" spans="1:23">
      <c r="A1703" s="565">
        <v>2397</v>
      </c>
      <c r="B1703" s="696" t="s">
        <v>7107</v>
      </c>
      <c r="C1703" s="566">
        <f t="shared" si="26"/>
        <v>2397</v>
      </c>
      <c r="D1703" s="700" t="s">
        <v>2238</v>
      </c>
      <c r="E1703" s="701" t="s">
        <v>9576</v>
      </c>
      <c r="F1703" s="566">
        <v>2</v>
      </c>
      <c r="G1703" s="662">
        <v>0</v>
      </c>
      <c r="H1703" s="662">
        <v>0</v>
      </c>
      <c r="I1703" s="662">
        <v>0</v>
      </c>
      <c r="J1703" s="662">
        <v>24352.977620921858</v>
      </c>
      <c r="K1703" s="566" t="s">
        <v>4891</v>
      </c>
      <c r="L1703" s="549"/>
      <c r="M1703" s="540"/>
      <c r="O1703" s="540"/>
      <c r="S1703" s="550"/>
      <c r="T1703" s="547"/>
      <c r="U1703" s="547"/>
      <c r="V1703" s="547"/>
      <c r="W1703" s="549"/>
    </row>
    <row r="1704" spans="1:23">
      <c r="A1704" s="565">
        <v>2398</v>
      </c>
      <c r="B1704" s="696" t="s">
        <v>7108</v>
      </c>
      <c r="C1704" s="566">
        <f t="shared" si="26"/>
        <v>2398</v>
      </c>
      <c r="D1704" s="700" t="s">
        <v>2238</v>
      </c>
      <c r="E1704" s="701" t="s">
        <v>9577</v>
      </c>
      <c r="F1704" s="566">
        <v>2</v>
      </c>
      <c r="G1704" s="662">
        <v>0</v>
      </c>
      <c r="H1704" s="662">
        <v>0</v>
      </c>
      <c r="I1704" s="662">
        <v>0</v>
      </c>
      <c r="J1704" s="662">
        <v>24846.629202043838</v>
      </c>
      <c r="K1704" s="566" t="s">
        <v>4892</v>
      </c>
      <c r="L1704" s="549"/>
      <c r="M1704" s="540"/>
      <c r="O1704" s="540"/>
      <c r="S1704" s="550"/>
      <c r="T1704" s="547"/>
      <c r="U1704" s="547"/>
      <c r="V1704" s="547"/>
      <c r="W1704" s="549"/>
    </row>
    <row r="1705" spans="1:23">
      <c r="A1705" s="565">
        <v>2399</v>
      </c>
      <c r="B1705" s="696" t="s">
        <v>7109</v>
      </c>
      <c r="C1705" s="566">
        <f t="shared" si="26"/>
        <v>2399</v>
      </c>
      <c r="D1705" s="700" t="s">
        <v>2238</v>
      </c>
      <c r="E1705" s="701" t="s">
        <v>9578</v>
      </c>
      <c r="F1705" s="566">
        <v>2</v>
      </c>
      <c r="G1705" s="662">
        <v>0</v>
      </c>
      <c r="H1705" s="662">
        <v>0</v>
      </c>
      <c r="I1705" s="662">
        <v>0</v>
      </c>
      <c r="J1705" s="662">
        <v>27050.577720837809</v>
      </c>
      <c r="K1705" s="566" t="s">
        <v>4893</v>
      </c>
      <c r="L1705" s="549"/>
      <c r="M1705" s="540"/>
      <c r="O1705" s="540"/>
      <c r="S1705" s="550"/>
      <c r="T1705" s="547"/>
      <c r="U1705" s="547"/>
      <c r="V1705" s="547"/>
      <c r="W1705" s="549"/>
    </row>
    <row r="1706" spans="1:23">
      <c r="A1706" s="565">
        <v>2400</v>
      </c>
      <c r="B1706" s="696" t="s">
        <v>7110</v>
      </c>
      <c r="C1706" s="566">
        <f t="shared" si="26"/>
        <v>2400</v>
      </c>
      <c r="D1706" s="700" t="s">
        <v>2238</v>
      </c>
      <c r="E1706" s="701" t="s">
        <v>9579</v>
      </c>
      <c r="F1706" s="566">
        <v>2</v>
      </c>
      <c r="G1706" s="662">
        <v>0</v>
      </c>
      <c r="H1706" s="662">
        <v>0</v>
      </c>
      <c r="I1706" s="662">
        <v>0</v>
      </c>
      <c r="J1706" s="662">
        <v>27559.982178611397</v>
      </c>
      <c r="K1706" s="566" t="s">
        <v>4894</v>
      </c>
      <c r="L1706" s="549"/>
      <c r="M1706" s="540"/>
      <c r="O1706" s="540"/>
      <c r="S1706" s="550"/>
      <c r="T1706" s="547"/>
      <c r="U1706" s="547"/>
      <c r="V1706" s="547"/>
      <c r="W1706" s="549"/>
    </row>
    <row r="1707" spans="1:23">
      <c r="A1707" s="565">
        <v>2401</v>
      </c>
      <c r="B1707" s="696" t="s">
        <v>7111</v>
      </c>
      <c r="C1707" s="566">
        <f t="shared" si="26"/>
        <v>2401</v>
      </c>
      <c r="D1707" s="700" t="s">
        <v>2238</v>
      </c>
      <c r="E1707" s="701" t="s">
        <v>9580</v>
      </c>
      <c r="F1707" s="566">
        <v>2</v>
      </c>
      <c r="G1707" s="662">
        <v>0</v>
      </c>
      <c r="H1707" s="662">
        <v>0</v>
      </c>
      <c r="I1707" s="662">
        <v>0</v>
      </c>
      <c r="J1707" s="662">
        <v>27509.041732834037</v>
      </c>
      <c r="K1707" s="566" t="s">
        <v>4895</v>
      </c>
      <c r="L1707" s="549"/>
      <c r="M1707" s="540"/>
      <c r="O1707" s="540"/>
      <c r="S1707" s="550"/>
      <c r="T1707" s="547"/>
      <c r="U1707" s="547"/>
      <c r="V1707" s="547"/>
      <c r="W1707" s="549"/>
    </row>
    <row r="1708" spans="1:23">
      <c r="A1708" s="565">
        <v>2402</v>
      </c>
      <c r="B1708" s="696" t="s">
        <v>7112</v>
      </c>
      <c r="C1708" s="566">
        <f t="shared" si="26"/>
        <v>2402</v>
      </c>
      <c r="D1708" s="700" t="s">
        <v>2238</v>
      </c>
      <c r="E1708" s="701" t="s">
        <v>9581</v>
      </c>
      <c r="F1708" s="566">
        <v>2</v>
      </c>
      <c r="G1708" s="662">
        <v>0</v>
      </c>
      <c r="H1708" s="662">
        <v>0</v>
      </c>
      <c r="I1708" s="662">
        <v>0</v>
      </c>
      <c r="J1708" s="662">
        <v>24797.873490328086</v>
      </c>
      <c r="K1708" s="566" t="s">
        <v>4896</v>
      </c>
      <c r="L1708" s="549"/>
      <c r="M1708" s="540"/>
      <c r="O1708" s="540"/>
      <c r="S1708" s="550"/>
      <c r="T1708" s="547"/>
      <c r="U1708" s="547"/>
      <c r="V1708" s="547"/>
      <c r="W1708" s="549"/>
    </row>
    <row r="1709" spans="1:23">
      <c r="A1709" s="565">
        <v>2403</v>
      </c>
      <c r="B1709" s="696" t="s">
        <v>7113</v>
      </c>
      <c r="C1709" s="566">
        <f t="shared" si="26"/>
        <v>2403</v>
      </c>
      <c r="D1709" s="700" t="s">
        <v>2238</v>
      </c>
      <c r="E1709" s="701" t="s">
        <v>9582</v>
      </c>
      <c r="F1709" s="566">
        <v>2</v>
      </c>
      <c r="G1709" s="662">
        <v>0</v>
      </c>
      <c r="H1709" s="662">
        <v>0</v>
      </c>
      <c r="I1709" s="662">
        <v>0</v>
      </c>
      <c r="J1709" s="662">
        <v>23487.563737967288</v>
      </c>
      <c r="K1709" s="566" t="s">
        <v>4897</v>
      </c>
      <c r="L1709" s="549"/>
      <c r="M1709" s="540"/>
      <c r="O1709" s="540"/>
      <c r="S1709" s="550"/>
      <c r="T1709" s="547"/>
      <c r="U1709" s="547"/>
      <c r="V1709" s="547"/>
      <c r="W1709" s="549"/>
    </row>
    <row r="1710" spans="1:23">
      <c r="A1710" s="565">
        <v>2404</v>
      </c>
      <c r="B1710" s="696" t="s">
        <v>7114</v>
      </c>
      <c r="C1710" s="566">
        <f t="shared" si="26"/>
        <v>2404</v>
      </c>
      <c r="D1710" s="700" t="s">
        <v>2238</v>
      </c>
      <c r="E1710" s="701" t="s">
        <v>9583</v>
      </c>
      <c r="F1710" s="566">
        <v>2</v>
      </c>
      <c r="G1710" s="662">
        <v>0</v>
      </c>
      <c r="H1710" s="662">
        <v>0</v>
      </c>
      <c r="I1710" s="662">
        <v>0</v>
      </c>
      <c r="J1710" s="662">
        <v>25029.463120977896</v>
      </c>
      <c r="K1710" s="566" t="s">
        <v>4898</v>
      </c>
      <c r="L1710" s="549"/>
      <c r="M1710" s="540"/>
      <c r="O1710" s="540"/>
      <c r="S1710" s="550"/>
      <c r="T1710" s="547"/>
      <c r="U1710" s="547"/>
      <c r="V1710" s="547"/>
      <c r="W1710" s="549"/>
    </row>
    <row r="1711" spans="1:23">
      <c r="A1711" s="565">
        <v>2405</v>
      </c>
      <c r="B1711" s="696" t="s">
        <v>7115</v>
      </c>
      <c r="C1711" s="566">
        <f t="shared" si="26"/>
        <v>2405</v>
      </c>
      <c r="D1711" s="700" t="s">
        <v>2238</v>
      </c>
      <c r="E1711" s="701" t="s">
        <v>9584</v>
      </c>
      <c r="F1711" s="566">
        <v>2</v>
      </c>
      <c r="G1711" s="662">
        <v>0</v>
      </c>
      <c r="H1711" s="662">
        <v>0</v>
      </c>
      <c r="I1711" s="662">
        <v>0</v>
      </c>
      <c r="J1711" s="662">
        <v>27757.376405998664</v>
      </c>
      <c r="K1711" s="566" t="s">
        <v>4899</v>
      </c>
      <c r="L1711" s="549"/>
      <c r="M1711" s="540"/>
      <c r="O1711" s="540"/>
      <c r="S1711" s="550"/>
      <c r="T1711" s="547"/>
      <c r="U1711" s="547"/>
      <c r="V1711" s="547"/>
      <c r="W1711" s="549"/>
    </row>
    <row r="1712" spans="1:23">
      <c r="A1712" s="565">
        <v>2406</v>
      </c>
      <c r="B1712" s="696" t="s">
        <v>7116</v>
      </c>
      <c r="C1712" s="566">
        <f t="shared" si="26"/>
        <v>2406</v>
      </c>
      <c r="D1712" s="700" t="s">
        <v>2238</v>
      </c>
      <c r="E1712" s="701" t="s">
        <v>9585</v>
      </c>
      <c r="F1712" s="566">
        <v>2</v>
      </c>
      <c r="G1712" s="662">
        <v>0</v>
      </c>
      <c r="H1712" s="662">
        <v>0</v>
      </c>
      <c r="I1712" s="662">
        <v>0</v>
      </c>
      <c r="J1712" s="662">
        <v>26108.179473956669</v>
      </c>
      <c r="K1712" s="566" t="s">
        <v>4900</v>
      </c>
      <c r="L1712" s="549"/>
      <c r="M1712" s="540"/>
      <c r="O1712" s="540"/>
      <c r="S1712" s="550"/>
      <c r="T1712" s="547"/>
      <c r="U1712" s="547"/>
      <c r="V1712" s="547"/>
      <c r="W1712" s="549"/>
    </row>
    <row r="1713" spans="1:23">
      <c r="A1713" s="565">
        <v>2407</v>
      </c>
      <c r="B1713" s="695" t="s">
        <v>7117</v>
      </c>
      <c r="C1713" s="566">
        <f t="shared" si="26"/>
        <v>2407</v>
      </c>
      <c r="D1713" s="699" t="s">
        <v>2238</v>
      </c>
      <c r="E1713" s="701" t="s">
        <v>9586</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7118</v>
      </c>
      <c r="C1714" s="566">
        <f t="shared" si="26"/>
        <v>2408</v>
      </c>
      <c r="D1714" s="699" t="s">
        <v>2238</v>
      </c>
      <c r="E1714" s="701" t="s">
        <v>9587</v>
      </c>
      <c r="F1714" s="567">
        <v>1</v>
      </c>
      <c r="G1714" s="662">
        <v>27543.613947768841</v>
      </c>
      <c r="H1714" s="662">
        <v>0</v>
      </c>
      <c r="I1714" s="662">
        <v>0</v>
      </c>
      <c r="J1714" s="662">
        <v>0</v>
      </c>
      <c r="K1714" s="568" t="s">
        <v>5313</v>
      </c>
      <c r="L1714" s="549"/>
      <c r="M1714" s="540"/>
      <c r="O1714" s="540"/>
      <c r="S1714" s="550"/>
      <c r="T1714" s="547"/>
      <c r="U1714" s="547"/>
      <c r="V1714" s="547"/>
      <c r="W1714" s="549"/>
    </row>
    <row r="1715" spans="1:23">
      <c r="A1715" s="565">
        <v>2409</v>
      </c>
      <c r="B1715" s="696" t="s">
        <v>7119</v>
      </c>
      <c r="C1715" s="566">
        <f t="shared" si="26"/>
        <v>2409</v>
      </c>
      <c r="D1715" s="700" t="s">
        <v>2238</v>
      </c>
      <c r="E1715" s="701" t="s">
        <v>9588</v>
      </c>
      <c r="F1715" s="566">
        <v>1</v>
      </c>
      <c r="G1715" s="662">
        <v>30515.393605113575</v>
      </c>
      <c r="H1715" s="662">
        <v>0</v>
      </c>
      <c r="I1715" s="662">
        <v>0</v>
      </c>
      <c r="J1715" s="662">
        <v>0</v>
      </c>
      <c r="K1715" s="566" t="s">
        <v>5314</v>
      </c>
      <c r="L1715" s="549"/>
      <c r="M1715" s="540"/>
      <c r="O1715" s="540"/>
      <c r="S1715" s="550"/>
      <c r="T1715" s="547"/>
      <c r="U1715" s="547"/>
      <c r="V1715" s="547"/>
      <c r="W1715" s="549"/>
    </row>
    <row r="1716" spans="1:23">
      <c r="A1716" s="565">
        <v>2410</v>
      </c>
      <c r="B1716" s="696" t="s">
        <v>7120</v>
      </c>
      <c r="C1716" s="566">
        <f t="shared" si="26"/>
        <v>2410</v>
      </c>
      <c r="D1716" s="700" t="s">
        <v>2238</v>
      </c>
      <c r="E1716" s="701" t="s">
        <v>9589</v>
      </c>
      <c r="F1716" s="566">
        <v>1</v>
      </c>
      <c r="G1716" s="662">
        <v>0</v>
      </c>
      <c r="H1716" s="662">
        <v>0</v>
      </c>
      <c r="I1716" s="662">
        <v>0</v>
      </c>
      <c r="J1716" s="662">
        <v>23021.653306037402</v>
      </c>
      <c r="K1716" s="566" t="s">
        <v>4901</v>
      </c>
      <c r="L1716" s="549"/>
      <c r="M1716" s="540"/>
      <c r="O1716" s="540"/>
      <c r="S1716" s="550"/>
      <c r="T1716" s="547"/>
      <c r="U1716" s="547"/>
      <c r="V1716" s="547"/>
      <c r="W1716" s="549"/>
    </row>
    <row r="1717" spans="1:23">
      <c r="A1717" s="565">
        <v>2411</v>
      </c>
      <c r="B1717" s="696" t="s">
        <v>7121</v>
      </c>
      <c r="C1717" s="566">
        <f t="shared" si="26"/>
        <v>2411</v>
      </c>
      <c r="D1717" s="700" t="s">
        <v>2238</v>
      </c>
      <c r="E1717" s="701" t="s">
        <v>9590</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7122</v>
      </c>
      <c r="C1718" s="566">
        <f t="shared" si="26"/>
        <v>2412</v>
      </c>
      <c r="D1718" s="700" t="s">
        <v>2238</v>
      </c>
      <c r="E1718" s="701" t="s">
        <v>9591</v>
      </c>
      <c r="F1718" s="566">
        <v>1</v>
      </c>
      <c r="G1718" s="662">
        <v>25640.856215017964</v>
      </c>
      <c r="H1718" s="662">
        <v>0</v>
      </c>
      <c r="I1718" s="662">
        <v>0</v>
      </c>
      <c r="J1718" s="662">
        <v>0</v>
      </c>
      <c r="K1718" s="566" t="s">
        <v>5315</v>
      </c>
      <c r="L1718" s="549"/>
      <c r="M1718" s="540"/>
      <c r="O1718" s="540"/>
      <c r="S1718" s="550"/>
      <c r="T1718" s="547"/>
      <c r="U1718" s="547"/>
      <c r="V1718" s="547"/>
      <c r="W1718" s="549"/>
    </row>
    <row r="1719" spans="1:23">
      <c r="A1719" s="565">
        <v>2413</v>
      </c>
      <c r="B1719" s="696" t="s">
        <v>7123</v>
      </c>
      <c r="C1719" s="566">
        <f t="shared" si="26"/>
        <v>2413</v>
      </c>
      <c r="D1719" s="700" t="s">
        <v>2238</v>
      </c>
      <c r="E1719" s="701" t="s">
        <v>9592</v>
      </c>
      <c r="F1719" s="566">
        <v>1</v>
      </c>
      <c r="G1719" s="662">
        <v>23931.377797632336</v>
      </c>
      <c r="H1719" s="662">
        <v>0</v>
      </c>
      <c r="I1719" s="662">
        <v>0</v>
      </c>
      <c r="J1719" s="662">
        <v>0</v>
      </c>
      <c r="K1719" s="566" t="s">
        <v>5316</v>
      </c>
      <c r="L1719" s="549"/>
      <c r="M1719" s="540"/>
      <c r="O1719" s="540"/>
      <c r="S1719" s="550"/>
      <c r="T1719" s="547"/>
      <c r="U1719" s="547"/>
      <c r="V1719" s="547"/>
      <c r="W1719" s="549"/>
    </row>
    <row r="1720" spans="1:23">
      <c r="A1720" s="565">
        <v>2414</v>
      </c>
      <c r="B1720" s="695" t="s">
        <v>7124</v>
      </c>
      <c r="C1720" s="566">
        <f t="shared" si="26"/>
        <v>2414</v>
      </c>
      <c r="D1720" s="699" t="s">
        <v>2238</v>
      </c>
      <c r="E1720" s="701" t="s">
        <v>9593</v>
      </c>
      <c r="F1720" s="567">
        <v>1</v>
      </c>
      <c r="G1720" s="662">
        <v>19977.731579403116</v>
      </c>
      <c r="H1720" s="662">
        <v>0</v>
      </c>
      <c r="I1720" s="662">
        <v>0</v>
      </c>
      <c r="J1720" s="662">
        <v>0</v>
      </c>
      <c r="K1720" s="568" t="s">
        <v>5317</v>
      </c>
      <c r="L1720" s="549"/>
      <c r="M1720" s="540"/>
      <c r="O1720" s="540"/>
      <c r="S1720" s="550"/>
      <c r="T1720" s="547"/>
      <c r="U1720" s="547"/>
      <c r="V1720" s="547"/>
      <c r="W1720" s="549"/>
    </row>
    <row r="1721" spans="1:23">
      <c r="A1721" s="565">
        <v>2415</v>
      </c>
      <c r="B1721" s="695" t="s">
        <v>7125</v>
      </c>
      <c r="C1721" s="566">
        <f t="shared" si="26"/>
        <v>2415</v>
      </c>
      <c r="D1721" s="699" t="s">
        <v>2238</v>
      </c>
      <c r="E1721" s="701" t="s">
        <v>9594</v>
      </c>
      <c r="F1721" s="567">
        <v>1</v>
      </c>
      <c r="G1721" s="662">
        <v>21495.427387986558</v>
      </c>
      <c r="H1721" s="662">
        <v>0</v>
      </c>
      <c r="I1721" s="662">
        <v>0</v>
      </c>
      <c r="J1721" s="662">
        <v>0</v>
      </c>
      <c r="K1721" s="568" t="s">
        <v>5318</v>
      </c>
      <c r="L1721" s="549"/>
      <c r="M1721" s="540"/>
      <c r="O1721" s="540"/>
      <c r="S1721" s="550"/>
      <c r="T1721" s="547"/>
      <c r="U1721" s="547"/>
      <c r="V1721" s="547"/>
      <c r="W1721" s="549"/>
    </row>
    <row r="1722" spans="1:23">
      <c r="A1722" s="565">
        <v>2416</v>
      </c>
      <c r="B1722" s="695" t="s">
        <v>7126</v>
      </c>
      <c r="C1722" s="566">
        <f t="shared" si="26"/>
        <v>2416</v>
      </c>
      <c r="D1722" s="699" t="s">
        <v>2238</v>
      </c>
      <c r="E1722" s="701" t="s">
        <v>9595</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7127</v>
      </c>
      <c r="C1723" s="566">
        <f t="shared" si="26"/>
        <v>2417</v>
      </c>
      <c r="D1723" s="699" t="s">
        <v>2238</v>
      </c>
      <c r="E1723" s="701" t="s">
        <v>9596</v>
      </c>
      <c r="F1723" s="567">
        <v>1</v>
      </c>
      <c r="G1723" s="662">
        <v>21604.045697815589</v>
      </c>
      <c r="H1723" s="662">
        <v>0</v>
      </c>
      <c r="I1723" s="662">
        <v>0</v>
      </c>
      <c r="J1723" s="662">
        <v>0</v>
      </c>
      <c r="K1723" s="568" t="s">
        <v>5319</v>
      </c>
      <c r="L1723" s="549"/>
      <c r="M1723" s="540"/>
      <c r="O1723" s="540"/>
      <c r="S1723" s="550"/>
      <c r="T1723" s="547"/>
      <c r="U1723" s="547"/>
      <c r="V1723" s="547"/>
      <c r="W1723" s="549"/>
    </row>
    <row r="1724" spans="1:23">
      <c r="A1724" s="565">
        <v>2418</v>
      </c>
      <c r="B1724" s="696" t="s">
        <v>7128</v>
      </c>
      <c r="C1724" s="566">
        <f t="shared" si="26"/>
        <v>2418</v>
      </c>
      <c r="D1724" s="700" t="s">
        <v>2238</v>
      </c>
      <c r="E1724" s="701" t="s">
        <v>9597</v>
      </c>
      <c r="F1724" s="566">
        <v>1</v>
      </c>
      <c r="G1724" s="662">
        <v>23356.193241452362</v>
      </c>
      <c r="H1724" s="662">
        <v>0</v>
      </c>
      <c r="I1724" s="662">
        <v>0</v>
      </c>
      <c r="J1724" s="662">
        <v>0</v>
      </c>
      <c r="K1724" s="566" t="s">
        <v>5320</v>
      </c>
      <c r="L1724" s="549"/>
      <c r="M1724" s="540"/>
      <c r="O1724" s="540"/>
      <c r="S1724" s="550"/>
      <c r="T1724" s="547"/>
      <c r="U1724" s="547"/>
      <c r="V1724" s="547"/>
      <c r="W1724" s="549"/>
    </row>
    <row r="1725" spans="1:23">
      <c r="A1725" s="565">
        <v>2419</v>
      </c>
      <c r="B1725" s="696" t="s">
        <v>7129</v>
      </c>
      <c r="C1725" s="566">
        <f t="shared" si="26"/>
        <v>2419</v>
      </c>
      <c r="D1725" s="700" t="s">
        <v>2238</v>
      </c>
      <c r="E1725" s="701" t="s">
        <v>9598</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7130</v>
      </c>
      <c r="C1726" s="566">
        <f t="shared" si="26"/>
        <v>2420</v>
      </c>
      <c r="D1726" s="700" t="s">
        <v>2238</v>
      </c>
      <c r="E1726" s="701" t="s">
        <v>9599</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7131</v>
      </c>
      <c r="C1727" s="566">
        <f t="shared" si="26"/>
        <v>2421</v>
      </c>
      <c r="D1727" s="699" t="s">
        <v>2238</v>
      </c>
      <c r="E1727" s="701" t="s">
        <v>9600</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7132</v>
      </c>
      <c r="C1728" s="566">
        <f t="shared" si="26"/>
        <v>2422</v>
      </c>
      <c r="D1728" s="699" t="s">
        <v>2238</v>
      </c>
      <c r="E1728" s="701" t="s">
        <v>9601</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7133</v>
      </c>
      <c r="C1729" s="566">
        <f t="shared" si="26"/>
        <v>2423</v>
      </c>
      <c r="D1729" s="700" t="s">
        <v>2238</v>
      </c>
      <c r="E1729" s="701" t="s">
        <v>9602</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7134</v>
      </c>
      <c r="C1730" s="566">
        <f t="shared" si="26"/>
        <v>2424</v>
      </c>
      <c r="D1730" s="700" t="s">
        <v>2238</v>
      </c>
      <c r="E1730" s="701" t="s">
        <v>9603</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7135</v>
      </c>
      <c r="C1731" s="566">
        <f t="shared" si="26"/>
        <v>2425</v>
      </c>
      <c r="D1731" s="700" t="s">
        <v>2238</v>
      </c>
      <c r="E1731" s="701" t="s">
        <v>9604</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7136</v>
      </c>
      <c r="C1732" s="566">
        <f t="shared" si="26"/>
        <v>2426</v>
      </c>
      <c r="D1732" s="700" t="s">
        <v>2238</v>
      </c>
      <c r="E1732" s="701" t="s">
        <v>9605</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7137</v>
      </c>
      <c r="C1733" s="566">
        <f t="shared" si="26"/>
        <v>2427</v>
      </c>
      <c r="D1733" s="699" t="s">
        <v>2238</v>
      </c>
      <c r="E1733" s="701" t="s">
        <v>9606</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7138</v>
      </c>
      <c r="C1734" s="566">
        <f t="shared" si="26"/>
        <v>2428</v>
      </c>
      <c r="D1734" s="699" t="s">
        <v>2238</v>
      </c>
      <c r="E1734" s="701" t="s">
        <v>9607</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7139</v>
      </c>
      <c r="C1735" s="566">
        <f t="shared" si="26"/>
        <v>2429</v>
      </c>
      <c r="D1735" s="700" t="s">
        <v>2238</v>
      </c>
      <c r="E1735" s="701" t="s">
        <v>9608</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7140</v>
      </c>
      <c r="C1736" s="566">
        <f t="shared" si="26"/>
        <v>2430</v>
      </c>
      <c r="D1736" s="700" t="s">
        <v>2238</v>
      </c>
      <c r="E1736" s="701" t="s">
        <v>9609</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7141</v>
      </c>
      <c r="C1737" s="566">
        <f t="shared" ref="C1737:C1800" si="27">A1737</f>
        <v>2431</v>
      </c>
      <c r="D1737" s="700" t="s">
        <v>2238</v>
      </c>
      <c r="E1737" s="701" t="s">
        <v>9610</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7142</v>
      </c>
      <c r="C1738" s="566">
        <f t="shared" si="27"/>
        <v>2432</v>
      </c>
      <c r="D1738" s="700" t="s">
        <v>2238</v>
      </c>
      <c r="E1738" s="701" t="s">
        <v>9611</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7143</v>
      </c>
      <c r="C1739" s="566">
        <f t="shared" si="27"/>
        <v>2433</v>
      </c>
      <c r="D1739" s="700" t="s">
        <v>2238</v>
      </c>
      <c r="E1739" s="701" t="s">
        <v>9612</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7144</v>
      </c>
      <c r="C1740" s="566">
        <f t="shared" si="27"/>
        <v>2434</v>
      </c>
      <c r="D1740" s="700" t="s">
        <v>2238</v>
      </c>
      <c r="E1740" s="701" t="s">
        <v>9613</v>
      </c>
      <c r="F1740" s="566">
        <v>1</v>
      </c>
      <c r="G1740" s="662">
        <v>16384.271916446651</v>
      </c>
      <c r="H1740" s="662">
        <v>0</v>
      </c>
      <c r="I1740" s="662">
        <v>0</v>
      </c>
      <c r="J1740" s="662">
        <v>0</v>
      </c>
      <c r="K1740" s="566" t="s">
        <v>5321</v>
      </c>
      <c r="L1740" s="549"/>
      <c r="M1740" s="540"/>
      <c r="O1740" s="540"/>
      <c r="S1740" s="550"/>
      <c r="T1740" s="547"/>
      <c r="U1740" s="547"/>
      <c r="V1740" s="547"/>
      <c r="W1740" s="549"/>
    </row>
    <row r="1741" spans="1:23">
      <c r="A1741" s="565">
        <v>2435</v>
      </c>
      <c r="B1741" s="695" t="s">
        <v>7145</v>
      </c>
      <c r="C1741" s="566">
        <f t="shared" si="27"/>
        <v>2435</v>
      </c>
      <c r="D1741" s="699" t="s">
        <v>2238</v>
      </c>
      <c r="E1741" s="701" t="s">
        <v>9614</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7146</v>
      </c>
      <c r="C1742" s="566">
        <f t="shared" si="27"/>
        <v>2436</v>
      </c>
      <c r="D1742" s="699" t="s">
        <v>2238</v>
      </c>
      <c r="E1742" s="701" t="s">
        <v>9615</v>
      </c>
      <c r="F1742" s="567">
        <v>1</v>
      </c>
      <c r="G1742" s="662">
        <v>17543.72407055449</v>
      </c>
      <c r="H1742" s="662">
        <v>0</v>
      </c>
      <c r="I1742" s="662">
        <v>0</v>
      </c>
      <c r="J1742" s="662">
        <v>0</v>
      </c>
      <c r="K1742" s="568" t="s">
        <v>5322</v>
      </c>
      <c r="L1742" s="549"/>
      <c r="M1742" s="540"/>
      <c r="O1742" s="540"/>
      <c r="S1742" s="550"/>
      <c r="T1742" s="547"/>
      <c r="U1742" s="547"/>
      <c r="V1742" s="547"/>
      <c r="W1742" s="549"/>
    </row>
    <row r="1743" spans="1:23">
      <c r="A1743" s="565">
        <v>2437</v>
      </c>
      <c r="B1743" s="696" t="s">
        <v>7147</v>
      </c>
      <c r="C1743" s="566">
        <f t="shared" si="27"/>
        <v>2437</v>
      </c>
      <c r="D1743" s="700" t="s">
        <v>2238</v>
      </c>
      <c r="E1743" s="701" t="s">
        <v>9616</v>
      </c>
      <c r="F1743" s="566">
        <v>1</v>
      </c>
      <c r="G1743" s="662">
        <v>18404.036480694383</v>
      </c>
      <c r="H1743" s="662">
        <v>0</v>
      </c>
      <c r="I1743" s="662">
        <v>0</v>
      </c>
      <c r="J1743" s="662">
        <v>0</v>
      </c>
      <c r="K1743" s="566" t="s">
        <v>5323</v>
      </c>
      <c r="L1743" s="549"/>
      <c r="M1743" s="540"/>
      <c r="O1743" s="540"/>
      <c r="S1743" s="550"/>
      <c r="T1743" s="547"/>
      <c r="U1743" s="547"/>
      <c r="V1743" s="547"/>
      <c r="W1743" s="549"/>
    </row>
    <row r="1744" spans="1:23">
      <c r="A1744" s="565">
        <v>2438</v>
      </c>
      <c r="B1744" s="696" t="s">
        <v>7148</v>
      </c>
      <c r="C1744" s="566">
        <f t="shared" si="27"/>
        <v>2438</v>
      </c>
      <c r="D1744" s="700" t="s">
        <v>2238</v>
      </c>
      <c r="E1744" s="701" t="s">
        <v>9617</v>
      </c>
      <c r="F1744" s="566">
        <v>1</v>
      </c>
      <c r="G1744" s="662">
        <v>19554.857993854323</v>
      </c>
      <c r="H1744" s="662">
        <v>0</v>
      </c>
      <c r="I1744" s="662">
        <v>0</v>
      </c>
      <c r="J1744" s="662">
        <v>0</v>
      </c>
      <c r="K1744" s="566" t="s">
        <v>5324</v>
      </c>
      <c r="L1744" s="549"/>
      <c r="M1744" s="540"/>
      <c r="O1744" s="540"/>
      <c r="S1744" s="550"/>
      <c r="T1744" s="547"/>
      <c r="U1744" s="547"/>
      <c r="V1744" s="547"/>
      <c r="W1744" s="549"/>
    </row>
    <row r="1745" spans="1:23">
      <c r="A1745" s="565">
        <v>2439</v>
      </c>
      <c r="B1745" s="695" t="s">
        <v>7149</v>
      </c>
      <c r="C1745" s="566">
        <f t="shared" si="27"/>
        <v>2439</v>
      </c>
      <c r="D1745" s="699" t="s">
        <v>2238</v>
      </c>
      <c r="E1745" s="701" t="s">
        <v>9618</v>
      </c>
      <c r="F1745" s="567">
        <v>1</v>
      </c>
      <c r="G1745" s="662">
        <v>0</v>
      </c>
      <c r="H1745" s="662">
        <v>0</v>
      </c>
      <c r="I1745" s="662">
        <v>17684.124260219203</v>
      </c>
      <c r="J1745" s="662">
        <v>18207.424008503476</v>
      </c>
      <c r="K1745" s="568" t="s">
        <v>4132</v>
      </c>
      <c r="L1745" s="549"/>
      <c r="M1745" s="540"/>
      <c r="O1745" s="540"/>
      <c r="S1745" s="550"/>
      <c r="T1745" s="547"/>
      <c r="U1745" s="547"/>
      <c r="V1745" s="547"/>
      <c r="W1745" s="549"/>
    </row>
    <row r="1746" spans="1:23">
      <c r="A1746" s="565">
        <v>2440</v>
      </c>
      <c r="B1746" s="695" t="s">
        <v>7150</v>
      </c>
      <c r="C1746" s="566">
        <f t="shared" si="27"/>
        <v>2440</v>
      </c>
      <c r="D1746" s="699" t="s">
        <v>2238</v>
      </c>
      <c r="E1746" s="701" t="s">
        <v>9619</v>
      </c>
      <c r="F1746" s="567">
        <v>1</v>
      </c>
      <c r="G1746" s="662">
        <v>0</v>
      </c>
      <c r="H1746" s="662">
        <v>0</v>
      </c>
      <c r="I1746" s="662">
        <v>16788.216672413517</v>
      </c>
      <c r="J1746" s="662">
        <v>17281.060056154303</v>
      </c>
      <c r="K1746" s="568" t="s">
        <v>4133</v>
      </c>
      <c r="L1746" s="549"/>
      <c r="M1746" s="540"/>
      <c r="O1746" s="540"/>
      <c r="S1746" s="550"/>
      <c r="T1746" s="547"/>
      <c r="U1746" s="547"/>
      <c r="V1746" s="547"/>
      <c r="W1746" s="549"/>
    </row>
    <row r="1747" spans="1:23">
      <c r="A1747" s="565">
        <v>2441</v>
      </c>
      <c r="B1747" s="695" t="s">
        <v>7151</v>
      </c>
      <c r="C1747" s="566">
        <f t="shared" si="27"/>
        <v>2441</v>
      </c>
      <c r="D1747" s="699" t="s">
        <v>2238</v>
      </c>
      <c r="E1747" s="701" t="s">
        <v>9620</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7152</v>
      </c>
      <c r="C1748" s="566">
        <f t="shared" si="27"/>
        <v>2442</v>
      </c>
      <c r="D1748" s="699" t="s">
        <v>2238</v>
      </c>
      <c r="E1748" s="701" t="s">
        <v>9621</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7153</v>
      </c>
      <c r="C1749" s="566">
        <f t="shared" si="27"/>
        <v>2443</v>
      </c>
      <c r="D1749" s="700" t="s">
        <v>2238</v>
      </c>
      <c r="E1749" s="701" t="s">
        <v>9622</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7154</v>
      </c>
      <c r="C1750" s="566">
        <f t="shared" si="27"/>
        <v>2444</v>
      </c>
      <c r="D1750" s="700" t="s">
        <v>2238</v>
      </c>
      <c r="E1750" s="701" t="s">
        <v>9623</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7155</v>
      </c>
      <c r="C1751" s="566">
        <f t="shared" si="27"/>
        <v>2445</v>
      </c>
      <c r="D1751" s="700" t="s">
        <v>2238</v>
      </c>
      <c r="E1751" s="701" t="s">
        <v>9624</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7156</v>
      </c>
      <c r="C1752" s="566">
        <f t="shared" si="27"/>
        <v>2446</v>
      </c>
      <c r="D1752" s="700" t="s">
        <v>2238</v>
      </c>
      <c r="E1752" s="701" t="s">
        <v>9625</v>
      </c>
      <c r="F1752" s="566">
        <v>1</v>
      </c>
      <c r="G1752" s="662">
        <v>0</v>
      </c>
      <c r="H1752" s="662">
        <v>0</v>
      </c>
      <c r="I1752" s="662">
        <v>18963.109575224578</v>
      </c>
      <c r="J1752" s="662">
        <v>19529.899416110238</v>
      </c>
      <c r="K1752" s="566" t="s">
        <v>4134</v>
      </c>
      <c r="L1752" s="549"/>
      <c r="M1752" s="540"/>
      <c r="O1752" s="540"/>
      <c r="S1752" s="550"/>
      <c r="T1752" s="547"/>
      <c r="U1752" s="547"/>
      <c r="V1752" s="547"/>
      <c r="W1752" s="549"/>
    </row>
    <row r="1753" spans="1:23">
      <c r="A1753" s="565">
        <v>2447</v>
      </c>
      <c r="B1753" s="696" t="s">
        <v>7157</v>
      </c>
      <c r="C1753" s="566">
        <f t="shared" si="27"/>
        <v>2447</v>
      </c>
      <c r="D1753" s="700" t="s">
        <v>2238</v>
      </c>
      <c r="E1753" s="701" t="s">
        <v>9626</v>
      </c>
      <c r="F1753" s="566">
        <v>1</v>
      </c>
      <c r="G1753" s="662">
        <v>0</v>
      </c>
      <c r="H1753" s="662">
        <v>0</v>
      </c>
      <c r="I1753" s="662">
        <v>20025.841334552708</v>
      </c>
      <c r="J1753" s="662">
        <v>20628.717755843609</v>
      </c>
      <c r="K1753" s="566" t="s">
        <v>4135</v>
      </c>
      <c r="L1753" s="549"/>
      <c r="M1753" s="540"/>
      <c r="O1753" s="540"/>
      <c r="S1753" s="550"/>
      <c r="T1753" s="547"/>
      <c r="U1753" s="547"/>
      <c r="V1753" s="547"/>
      <c r="W1753" s="549"/>
    </row>
    <row r="1754" spans="1:23">
      <c r="A1754" s="565">
        <v>2448</v>
      </c>
      <c r="B1754" s="696" t="s">
        <v>7158</v>
      </c>
      <c r="C1754" s="566">
        <f t="shared" si="27"/>
        <v>2448</v>
      </c>
      <c r="D1754" s="700" t="s">
        <v>2238</v>
      </c>
      <c r="E1754" s="701" t="s">
        <v>9627</v>
      </c>
      <c r="F1754" s="566">
        <v>1</v>
      </c>
      <c r="G1754" s="662">
        <v>0</v>
      </c>
      <c r="H1754" s="662">
        <v>0</v>
      </c>
      <c r="I1754" s="662">
        <v>16584.32046277498</v>
      </c>
      <c r="J1754" s="662">
        <v>17070.247990811571</v>
      </c>
      <c r="K1754" s="566" t="s">
        <v>4136</v>
      </c>
      <c r="L1754" s="549"/>
      <c r="M1754" s="540"/>
      <c r="O1754" s="540"/>
      <c r="S1754" s="550"/>
      <c r="T1754" s="547"/>
      <c r="U1754" s="547"/>
      <c r="V1754" s="547"/>
      <c r="W1754" s="549"/>
    </row>
    <row r="1755" spans="1:23">
      <c r="A1755" s="565">
        <v>2449</v>
      </c>
      <c r="B1755" s="696" t="s">
        <v>7159</v>
      </c>
      <c r="C1755" s="566">
        <f t="shared" si="27"/>
        <v>2449</v>
      </c>
      <c r="D1755" s="700" t="s">
        <v>2238</v>
      </c>
      <c r="E1755" s="701" t="s">
        <v>9628</v>
      </c>
      <c r="F1755" s="566">
        <v>1</v>
      </c>
      <c r="G1755" s="662">
        <v>0</v>
      </c>
      <c r="H1755" s="662">
        <v>0</v>
      </c>
      <c r="I1755" s="662">
        <v>15873.773065549776</v>
      </c>
      <c r="J1755" s="662">
        <v>16335.539431030038</v>
      </c>
      <c r="K1755" s="566" t="s">
        <v>4137</v>
      </c>
      <c r="L1755" s="549"/>
      <c r="M1755" s="540"/>
      <c r="O1755" s="540"/>
      <c r="S1755" s="550"/>
      <c r="T1755" s="547"/>
      <c r="U1755" s="547"/>
      <c r="V1755" s="547"/>
      <c r="W1755" s="549"/>
    </row>
    <row r="1756" spans="1:23">
      <c r="A1756" s="565">
        <v>2450</v>
      </c>
      <c r="B1756" s="696" t="s">
        <v>7160</v>
      </c>
      <c r="C1756" s="566">
        <f t="shared" si="27"/>
        <v>2450</v>
      </c>
      <c r="D1756" s="700" t="s">
        <v>2238</v>
      </c>
      <c r="E1756" s="701" t="s">
        <v>9629</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7161</v>
      </c>
      <c r="C1757" s="566">
        <f t="shared" si="27"/>
        <v>2451</v>
      </c>
      <c r="D1757" s="700" t="s">
        <v>2238</v>
      </c>
      <c r="E1757" s="701" t="s">
        <v>9630</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7162</v>
      </c>
      <c r="C1758" s="566">
        <f t="shared" si="27"/>
        <v>2452</v>
      </c>
      <c r="D1758" s="700" t="s">
        <v>2238</v>
      </c>
      <c r="E1758" s="701" t="s">
        <v>9631</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7163</v>
      </c>
      <c r="C1759" s="566">
        <f t="shared" si="27"/>
        <v>2453</v>
      </c>
      <c r="D1759" s="700" t="s">
        <v>2238</v>
      </c>
      <c r="E1759" s="701" t="s">
        <v>9632</v>
      </c>
      <c r="F1759" s="566">
        <v>1</v>
      </c>
      <c r="G1759" s="662">
        <v>0</v>
      </c>
      <c r="H1759" s="662">
        <v>0</v>
      </c>
      <c r="I1759" s="662">
        <v>18345.242273289608</v>
      </c>
      <c r="J1759" s="662">
        <v>18891.018552612528</v>
      </c>
      <c r="K1759" s="566" t="s">
        <v>4138</v>
      </c>
      <c r="L1759" s="549"/>
      <c r="M1759" s="540"/>
      <c r="O1759" s="540"/>
      <c r="S1759" s="550"/>
      <c r="T1759" s="547"/>
      <c r="U1759" s="547"/>
      <c r="V1759" s="547"/>
      <c r="W1759" s="549"/>
    </row>
    <row r="1760" spans="1:23">
      <c r="A1760" s="565">
        <v>2454</v>
      </c>
      <c r="B1760" s="696" t="s">
        <v>7164</v>
      </c>
      <c r="C1760" s="566">
        <f t="shared" si="27"/>
        <v>2454</v>
      </c>
      <c r="D1760" s="700" t="s">
        <v>2238</v>
      </c>
      <c r="E1760" s="701" t="s">
        <v>9633</v>
      </c>
      <c r="F1760" s="566">
        <v>1</v>
      </c>
      <c r="G1760" s="662">
        <v>0</v>
      </c>
      <c r="H1760" s="662">
        <v>0</v>
      </c>
      <c r="I1760" s="662">
        <v>19401.7953595984</v>
      </c>
      <c r="J1760" s="662">
        <v>19983.480889693106</v>
      </c>
      <c r="K1760" s="566" t="s">
        <v>4139</v>
      </c>
      <c r="L1760" s="549"/>
      <c r="M1760" s="540"/>
      <c r="O1760" s="540"/>
      <c r="S1760" s="550"/>
      <c r="T1760" s="547"/>
      <c r="U1760" s="547"/>
      <c r="V1760" s="547"/>
      <c r="W1760" s="549"/>
    </row>
    <row r="1761" spans="1:23">
      <c r="A1761" s="565">
        <v>2455</v>
      </c>
      <c r="B1761" s="696" t="s">
        <v>7165</v>
      </c>
      <c r="C1761" s="566">
        <f t="shared" si="27"/>
        <v>2455</v>
      </c>
      <c r="D1761" s="700" t="s">
        <v>2238</v>
      </c>
      <c r="E1761" s="701" t="s">
        <v>9634</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7166</v>
      </c>
      <c r="C1762" s="566">
        <f t="shared" si="27"/>
        <v>2456</v>
      </c>
      <c r="D1762" s="700" t="s">
        <v>2238</v>
      </c>
      <c r="E1762" s="701" t="s">
        <v>9635</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7167</v>
      </c>
      <c r="C1763" s="566">
        <f t="shared" si="27"/>
        <v>2457</v>
      </c>
      <c r="D1763" s="700" t="s">
        <v>2238</v>
      </c>
      <c r="E1763" s="701" t="s">
        <v>9636</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7168</v>
      </c>
      <c r="C1764" s="566">
        <f t="shared" si="27"/>
        <v>2458</v>
      </c>
      <c r="D1764" s="700" t="s">
        <v>2238</v>
      </c>
      <c r="E1764" s="701" t="s">
        <v>9637</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7169</v>
      </c>
      <c r="C1765" s="566">
        <f t="shared" si="27"/>
        <v>2459</v>
      </c>
      <c r="D1765" s="700" t="s">
        <v>2238</v>
      </c>
      <c r="E1765" s="701" t="s">
        <v>9638</v>
      </c>
      <c r="F1765" s="566">
        <v>1</v>
      </c>
      <c r="G1765" s="662">
        <v>0</v>
      </c>
      <c r="H1765" s="662">
        <v>0</v>
      </c>
      <c r="I1765" s="662">
        <v>12995.354630882179</v>
      </c>
      <c r="J1765" s="662">
        <v>13325.316057331489</v>
      </c>
      <c r="K1765" s="566" t="s">
        <v>4140</v>
      </c>
      <c r="L1765" s="549"/>
      <c r="M1765" s="540"/>
      <c r="O1765" s="540"/>
      <c r="S1765" s="550"/>
      <c r="T1765" s="547"/>
      <c r="U1765" s="547"/>
      <c r="V1765" s="547"/>
      <c r="W1765" s="549"/>
    </row>
    <row r="1766" spans="1:23">
      <c r="A1766" s="565">
        <v>2460</v>
      </c>
      <c r="B1766" s="696" t="s">
        <v>7170</v>
      </c>
      <c r="C1766" s="566">
        <f t="shared" si="27"/>
        <v>2460</v>
      </c>
      <c r="D1766" s="700" t="s">
        <v>2238</v>
      </c>
      <c r="E1766" s="701" t="s">
        <v>9639</v>
      </c>
      <c r="F1766" s="566">
        <v>1</v>
      </c>
      <c r="G1766" s="662">
        <v>0</v>
      </c>
      <c r="H1766" s="662">
        <v>0</v>
      </c>
      <c r="I1766" s="662">
        <v>12204.226559703551</v>
      </c>
      <c r="J1766" s="662">
        <v>12509.815835335579</v>
      </c>
      <c r="K1766" s="566" t="s">
        <v>4141</v>
      </c>
      <c r="L1766" s="549"/>
      <c r="M1766" s="540"/>
      <c r="O1766" s="540"/>
      <c r="S1766" s="550"/>
      <c r="T1766" s="547"/>
      <c r="U1766" s="547"/>
      <c r="V1766" s="547"/>
      <c r="W1766" s="549"/>
    </row>
    <row r="1767" spans="1:23">
      <c r="A1767" s="565">
        <v>2461</v>
      </c>
      <c r="B1767" s="696" t="s">
        <v>7171</v>
      </c>
      <c r="C1767" s="566">
        <f t="shared" si="27"/>
        <v>2461</v>
      </c>
      <c r="D1767" s="700" t="s">
        <v>2238</v>
      </c>
      <c r="E1767" s="701" t="s">
        <v>9640</v>
      </c>
      <c r="F1767" s="566">
        <v>1</v>
      </c>
      <c r="G1767" s="662">
        <v>11424.037661952201</v>
      </c>
      <c r="H1767" s="662">
        <v>0</v>
      </c>
      <c r="I1767" s="662">
        <v>0</v>
      </c>
      <c r="J1767" s="662">
        <v>0</v>
      </c>
      <c r="K1767" s="566" t="s">
        <v>5325</v>
      </c>
      <c r="L1767" s="549"/>
      <c r="M1767" s="540"/>
      <c r="O1767" s="540"/>
      <c r="S1767" s="550"/>
      <c r="T1767" s="547"/>
      <c r="U1767" s="547"/>
      <c r="V1767" s="547"/>
      <c r="W1767" s="549"/>
    </row>
    <row r="1768" spans="1:23">
      <c r="A1768" s="565">
        <v>2462</v>
      </c>
      <c r="B1768" s="696" t="s">
        <v>7172</v>
      </c>
      <c r="C1768" s="566">
        <f t="shared" si="27"/>
        <v>2462</v>
      </c>
      <c r="D1768" s="700" t="s">
        <v>2238</v>
      </c>
      <c r="E1768" s="701" t="s">
        <v>9641</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7173</v>
      </c>
      <c r="C1769" s="566">
        <f t="shared" si="27"/>
        <v>2463</v>
      </c>
      <c r="D1769" s="700" t="s">
        <v>2238</v>
      </c>
      <c r="E1769" s="701" t="s">
        <v>9642</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7174</v>
      </c>
      <c r="C1770" s="566">
        <f t="shared" si="27"/>
        <v>2464</v>
      </c>
      <c r="D1770" s="700" t="s">
        <v>2238</v>
      </c>
      <c r="E1770" s="701" t="s">
        <v>9643</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7175</v>
      </c>
      <c r="C1771" s="566">
        <f t="shared" si="27"/>
        <v>2465</v>
      </c>
      <c r="D1771" s="700" t="s">
        <v>2238</v>
      </c>
      <c r="E1771" s="701" t="s">
        <v>9644</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7176</v>
      </c>
      <c r="C1772" s="566">
        <f t="shared" si="27"/>
        <v>2466</v>
      </c>
      <c r="D1772" s="699" t="s">
        <v>2238</v>
      </c>
      <c r="E1772" s="701" t="s">
        <v>9645</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7177</v>
      </c>
      <c r="C1773" s="566">
        <f t="shared" si="27"/>
        <v>2467</v>
      </c>
      <c r="D1773" s="700" t="s">
        <v>2238</v>
      </c>
      <c r="E1773" s="701" t="s">
        <v>9646</v>
      </c>
      <c r="F1773" s="566">
        <v>1</v>
      </c>
      <c r="G1773" s="662">
        <v>0</v>
      </c>
      <c r="H1773" s="662">
        <v>0</v>
      </c>
      <c r="I1773" s="662">
        <v>11633.484165496107</v>
      </c>
      <c r="J1773" s="662">
        <v>11921.501965878277</v>
      </c>
      <c r="K1773" s="566" t="s">
        <v>4142</v>
      </c>
      <c r="L1773" s="549"/>
      <c r="M1773" s="540"/>
      <c r="O1773" s="540"/>
      <c r="S1773" s="550"/>
      <c r="T1773" s="547"/>
      <c r="U1773" s="547"/>
      <c r="V1773" s="547"/>
      <c r="W1773" s="549"/>
    </row>
    <row r="1774" spans="1:23">
      <c r="A1774" s="565">
        <v>2468</v>
      </c>
      <c r="B1774" s="696" t="s">
        <v>7178</v>
      </c>
      <c r="C1774" s="566">
        <f t="shared" si="27"/>
        <v>2468</v>
      </c>
      <c r="D1774" s="700" t="s">
        <v>2238</v>
      </c>
      <c r="E1774" s="701" t="s">
        <v>9647</v>
      </c>
      <c r="F1774" s="566">
        <v>1</v>
      </c>
      <c r="G1774" s="662">
        <v>0</v>
      </c>
      <c r="H1774" s="662">
        <v>0</v>
      </c>
      <c r="I1774" s="662">
        <v>10814.101520346812</v>
      </c>
      <c r="J1774" s="662">
        <v>11076.864920108359</v>
      </c>
      <c r="K1774" s="566" t="s">
        <v>4143</v>
      </c>
      <c r="L1774" s="549"/>
      <c r="M1774" s="540"/>
      <c r="O1774" s="540"/>
      <c r="S1774" s="550"/>
      <c r="T1774" s="547"/>
      <c r="U1774" s="547"/>
      <c r="V1774" s="547"/>
      <c r="W1774" s="549"/>
    </row>
    <row r="1775" spans="1:23">
      <c r="A1775" s="565">
        <v>2469</v>
      </c>
      <c r="B1775" s="696" t="s">
        <v>7179</v>
      </c>
      <c r="C1775" s="566">
        <f t="shared" si="27"/>
        <v>2469</v>
      </c>
      <c r="D1775" s="700" t="s">
        <v>2238</v>
      </c>
      <c r="E1775" s="701" t="s">
        <v>9648</v>
      </c>
      <c r="F1775" s="566">
        <v>1</v>
      </c>
      <c r="G1775" s="662">
        <v>13559.158079370764</v>
      </c>
      <c r="H1775" s="662">
        <v>0</v>
      </c>
      <c r="I1775" s="662">
        <v>0</v>
      </c>
      <c r="J1775" s="662">
        <v>0</v>
      </c>
      <c r="K1775" s="566" t="s">
        <v>5326</v>
      </c>
      <c r="L1775" s="549"/>
      <c r="M1775" s="540"/>
      <c r="O1775" s="540"/>
      <c r="S1775" s="550"/>
      <c r="T1775" s="547"/>
      <c r="U1775" s="547"/>
      <c r="V1775" s="547"/>
      <c r="W1775" s="549"/>
    </row>
    <row r="1776" spans="1:23">
      <c r="A1776" s="565">
        <v>2470</v>
      </c>
      <c r="B1776" s="696" t="s">
        <v>7180</v>
      </c>
      <c r="C1776" s="566">
        <f t="shared" si="27"/>
        <v>2470</v>
      </c>
      <c r="D1776" s="700" t="s">
        <v>2238</v>
      </c>
      <c r="E1776" s="701" t="s">
        <v>9649</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7181</v>
      </c>
      <c r="C1777" s="566">
        <f t="shared" si="27"/>
        <v>2471</v>
      </c>
      <c r="D1777" s="700" t="s">
        <v>2238</v>
      </c>
      <c r="E1777" s="701" t="s">
        <v>9650</v>
      </c>
      <c r="F1777" s="566">
        <v>1</v>
      </c>
      <c r="G1777" s="662">
        <v>0</v>
      </c>
      <c r="H1777" s="662">
        <v>0</v>
      </c>
      <c r="I1777" s="662">
        <v>12187.27381532115</v>
      </c>
      <c r="J1777" s="662">
        <v>12492.348445234564</v>
      </c>
      <c r="K1777" s="566" t="s">
        <v>4144</v>
      </c>
      <c r="L1777" s="549"/>
      <c r="M1777" s="540"/>
      <c r="O1777" s="540"/>
      <c r="S1777" s="550"/>
      <c r="T1777" s="547"/>
      <c r="U1777" s="547"/>
      <c r="V1777" s="547"/>
      <c r="W1777" s="549"/>
    </row>
    <row r="1778" spans="1:23">
      <c r="A1778" s="565">
        <v>2472</v>
      </c>
      <c r="B1778" s="696" t="s">
        <v>7182</v>
      </c>
      <c r="C1778" s="566">
        <f t="shared" si="27"/>
        <v>2472</v>
      </c>
      <c r="D1778" s="700" t="s">
        <v>2238</v>
      </c>
      <c r="E1778" s="701" t="s">
        <v>9651</v>
      </c>
      <c r="F1778" s="566">
        <v>1</v>
      </c>
      <c r="G1778" s="662">
        <v>0</v>
      </c>
      <c r="H1778" s="662">
        <v>0</v>
      </c>
      <c r="I1778" s="662">
        <v>11396.145744142523</v>
      </c>
      <c r="J1778" s="662">
        <v>11676.811462830183</v>
      </c>
      <c r="K1778" s="566" t="s">
        <v>4145</v>
      </c>
      <c r="L1778" s="549"/>
      <c r="M1778" s="540"/>
      <c r="O1778" s="540"/>
      <c r="S1778" s="550"/>
      <c r="T1778" s="547"/>
      <c r="U1778" s="547"/>
      <c r="V1778" s="547"/>
      <c r="W1778" s="549"/>
    </row>
    <row r="1779" spans="1:23">
      <c r="A1779" s="565">
        <v>2473</v>
      </c>
      <c r="B1779" s="696" t="s">
        <v>7183</v>
      </c>
      <c r="C1779" s="566">
        <f t="shared" si="27"/>
        <v>2473</v>
      </c>
      <c r="D1779" s="700" t="s">
        <v>2238</v>
      </c>
      <c r="E1779" s="701" t="s">
        <v>9652</v>
      </c>
      <c r="F1779" s="566">
        <v>1</v>
      </c>
      <c r="G1779" s="662">
        <v>0</v>
      </c>
      <c r="H1779" s="662">
        <v>0</v>
      </c>
      <c r="I1779" s="662">
        <v>16566.732780774288</v>
      </c>
      <c r="J1779" s="662">
        <v>17006.754870190314</v>
      </c>
      <c r="K1779" s="566" t="s">
        <v>4146</v>
      </c>
      <c r="L1779" s="549"/>
      <c r="M1779" s="540"/>
      <c r="O1779" s="540"/>
      <c r="S1779" s="550"/>
      <c r="T1779" s="547"/>
      <c r="U1779" s="547"/>
      <c r="V1779" s="547"/>
      <c r="W1779" s="549"/>
    </row>
    <row r="1780" spans="1:23">
      <c r="A1780" s="565">
        <v>2474</v>
      </c>
      <c r="B1780" s="696" t="s">
        <v>7184</v>
      </c>
      <c r="C1780" s="566">
        <f t="shared" si="27"/>
        <v>2474</v>
      </c>
      <c r="D1780" s="700" t="s">
        <v>2238</v>
      </c>
      <c r="E1780" s="701" t="s">
        <v>9653</v>
      </c>
      <c r="F1780" s="566">
        <v>1</v>
      </c>
      <c r="G1780" s="662">
        <v>0</v>
      </c>
      <c r="H1780" s="662">
        <v>0</v>
      </c>
      <c r="I1780" s="662">
        <v>15945.132153419645</v>
      </c>
      <c r="J1780" s="662">
        <v>16366.002070021488</v>
      </c>
      <c r="K1780" s="566" t="s">
        <v>4147</v>
      </c>
      <c r="L1780" s="549"/>
      <c r="M1780" s="540"/>
      <c r="O1780" s="540"/>
      <c r="S1780" s="550"/>
      <c r="T1780" s="547"/>
      <c r="U1780" s="547"/>
      <c r="V1780" s="547"/>
      <c r="W1780" s="549"/>
    </row>
    <row r="1781" spans="1:23">
      <c r="A1781" s="565">
        <v>2475</v>
      </c>
      <c r="B1781" s="696" t="s">
        <v>7185</v>
      </c>
      <c r="C1781" s="566">
        <f t="shared" si="27"/>
        <v>2475</v>
      </c>
      <c r="D1781" s="700" t="s">
        <v>2238</v>
      </c>
      <c r="E1781" s="701" t="s">
        <v>9654</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7186</v>
      </c>
      <c r="C1782" s="566">
        <f t="shared" si="27"/>
        <v>2476</v>
      </c>
      <c r="D1782" s="700" t="s">
        <v>2238</v>
      </c>
      <c r="E1782" s="701" t="s">
        <v>9655</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7187</v>
      </c>
      <c r="C1783" s="566">
        <f t="shared" si="27"/>
        <v>2477</v>
      </c>
      <c r="D1783" s="700" t="s">
        <v>2238</v>
      </c>
      <c r="E1783" s="701" t="s">
        <v>9656</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7188</v>
      </c>
      <c r="C1784" s="566">
        <f t="shared" si="27"/>
        <v>2478</v>
      </c>
      <c r="D1784" s="700" t="s">
        <v>2238</v>
      </c>
      <c r="E1784" s="701" t="s">
        <v>9657</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7189</v>
      </c>
      <c r="C1785" s="566">
        <f t="shared" si="27"/>
        <v>2479</v>
      </c>
      <c r="D1785" s="699" t="s">
        <v>2238</v>
      </c>
      <c r="E1785" s="701" t="s">
        <v>9658</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7190</v>
      </c>
      <c r="C1786" s="566">
        <f t="shared" si="27"/>
        <v>2480</v>
      </c>
      <c r="D1786" s="699" t="s">
        <v>2238</v>
      </c>
      <c r="E1786" s="701" t="s">
        <v>9659</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7191</v>
      </c>
      <c r="C1787" s="566">
        <f t="shared" si="27"/>
        <v>2481</v>
      </c>
      <c r="D1787" s="700" t="s">
        <v>2238</v>
      </c>
      <c r="E1787" s="701" t="s">
        <v>9660</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7192</v>
      </c>
      <c r="C1788" s="566">
        <f t="shared" si="27"/>
        <v>2482</v>
      </c>
      <c r="D1788" s="700" t="s">
        <v>2238</v>
      </c>
      <c r="E1788" s="701" t="s">
        <v>9661</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7193</v>
      </c>
      <c r="C1789" s="566">
        <f t="shared" si="27"/>
        <v>2483</v>
      </c>
      <c r="D1789" s="700" t="s">
        <v>2238</v>
      </c>
      <c r="E1789" s="701" t="s">
        <v>9662</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7194</v>
      </c>
      <c r="C1790" s="566">
        <f t="shared" si="27"/>
        <v>2484</v>
      </c>
      <c r="D1790" s="700" t="s">
        <v>2238</v>
      </c>
      <c r="E1790" s="701" t="s">
        <v>9663</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7195</v>
      </c>
      <c r="C1791" s="566">
        <f t="shared" si="27"/>
        <v>2485</v>
      </c>
      <c r="D1791" s="700" t="s">
        <v>2238</v>
      </c>
      <c r="E1791" s="701" t="s">
        <v>9664</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7196</v>
      </c>
      <c r="C1792" s="566">
        <f t="shared" si="27"/>
        <v>2486</v>
      </c>
      <c r="D1792" s="700" t="s">
        <v>2238</v>
      </c>
      <c r="E1792" s="701" t="s">
        <v>9665</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7197</v>
      </c>
      <c r="C1793" s="566">
        <f t="shared" si="27"/>
        <v>2487</v>
      </c>
      <c r="D1793" s="700" t="s">
        <v>2238</v>
      </c>
      <c r="E1793" s="701" t="s">
        <v>9666</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7198</v>
      </c>
      <c r="C1794" s="566">
        <f t="shared" si="27"/>
        <v>2488</v>
      </c>
      <c r="D1794" s="700" t="s">
        <v>2238</v>
      </c>
      <c r="E1794" s="701" t="s">
        <v>9667</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7199</v>
      </c>
      <c r="C1795" s="566">
        <f t="shared" si="27"/>
        <v>2489</v>
      </c>
      <c r="D1795" s="699" t="s">
        <v>2238</v>
      </c>
      <c r="E1795" s="701" t="s">
        <v>9668</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7200</v>
      </c>
      <c r="C1796" s="566">
        <f t="shared" si="27"/>
        <v>2490</v>
      </c>
      <c r="D1796" s="700" t="s">
        <v>2238</v>
      </c>
      <c r="E1796" s="701" t="s">
        <v>9669</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7201</v>
      </c>
      <c r="C1797" s="566">
        <f t="shared" si="27"/>
        <v>2491</v>
      </c>
      <c r="D1797" s="700" t="s">
        <v>2238</v>
      </c>
      <c r="E1797" s="701" t="s">
        <v>9670</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7202</v>
      </c>
      <c r="C1798" s="566">
        <f t="shared" si="27"/>
        <v>2492</v>
      </c>
      <c r="D1798" s="700" t="s">
        <v>2238</v>
      </c>
      <c r="E1798" s="701" t="s">
        <v>9671</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7203</v>
      </c>
      <c r="C1799" s="566">
        <f t="shared" si="27"/>
        <v>2493</v>
      </c>
      <c r="D1799" s="700" t="s">
        <v>2238</v>
      </c>
      <c r="E1799" s="701" t="s">
        <v>9672</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7204</v>
      </c>
      <c r="C1800" s="566">
        <f t="shared" si="27"/>
        <v>2494</v>
      </c>
      <c r="D1800" s="699" t="s">
        <v>2238</v>
      </c>
      <c r="E1800" s="701" t="s">
        <v>9673</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7205</v>
      </c>
      <c r="C1801" s="566">
        <f t="shared" ref="C1801:C1864" si="28">A1801</f>
        <v>2495</v>
      </c>
      <c r="D1801" s="699" t="s">
        <v>2238</v>
      </c>
      <c r="E1801" s="701" t="s">
        <v>9674</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7206</v>
      </c>
      <c r="C1802" s="566">
        <f t="shared" si="28"/>
        <v>2496</v>
      </c>
      <c r="D1802" s="699" t="s">
        <v>2238</v>
      </c>
      <c r="E1802" s="701" t="s">
        <v>9675</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7207</v>
      </c>
      <c r="C1803" s="566">
        <f t="shared" si="28"/>
        <v>2497</v>
      </c>
      <c r="D1803" s="700" t="s">
        <v>2238</v>
      </c>
      <c r="E1803" s="701" t="s">
        <v>9676</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7208</v>
      </c>
      <c r="C1804" s="566">
        <f t="shared" si="28"/>
        <v>2498</v>
      </c>
      <c r="D1804" s="699" t="s">
        <v>2238</v>
      </c>
      <c r="E1804" s="701" t="s">
        <v>9677</v>
      </c>
      <c r="F1804" s="567">
        <v>1</v>
      </c>
      <c r="G1804" s="662">
        <v>0</v>
      </c>
      <c r="H1804" s="662">
        <v>0</v>
      </c>
      <c r="I1804" s="662">
        <v>13826.039105619742</v>
      </c>
      <c r="J1804" s="662">
        <v>14181.585776365924</v>
      </c>
      <c r="K1804" s="568" t="s">
        <v>4148</v>
      </c>
      <c r="L1804" s="549"/>
      <c r="M1804" s="540"/>
      <c r="O1804" s="540"/>
      <c r="S1804" s="550"/>
      <c r="T1804" s="547"/>
      <c r="U1804" s="547"/>
      <c r="V1804" s="547"/>
      <c r="W1804" s="549"/>
    </row>
    <row r="1805" spans="1:23">
      <c r="A1805" s="565">
        <v>2499</v>
      </c>
      <c r="B1805" s="695" t="s">
        <v>7209</v>
      </c>
      <c r="C1805" s="566">
        <f t="shared" si="28"/>
        <v>2499</v>
      </c>
      <c r="D1805" s="699" t="s">
        <v>2238</v>
      </c>
      <c r="E1805" s="701" t="s">
        <v>9678</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7210</v>
      </c>
      <c r="C1806" s="566">
        <f t="shared" si="28"/>
        <v>2500</v>
      </c>
      <c r="D1806" s="700" t="s">
        <v>2238</v>
      </c>
      <c r="E1806" s="701" t="s">
        <v>9679</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7211</v>
      </c>
      <c r="C1807" s="566">
        <f t="shared" si="28"/>
        <v>2501</v>
      </c>
      <c r="D1807" s="699" t="s">
        <v>2238</v>
      </c>
      <c r="E1807" s="701" t="s">
        <v>9680</v>
      </c>
      <c r="F1807" s="567">
        <v>1</v>
      </c>
      <c r="G1807" s="662">
        <v>19652.663595121998</v>
      </c>
      <c r="H1807" s="662">
        <v>0</v>
      </c>
      <c r="I1807" s="662">
        <v>0</v>
      </c>
      <c r="J1807" s="662">
        <v>0</v>
      </c>
      <c r="K1807" s="568" t="s">
        <v>5327</v>
      </c>
      <c r="L1807" s="549"/>
      <c r="M1807" s="540"/>
      <c r="O1807" s="540"/>
      <c r="S1807" s="550"/>
      <c r="T1807" s="547"/>
      <c r="U1807" s="547"/>
      <c r="V1807" s="547"/>
      <c r="W1807" s="549"/>
    </row>
    <row r="1808" spans="1:23">
      <c r="A1808" s="565">
        <v>2502</v>
      </c>
      <c r="B1808" s="695" t="s">
        <v>7212</v>
      </c>
      <c r="C1808" s="566">
        <f t="shared" si="28"/>
        <v>2502</v>
      </c>
      <c r="D1808" s="699" t="s">
        <v>2238</v>
      </c>
      <c r="E1808" s="701" t="s">
        <v>9681</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7213</v>
      </c>
      <c r="C1809" s="566">
        <f t="shared" si="28"/>
        <v>2503</v>
      </c>
      <c r="D1809" s="699" t="s">
        <v>2238</v>
      </c>
      <c r="E1809" s="701" t="s">
        <v>9682</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7214</v>
      </c>
      <c r="C1810" s="566">
        <f t="shared" si="28"/>
        <v>2504</v>
      </c>
      <c r="D1810" s="700" t="s">
        <v>2238</v>
      </c>
      <c r="E1810" s="701" t="s">
        <v>9683</v>
      </c>
      <c r="F1810" s="566">
        <v>1</v>
      </c>
      <c r="G1810" s="662">
        <v>0</v>
      </c>
      <c r="H1810" s="662">
        <v>0</v>
      </c>
      <c r="I1810" s="662">
        <v>0</v>
      </c>
      <c r="J1810" s="662">
        <v>22144.545768242231</v>
      </c>
      <c r="K1810" s="566" t="s">
        <v>4902</v>
      </c>
      <c r="L1810" s="549"/>
      <c r="M1810" s="540"/>
      <c r="O1810" s="540"/>
      <c r="S1810" s="550"/>
      <c r="T1810" s="547"/>
      <c r="U1810" s="547"/>
      <c r="V1810" s="547"/>
      <c r="W1810" s="549"/>
    </row>
    <row r="1811" spans="1:23">
      <c r="A1811" s="565">
        <v>2505</v>
      </c>
      <c r="B1811" s="696" t="s">
        <v>7215</v>
      </c>
      <c r="C1811" s="566">
        <f t="shared" si="28"/>
        <v>2505</v>
      </c>
      <c r="D1811" s="700" t="s">
        <v>2238</v>
      </c>
      <c r="E1811" s="701" t="s">
        <v>9684</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7216</v>
      </c>
      <c r="C1812" s="566">
        <f t="shared" si="28"/>
        <v>2506</v>
      </c>
      <c r="D1812" s="699" t="s">
        <v>2238</v>
      </c>
      <c r="E1812" s="701" t="s">
        <v>9685</v>
      </c>
      <c r="F1812" s="567">
        <v>1</v>
      </c>
      <c r="G1812" s="662">
        <v>16243.392626230814</v>
      </c>
      <c r="H1812" s="662">
        <v>0</v>
      </c>
      <c r="I1812" s="662">
        <v>0</v>
      </c>
      <c r="J1812" s="662">
        <v>0</v>
      </c>
      <c r="K1812" s="568" t="s">
        <v>5328</v>
      </c>
      <c r="L1812" s="549"/>
      <c r="M1812" s="540"/>
      <c r="O1812" s="540"/>
      <c r="S1812" s="550"/>
      <c r="T1812" s="547"/>
      <c r="U1812" s="547"/>
      <c r="V1812" s="547"/>
      <c r="W1812" s="549"/>
    </row>
    <row r="1813" spans="1:23">
      <c r="A1813" s="565">
        <v>2507</v>
      </c>
      <c r="B1813" s="695" t="s">
        <v>7217</v>
      </c>
      <c r="C1813" s="566">
        <f t="shared" si="28"/>
        <v>2507</v>
      </c>
      <c r="D1813" s="699" t="s">
        <v>2238</v>
      </c>
      <c r="E1813" s="701" t="s">
        <v>9686</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7218</v>
      </c>
      <c r="C1814" s="566">
        <f t="shared" si="28"/>
        <v>2508</v>
      </c>
      <c r="D1814" s="700" t="s">
        <v>2238</v>
      </c>
      <c r="E1814" s="701" t="s">
        <v>9687</v>
      </c>
      <c r="F1814" s="566">
        <v>1</v>
      </c>
      <c r="G1814" s="662">
        <v>17457.255713962091</v>
      </c>
      <c r="H1814" s="662">
        <v>0</v>
      </c>
      <c r="I1814" s="662">
        <v>0</v>
      </c>
      <c r="J1814" s="662">
        <v>0</v>
      </c>
      <c r="K1814" s="566" t="s">
        <v>5329</v>
      </c>
      <c r="L1814" s="549"/>
      <c r="M1814" s="540"/>
      <c r="O1814" s="540"/>
      <c r="S1814" s="550"/>
      <c r="T1814" s="547"/>
      <c r="U1814" s="547"/>
      <c r="V1814" s="547"/>
      <c r="W1814" s="549"/>
    </row>
    <row r="1815" spans="1:23">
      <c r="A1815" s="565">
        <v>2509</v>
      </c>
      <c r="B1815" s="696" t="s">
        <v>7219</v>
      </c>
      <c r="C1815" s="566">
        <f t="shared" si="28"/>
        <v>2509</v>
      </c>
      <c r="D1815" s="700" t="s">
        <v>2238</v>
      </c>
      <c r="E1815" s="701" t="s">
        <v>9688</v>
      </c>
      <c r="F1815" s="566">
        <v>1</v>
      </c>
      <c r="G1815" s="662">
        <v>18183.250383657825</v>
      </c>
      <c r="H1815" s="662">
        <v>0</v>
      </c>
      <c r="I1815" s="662">
        <v>0</v>
      </c>
      <c r="J1815" s="662">
        <v>0</v>
      </c>
      <c r="K1815" s="566" t="s">
        <v>5330</v>
      </c>
      <c r="L1815" s="549"/>
      <c r="M1815" s="540"/>
      <c r="O1815" s="540"/>
      <c r="S1815" s="550"/>
      <c r="T1815" s="547"/>
      <c r="U1815" s="547"/>
      <c r="V1815" s="547"/>
      <c r="W1815" s="549"/>
    </row>
    <row r="1816" spans="1:23">
      <c r="A1816" s="565">
        <v>2510</v>
      </c>
      <c r="B1816" s="696" t="s">
        <v>7220</v>
      </c>
      <c r="C1816" s="566">
        <f t="shared" si="28"/>
        <v>2510</v>
      </c>
      <c r="D1816" s="700" t="s">
        <v>2239</v>
      </c>
      <c r="E1816" s="701" t="s">
        <v>9689</v>
      </c>
      <c r="F1816" s="566">
        <v>1</v>
      </c>
      <c r="G1816" s="662">
        <v>0</v>
      </c>
      <c r="H1816" s="662">
        <v>0</v>
      </c>
      <c r="I1816" s="662">
        <v>0</v>
      </c>
      <c r="J1816" s="662">
        <v>17447.517761504718</v>
      </c>
      <c r="K1816" s="566" t="s">
        <v>4903</v>
      </c>
      <c r="L1816" s="549"/>
      <c r="M1816" s="540"/>
      <c r="O1816" s="540"/>
      <c r="S1816" s="550"/>
      <c r="T1816" s="547"/>
      <c r="U1816" s="547"/>
      <c r="V1816" s="547"/>
      <c r="W1816" s="549"/>
    </row>
    <row r="1817" spans="1:23">
      <c r="A1817" s="565">
        <v>2511</v>
      </c>
      <c r="B1817" s="696" t="s">
        <v>7221</v>
      </c>
      <c r="C1817" s="566">
        <f t="shared" si="28"/>
        <v>2511</v>
      </c>
      <c r="D1817" s="700" t="s">
        <v>2239</v>
      </c>
      <c r="E1817" s="701" t="s">
        <v>9690</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7222</v>
      </c>
      <c r="C1818" s="566">
        <f t="shared" si="28"/>
        <v>2512</v>
      </c>
      <c r="D1818" s="700" t="s">
        <v>2239</v>
      </c>
      <c r="E1818" s="701" t="s">
        <v>9691</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7223</v>
      </c>
      <c r="C1819" s="566">
        <f t="shared" si="28"/>
        <v>2513</v>
      </c>
      <c r="D1819" s="700" t="s">
        <v>2239</v>
      </c>
      <c r="E1819" s="701" t="s">
        <v>9692</v>
      </c>
      <c r="F1819" s="566">
        <v>1</v>
      </c>
      <c r="G1819" s="662">
        <v>0</v>
      </c>
      <c r="H1819" s="662">
        <v>0</v>
      </c>
      <c r="I1819" s="662">
        <v>29700.04659809222</v>
      </c>
      <c r="J1819" s="662">
        <v>30432.556325301193</v>
      </c>
      <c r="K1819" s="566" t="s">
        <v>4149</v>
      </c>
      <c r="L1819" s="549"/>
      <c r="M1819" s="540"/>
      <c r="O1819" s="540"/>
      <c r="S1819" s="550"/>
      <c r="T1819" s="547"/>
      <c r="U1819" s="547"/>
      <c r="V1819" s="547"/>
      <c r="W1819" s="549"/>
    </row>
    <row r="1820" spans="1:23">
      <c r="A1820" s="565">
        <v>2514</v>
      </c>
      <c r="B1820" s="696" t="s">
        <v>7224</v>
      </c>
      <c r="C1820" s="566">
        <f t="shared" si="28"/>
        <v>2514</v>
      </c>
      <c r="D1820" s="700" t="s">
        <v>2239</v>
      </c>
      <c r="E1820" s="701" t="s">
        <v>9693</v>
      </c>
      <c r="F1820" s="566">
        <v>1</v>
      </c>
      <c r="G1820" s="662">
        <v>0</v>
      </c>
      <c r="H1820" s="662">
        <v>0</v>
      </c>
      <c r="I1820" s="662">
        <v>30256.417222953463</v>
      </c>
      <c r="J1820" s="662">
        <v>31003.812989792317</v>
      </c>
      <c r="K1820" s="566" t="s">
        <v>4150</v>
      </c>
      <c r="L1820" s="549"/>
      <c r="M1820" s="540"/>
      <c r="O1820" s="540"/>
      <c r="S1820" s="550"/>
      <c r="T1820" s="547"/>
      <c r="U1820" s="547"/>
      <c r="V1820" s="547"/>
      <c r="W1820" s="549"/>
    </row>
    <row r="1821" spans="1:23">
      <c r="A1821" s="565">
        <v>2515</v>
      </c>
      <c r="B1821" s="696" t="s">
        <v>7225</v>
      </c>
      <c r="C1821" s="566">
        <f t="shared" si="28"/>
        <v>2515</v>
      </c>
      <c r="D1821" s="700" t="s">
        <v>2239</v>
      </c>
      <c r="E1821" s="701" t="s">
        <v>9694</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7226</v>
      </c>
      <c r="C1822" s="566">
        <f t="shared" si="28"/>
        <v>2516</v>
      </c>
      <c r="D1822" s="700" t="s">
        <v>2239</v>
      </c>
      <c r="E1822" s="701" t="s">
        <v>9695</v>
      </c>
      <c r="F1822" s="566">
        <v>1</v>
      </c>
      <c r="G1822" s="662">
        <v>16552.569570873267</v>
      </c>
      <c r="H1822" s="662">
        <v>0</v>
      </c>
      <c r="I1822" s="662">
        <v>0</v>
      </c>
      <c r="J1822" s="662">
        <v>0</v>
      </c>
      <c r="K1822" s="566" t="s">
        <v>5331</v>
      </c>
      <c r="L1822" s="549"/>
      <c r="M1822" s="540"/>
      <c r="O1822" s="540"/>
      <c r="S1822" s="550"/>
      <c r="T1822" s="547"/>
      <c r="U1822" s="547"/>
      <c r="V1822" s="547"/>
      <c r="W1822" s="549"/>
    </row>
    <row r="1823" spans="1:23">
      <c r="A1823" s="565">
        <v>2517</v>
      </c>
      <c r="B1823" s="696" t="s">
        <v>7227</v>
      </c>
      <c r="C1823" s="566">
        <f t="shared" si="28"/>
        <v>2517</v>
      </c>
      <c r="D1823" s="700" t="s">
        <v>2239</v>
      </c>
      <c r="E1823" s="701" t="s">
        <v>9696</v>
      </c>
      <c r="F1823" s="566">
        <v>1</v>
      </c>
      <c r="G1823" s="662">
        <v>14995.96579818773</v>
      </c>
      <c r="H1823" s="662">
        <v>0</v>
      </c>
      <c r="I1823" s="662">
        <v>0</v>
      </c>
      <c r="J1823" s="662">
        <v>0</v>
      </c>
      <c r="K1823" s="566" t="s">
        <v>5332</v>
      </c>
      <c r="L1823" s="549"/>
      <c r="M1823" s="540"/>
      <c r="O1823" s="540"/>
      <c r="S1823" s="550"/>
      <c r="T1823" s="547"/>
      <c r="U1823" s="547"/>
      <c r="V1823" s="547"/>
      <c r="W1823" s="549"/>
    </row>
    <row r="1824" spans="1:23">
      <c r="A1824" s="565">
        <v>2518</v>
      </c>
      <c r="B1824" s="695" t="s">
        <v>7228</v>
      </c>
      <c r="C1824" s="566">
        <f t="shared" si="28"/>
        <v>2518</v>
      </c>
      <c r="D1824" s="699" t="s">
        <v>2239</v>
      </c>
      <c r="E1824" s="701" t="s">
        <v>9697</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7229</v>
      </c>
      <c r="C1825" s="566">
        <f t="shared" si="28"/>
        <v>2519</v>
      </c>
      <c r="D1825" s="700" t="s">
        <v>2239</v>
      </c>
      <c r="E1825" s="701" t="s">
        <v>9698</v>
      </c>
      <c r="F1825" s="566">
        <v>1</v>
      </c>
      <c r="G1825" s="662">
        <v>15377.055864880174</v>
      </c>
      <c r="H1825" s="662">
        <v>0</v>
      </c>
      <c r="I1825" s="662">
        <v>0</v>
      </c>
      <c r="J1825" s="662">
        <v>0</v>
      </c>
      <c r="K1825" s="566" t="s">
        <v>5333</v>
      </c>
      <c r="L1825" s="549"/>
      <c r="M1825" s="540"/>
      <c r="O1825" s="540"/>
      <c r="S1825" s="550"/>
      <c r="T1825" s="547"/>
      <c r="U1825" s="547"/>
      <c r="V1825" s="547"/>
      <c r="W1825" s="549"/>
    </row>
    <row r="1826" spans="1:23">
      <c r="A1826" s="565">
        <v>2520</v>
      </c>
      <c r="B1826" s="696" t="s">
        <v>7230</v>
      </c>
      <c r="C1826" s="566">
        <f t="shared" si="28"/>
        <v>2520</v>
      </c>
      <c r="D1826" s="700" t="s">
        <v>2239</v>
      </c>
      <c r="E1826" s="701" t="s">
        <v>9699</v>
      </c>
      <c r="F1826" s="566">
        <v>1</v>
      </c>
      <c r="G1826" s="662">
        <v>14033.611629459505</v>
      </c>
      <c r="H1826" s="662">
        <v>0</v>
      </c>
      <c r="I1826" s="662">
        <v>0</v>
      </c>
      <c r="J1826" s="662">
        <v>0</v>
      </c>
      <c r="K1826" s="566" t="s">
        <v>5334</v>
      </c>
      <c r="L1826" s="549"/>
      <c r="M1826" s="540"/>
      <c r="O1826" s="540"/>
      <c r="S1826" s="550"/>
      <c r="T1826" s="547"/>
      <c r="U1826" s="547"/>
      <c r="V1826" s="547"/>
      <c r="W1826" s="549"/>
    </row>
    <row r="1827" spans="1:23">
      <c r="A1827" s="565">
        <v>2521</v>
      </c>
      <c r="B1827" s="696" t="s">
        <v>7231</v>
      </c>
      <c r="C1827" s="566">
        <f t="shared" si="28"/>
        <v>2521</v>
      </c>
      <c r="D1827" s="700" t="s">
        <v>2239</v>
      </c>
      <c r="E1827" s="701" t="s">
        <v>9700</v>
      </c>
      <c r="F1827" s="566">
        <v>1</v>
      </c>
      <c r="G1827" s="662">
        <v>14453.437953028464</v>
      </c>
      <c r="H1827" s="662">
        <v>0</v>
      </c>
      <c r="I1827" s="662">
        <v>0</v>
      </c>
      <c r="J1827" s="662">
        <v>0</v>
      </c>
      <c r="K1827" s="566" t="s">
        <v>5335</v>
      </c>
      <c r="L1827" s="549"/>
      <c r="M1827" s="540"/>
      <c r="O1827" s="540"/>
      <c r="S1827" s="550"/>
      <c r="T1827" s="547"/>
      <c r="U1827" s="547"/>
      <c r="V1827" s="547"/>
      <c r="W1827" s="549"/>
    </row>
    <row r="1828" spans="1:23">
      <c r="A1828" s="565">
        <v>2522</v>
      </c>
      <c r="B1828" s="695" t="s">
        <v>7232</v>
      </c>
      <c r="C1828" s="566">
        <f t="shared" si="28"/>
        <v>2522</v>
      </c>
      <c r="D1828" s="699" t="s">
        <v>2239</v>
      </c>
      <c r="E1828" s="701" t="s">
        <v>9701</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7233</v>
      </c>
      <c r="C1829" s="566">
        <f t="shared" si="28"/>
        <v>2523</v>
      </c>
      <c r="D1829" s="700" t="s">
        <v>2239</v>
      </c>
      <c r="E1829" s="701" t="s">
        <v>9702</v>
      </c>
      <c r="F1829" s="566">
        <v>1</v>
      </c>
      <c r="G1829" s="662">
        <v>0</v>
      </c>
      <c r="H1829" s="662">
        <v>0</v>
      </c>
      <c r="I1829" s="662">
        <v>19844.33838626435</v>
      </c>
      <c r="J1829" s="662">
        <v>20313.517659418208</v>
      </c>
      <c r="K1829" s="566" t="s">
        <v>4151</v>
      </c>
      <c r="L1829" s="549"/>
      <c r="M1829" s="540"/>
      <c r="O1829" s="540"/>
      <c r="S1829" s="550"/>
      <c r="T1829" s="547"/>
      <c r="U1829" s="547"/>
      <c r="V1829" s="547"/>
      <c r="W1829" s="549"/>
    </row>
    <row r="1830" spans="1:23">
      <c r="A1830" s="565">
        <v>2524</v>
      </c>
      <c r="B1830" s="696" t="s">
        <v>7234</v>
      </c>
      <c r="C1830" s="566">
        <f t="shared" si="28"/>
        <v>2524</v>
      </c>
      <c r="D1830" s="700" t="s">
        <v>2239</v>
      </c>
      <c r="E1830" s="701" t="s">
        <v>9703</v>
      </c>
      <c r="F1830" s="566">
        <v>1</v>
      </c>
      <c r="G1830" s="662">
        <v>24589.184575099462</v>
      </c>
      <c r="H1830" s="662">
        <v>0</v>
      </c>
      <c r="I1830" s="662">
        <v>0</v>
      </c>
      <c r="J1830" s="662">
        <v>0</v>
      </c>
      <c r="K1830" s="566" t="s">
        <v>5336</v>
      </c>
      <c r="L1830" s="549"/>
      <c r="M1830" s="540"/>
      <c r="O1830" s="540"/>
      <c r="S1830" s="550"/>
      <c r="T1830" s="547"/>
      <c r="U1830" s="547"/>
      <c r="V1830" s="547"/>
      <c r="W1830" s="549"/>
    </row>
    <row r="1831" spans="1:23">
      <c r="A1831" s="565">
        <v>2525</v>
      </c>
      <c r="B1831" s="696" t="s">
        <v>7235</v>
      </c>
      <c r="C1831" s="566">
        <f t="shared" si="28"/>
        <v>2525</v>
      </c>
      <c r="D1831" s="700" t="s">
        <v>2239</v>
      </c>
      <c r="E1831" s="701" t="s">
        <v>9704</v>
      </c>
      <c r="F1831" s="566">
        <v>1</v>
      </c>
      <c r="G1831" s="662">
        <v>18483.77065929048</v>
      </c>
      <c r="H1831" s="662">
        <v>0</v>
      </c>
      <c r="I1831" s="662">
        <v>0</v>
      </c>
      <c r="J1831" s="662">
        <v>0</v>
      </c>
      <c r="K1831" s="566" t="s">
        <v>5337</v>
      </c>
      <c r="L1831" s="549"/>
      <c r="M1831" s="540"/>
      <c r="O1831" s="540"/>
      <c r="S1831" s="550"/>
      <c r="T1831" s="547"/>
      <c r="U1831" s="547"/>
      <c r="V1831" s="547"/>
      <c r="W1831" s="549"/>
    </row>
    <row r="1832" spans="1:23">
      <c r="A1832" s="565">
        <v>2526</v>
      </c>
      <c r="B1832" s="696" t="s">
        <v>7236</v>
      </c>
      <c r="C1832" s="566">
        <f t="shared" si="28"/>
        <v>2526</v>
      </c>
      <c r="D1832" s="700" t="s">
        <v>2239</v>
      </c>
      <c r="E1832" s="701" t="s">
        <v>9705</v>
      </c>
      <c r="F1832" s="566">
        <v>1</v>
      </c>
      <c r="G1832" s="662">
        <v>17392.222218011186</v>
      </c>
      <c r="H1832" s="662">
        <v>0</v>
      </c>
      <c r="I1832" s="662">
        <v>0</v>
      </c>
      <c r="J1832" s="662">
        <v>0</v>
      </c>
      <c r="K1832" s="566" t="s">
        <v>5338</v>
      </c>
      <c r="L1832" s="549"/>
      <c r="M1832" s="540"/>
      <c r="O1832" s="540"/>
      <c r="S1832" s="550"/>
      <c r="T1832" s="547"/>
      <c r="U1832" s="547"/>
      <c r="V1832" s="547"/>
      <c r="W1832" s="549"/>
    </row>
    <row r="1833" spans="1:23">
      <c r="A1833" s="565">
        <v>2527</v>
      </c>
      <c r="B1833" s="696" t="s">
        <v>7237</v>
      </c>
      <c r="C1833" s="566">
        <f t="shared" si="28"/>
        <v>2527</v>
      </c>
      <c r="D1833" s="700" t="s">
        <v>2239</v>
      </c>
      <c r="E1833" s="701" t="s">
        <v>9706</v>
      </c>
      <c r="F1833" s="566">
        <v>1</v>
      </c>
      <c r="G1833" s="662">
        <v>16216.708512018098</v>
      </c>
      <c r="H1833" s="662">
        <v>0</v>
      </c>
      <c r="I1833" s="662">
        <v>0</v>
      </c>
      <c r="J1833" s="662">
        <v>0</v>
      </c>
      <c r="K1833" s="566" t="s">
        <v>5339</v>
      </c>
      <c r="L1833" s="549"/>
      <c r="M1833" s="540"/>
      <c r="O1833" s="540"/>
      <c r="S1833" s="550"/>
      <c r="T1833" s="547"/>
      <c r="U1833" s="547"/>
      <c r="V1833" s="547"/>
      <c r="W1833" s="549"/>
    </row>
    <row r="1834" spans="1:23">
      <c r="A1834" s="565">
        <v>2528</v>
      </c>
      <c r="B1834" s="696" t="s">
        <v>7238</v>
      </c>
      <c r="C1834" s="566">
        <f t="shared" si="28"/>
        <v>2528</v>
      </c>
      <c r="D1834" s="700" t="s">
        <v>2239</v>
      </c>
      <c r="E1834" s="701" t="s">
        <v>9707</v>
      </c>
      <c r="F1834" s="566">
        <v>1</v>
      </c>
      <c r="G1834" s="662">
        <v>0</v>
      </c>
      <c r="H1834" s="662">
        <v>0</v>
      </c>
      <c r="I1834" s="662">
        <v>0</v>
      </c>
      <c r="J1834" s="662">
        <v>19047.699152840905</v>
      </c>
      <c r="K1834" s="566" t="s">
        <v>4904</v>
      </c>
      <c r="L1834" s="549"/>
      <c r="M1834" s="540"/>
      <c r="O1834" s="540"/>
      <c r="S1834" s="550"/>
      <c r="T1834" s="547"/>
      <c r="U1834" s="547"/>
      <c r="V1834" s="547"/>
      <c r="W1834" s="549"/>
    </row>
    <row r="1835" spans="1:23">
      <c r="A1835" s="565">
        <v>2529</v>
      </c>
      <c r="B1835" s="696" t="s">
        <v>7239</v>
      </c>
      <c r="C1835" s="566">
        <f t="shared" si="28"/>
        <v>2529</v>
      </c>
      <c r="D1835" s="700" t="s">
        <v>2239</v>
      </c>
      <c r="E1835" s="701" t="s">
        <v>9708</v>
      </c>
      <c r="F1835" s="566">
        <v>1</v>
      </c>
      <c r="G1835" s="662">
        <v>0</v>
      </c>
      <c r="H1835" s="662">
        <v>0</v>
      </c>
      <c r="I1835" s="662">
        <v>0</v>
      </c>
      <c r="J1835" s="662">
        <v>20233.407049737172</v>
      </c>
      <c r="K1835" s="566" t="s">
        <v>4905</v>
      </c>
      <c r="L1835" s="549"/>
      <c r="M1835" s="540"/>
      <c r="O1835" s="540"/>
      <c r="S1835" s="550"/>
      <c r="T1835" s="547"/>
      <c r="U1835" s="547"/>
      <c r="V1835" s="547"/>
      <c r="W1835" s="549"/>
    </row>
    <row r="1836" spans="1:23">
      <c r="A1836" s="565">
        <v>2530</v>
      </c>
      <c r="B1836" s="696" t="s">
        <v>7240</v>
      </c>
      <c r="C1836" s="566">
        <f t="shared" si="28"/>
        <v>2530</v>
      </c>
      <c r="D1836" s="700" t="s">
        <v>2239</v>
      </c>
      <c r="E1836" s="701" t="s">
        <v>9709</v>
      </c>
      <c r="F1836" s="566">
        <v>1</v>
      </c>
      <c r="G1836" s="662">
        <v>0</v>
      </c>
      <c r="H1836" s="662">
        <v>0</v>
      </c>
      <c r="I1836" s="662">
        <v>0</v>
      </c>
      <c r="J1836" s="662">
        <v>20233.407049737172</v>
      </c>
      <c r="K1836" s="566" t="s">
        <v>4906</v>
      </c>
      <c r="L1836" s="549"/>
      <c r="M1836" s="540"/>
      <c r="O1836" s="540"/>
      <c r="S1836" s="550"/>
      <c r="T1836" s="547"/>
      <c r="U1836" s="547"/>
      <c r="V1836" s="547"/>
      <c r="W1836" s="549"/>
    </row>
    <row r="1837" spans="1:23">
      <c r="A1837" s="565">
        <v>2531</v>
      </c>
      <c r="B1837" s="696" t="s">
        <v>7241</v>
      </c>
      <c r="C1837" s="566">
        <f t="shared" si="28"/>
        <v>2531</v>
      </c>
      <c r="D1837" s="700" t="s">
        <v>2239</v>
      </c>
      <c r="E1837" s="701" t="s">
        <v>9710</v>
      </c>
      <c r="F1837" s="566">
        <v>1</v>
      </c>
      <c r="G1837" s="662">
        <v>0</v>
      </c>
      <c r="H1837" s="662">
        <v>0</v>
      </c>
      <c r="I1837" s="662">
        <v>0</v>
      </c>
      <c r="J1837" s="662">
        <v>22096.662316288464</v>
      </c>
      <c r="K1837" s="566" t="s">
        <v>4907</v>
      </c>
      <c r="L1837" s="549"/>
      <c r="M1837" s="540"/>
      <c r="O1837" s="540"/>
      <c r="S1837" s="550"/>
      <c r="T1837" s="547"/>
      <c r="U1837" s="547"/>
      <c r="V1837" s="547"/>
      <c r="W1837" s="549"/>
    </row>
    <row r="1838" spans="1:23">
      <c r="A1838" s="565">
        <v>2532</v>
      </c>
      <c r="B1838" s="696" t="s">
        <v>7242</v>
      </c>
      <c r="C1838" s="566">
        <f t="shared" si="28"/>
        <v>2532</v>
      </c>
      <c r="D1838" s="700" t="s">
        <v>2239</v>
      </c>
      <c r="E1838" s="701" t="s">
        <v>9711</v>
      </c>
      <c r="F1838" s="566">
        <v>1</v>
      </c>
      <c r="G1838" s="662">
        <v>0</v>
      </c>
      <c r="H1838" s="662">
        <v>0</v>
      </c>
      <c r="I1838" s="662">
        <v>0</v>
      </c>
      <c r="J1838" s="662">
        <v>21503.808367840327</v>
      </c>
      <c r="K1838" s="566" t="s">
        <v>4908</v>
      </c>
      <c r="L1838" s="549"/>
      <c r="M1838" s="540"/>
      <c r="O1838" s="540"/>
      <c r="S1838" s="550"/>
      <c r="T1838" s="547"/>
      <c r="U1838" s="547"/>
      <c r="V1838" s="547"/>
      <c r="W1838" s="549"/>
    </row>
    <row r="1839" spans="1:23">
      <c r="A1839" s="565">
        <v>2533</v>
      </c>
      <c r="B1839" s="696" t="s">
        <v>7243</v>
      </c>
      <c r="C1839" s="566">
        <f t="shared" si="28"/>
        <v>2533</v>
      </c>
      <c r="D1839" s="700" t="s">
        <v>2239</v>
      </c>
      <c r="E1839" s="701" t="s">
        <v>9712</v>
      </c>
      <c r="F1839" s="566">
        <v>1</v>
      </c>
      <c r="G1839" s="662">
        <v>0</v>
      </c>
      <c r="H1839" s="662">
        <v>0</v>
      </c>
      <c r="I1839" s="662">
        <v>0</v>
      </c>
      <c r="J1839" s="662">
        <v>24722.158373701644</v>
      </c>
      <c r="K1839" s="566" t="s">
        <v>4909</v>
      </c>
      <c r="L1839" s="549"/>
      <c r="M1839" s="540"/>
      <c r="O1839" s="540"/>
      <c r="S1839" s="550"/>
      <c r="T1839" s="547"/>
      <c r="U1839" s="547"/>
      <c r="V1839" s="547"/>
      <c r="W1839" s="549"/>
    </row>
    <row r="1840" spans="1:23">
      <c r="A1840" s="565">
        <v>2534</v>
      </c>
      <c r="B1840" s="696" t="s">
        <v>7244</v>
      </c>
      <c r="C1840" s="566">
        <f t="shared" si="28"/>
        <v>2534</v>
      </c>
      <c r="D1840" s="700" t="s">
        <v>2239</v>
      </c>
      <c r="E1840" s="701" t="s">
        <v>9713</v>
      </c>
      <c r="F1840" s="566">
        <v>1</v>
      </c>
      <c r="G1840" s="662">
        <v>0</v>
      </c>
      <c r="H1840" s="662">
        <v>0</v>
      </c>
      <c r="I1840" s="662">
        <v>0</v>
      </c>
      <c r="J1840" s="662">
        <v>22774.209685943479</v>
      </c>
      <c r="K1840" s="566" t="s">
        <v>4910</v>
      </c>
      <c r="L1840" s="549"/>
      <c r="M1840" s="540"/>
      <c r="O1840" s="540"/>
      <c r="S1840" s="550"/>
      <c r="T1840" s="547"/>
      <c r="U1840" s="547"/>
      <c r="V1840" s="547"/>
      <c r="W1840" s="549"/>
    </row>
    <row r="1841" spans="1:23">
      <c r="A1841" s="565">
        <v>2535</v>
      </c>
      <c r="B1841" s="696" t="s">
        <v>7245</v>
      </c>
      <c r="C1841" s="566">
        <f t="shared" si="28"/>
        <v>2535</v>
      </c>
      <c r="D1841" s="700" t="s">
        <v>2239</v>
      </c>
      <c r="E1841" s="701" t="s">
        <v>9714</v>
      </c>
      <c r="F1841" s="566">
        <v>1</v>
      </c>
      <c r="G1841" s="662">
        <v>0</v>
      </c>
      <c r="H1841" s="662">
        <v>0</v>
      </c>
      <c r="I1841" s="662">
        <v>0</v>
      </c>
      <c r="J1841" s="662">
        <v>23451.757055598493</v>
      </c>
      <c r="K1841" s="566" t="s">
        <v>4911</v>
      </c>
      <c r="L1841" s="549"/>
      <c r="M1841" s="540"/>
      <c r="O1841" s="540"/>
      <c r="S1841" s="550"/>
      <c r="T1841" s="547"/>
      <c r="U1841" s="547"/>
      <c r="V1841" s="547"/>
      <c r="W1841" s="549"/>
    </row>
    <row r="1842" spans="1:23">
      <c r="A1842" s="565">
        <v>2536</v>
      </c>
      <c r="B1842" s="696" t="s">
        <v>7246</v>
      </c>
      <c r="C1842" s="566">
        <f t="shared" si="28"/>
        <v>2536</v>
      </c>
      <c r="D1842" s="700" t="s">
        <v>2239</v>
      </c>
      <c r="E1842" s="701" t="s">
        <v>9715</v>
      </c>
      <c r="F1842" s="566">
        <v>1</v>
      </c>
      <c r="G1842" s="662">
        <v>0</v>
      </c>
      <c r="H1842" s="662">
        <v>0</v>
      </c>
      <c r="I1842" s="662">
        <v>0</v>
      </c>
      <c r="J1842" s="662">
        <v>30650.697858183001</v>
      </c>
      <c r="K1842" s="566" t="s">
        <v>4912</v>
      </c>
      <c r="L1842" s="549"/>
      <c r="M1842" s="540"/>
      <c r="O1842" s="540"/>
      <c r="S1842" s="550"/>
      <c r="T1842" s="547"/>
      <c r="U1842" s="547"/>
      <c r="V1842" s="547"/>
      <c r="W1842" s="549"/>
    </row>
    <row r="1843" spans="1:23">
      <c r="A1843" s="565">
        <v>2537</v>
      </c>
      <c r="B1843" s="696" t="s">
        <v>7247</v>
      </c>
      <c r="C1843" s="566">
        <f t="shared" si="28"/>
        <v>2537</v>
      </c>
      <c r="D1843" s="700" t="s">
        <v>2239</v>
      </c>
      <c r="E1843" s="701" t="s">
        <v>9716</v>
      </c>
      <c r="F1843" s="566">
        <v>1</v>
      </c>
      <c r="G1843" s="662">
        <v>0</v>
      </c>
      <c r="H1843" s="662">
        <v>0</v>
      </c>
      <c r="I1843" s="662">
        <v>28059.322374613355</v>
      </c>
      <c r="J1843" s="662">
        <v>28784.535109977289</v>
      </c>
      <c r="K1843" s="566" t="s">
        <v>4152</v>
      </c>
      <c r="L1843" s="549"/>
      <c r="M1843" s="540"/>
      <c r="O1843" s="540"/>
      <c r="S1843" s="550"/>
      <c r="T1843" s="547"/>
      <c r="U1843" s="547"/>
      <c r="V1843" s="547"/>
      <c r="W1843" s="549"/>
    </row>
    <row r="1844" spans="1:23">
      <c r="A1844" s="565">
        <v>2538</v>
      </c>
      <c r="B1844" s="696" t="s">
        <v>7248</v>
      </c>
      <c r="C1844" s="566">
        <f t="shared" si="28"/>
        <v>2538</v>
      </c>
      <c r="D1844" s="700" t="s">
        <v>2239</v>
      </c>
      <c r="E1844" s="701" t="s">
        <v>9717</v>
      </c>
      <c r="F1844" s="566">
        <v>1</v>
      </c>
      <c r="G1844" s="662">
        <v>0</v>
      </c>
      <c r="H1844" s="662">
        <v>0</v>
      </c>
      <c r="I1844" s="662">
        <v>25888.439403000753</v>
      </c>
      <c r="J1844" s="662">
        <v>26552.556139097574</v>
      </c>
      <c r="K1844" s="566" t="s">
        <v>4153</v>
      </c>
      <c r="L1844" s="549"/>
      <c r="M1844" s="540"/>
      <c r="O1844" s="540"/>
      <c r="S1844" s="550"/>
      <c r="T1844" s="547"/>
      <c r="U1844" s="547"/>
      <c r="V1844" s="547"/>
      <c r="W1844" s="549"/>
    </row>
    <row r="1845" spans="1:23">
      <c r="A1845" s="565">
        <v>2539</v>
      </c>
      <c r="B1845" s="696" t="s">
        <v>7249</v>
      </c>
      <c r="C1845" s="566">
        <f t="shared" si="28"/>
        <v>2539</v>
      </c>
      <c r="D1845" s="700" t="s">
        <v>2239</v>
      </c>
      <c r="E1845" s="701" t="s">
        <v>9718</v>
      </c>
      <c r="F1845" s="566">
        <v>1</v>
      </c>
      <c r="G1845" s="662">
        <v>0</v>
      </c>
      <c r="H1845" s="662">
        <v>0</v>
      </c>
      <c r="I1845" s="662">
        <v>27041.72098166994</v>
      </c>
      <c r="J1845" s="662">
        <v>27738.320155371839</v>
      </c>
      <c r="K1845" s="566" t="s">
        <v>4154</v>
      </c>
      <c r="L1845" s="549"/>
      <c r="M1845" s="540"/>
      <c r="O1845" s="540"/>
      <c r="S1845" s="550"/>
      <c r="T1845" s="547"/>
      <c r="U1845" s="547"/>
      <c r="V1845" s="547"/>
      <c r="W1845" s="549"/>
    </row>
    <row r="1846" spans="1:23">
      <c r="A1846" s="565">
        <v>2540</v>
      </c>
      <c r="B1846" s="696" t="s">
        <v>7250</v>
      </c>
      <c r="C1846" s="566">
        <f t="shared" si="28"/>
        <v>2540</v>
      </c>
      <c r="D1846" s="700" t="s">
        <v>2239</v>
      </c>
      <c r="E1846" s="701" t="s">
        <v>9719</v>
      </c>
      <c r="F1846" s="566">
        <v>1</v>
      </c>
      <c r="G1846" s="662">
        <v>0</v>
      </c>
      <c r="H1846" s="662">
        <v>0</v>
      </c>
      <c r="I1846" s="662">
        <v>0</v>
      </c>
      <c r="J1846" s="662">
        <v>29076.923767556749</v>
      </c>
      <c r="K1846" s="566" t="s">
        <v>4913</v>
      </c>
      <c r="L1846" s="549"/>
      <c r="M1846" s="540"/>
      <c r="O1846" s="540"/>
      <c r="S1846" s="550"/>
      <c r="T1846" s="547"/>
      <c r="U1846" s="547"/>
      <c r="V1846" s="547"/>
      <c r="W1846" s="549"/>
    </row>
    <row r="1847" spans="1:23">
      <c r="A1847" s="565">
        <v>2541</v>
      </c>
      <c r="B1847" s="696" t="s">
        <v>7251</v>
      </c>
      <c r="C1847" s="566">
        <f t="shared" si="28"/>
        <v>2541</v>
      </c>
      <c r="D1847" s="700" t="s">
        <v>2239</v>
      </c>
      <c r="E1847" s="701" t="s">
        <v>9720</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7252</v>
      </c>
      <c r="C1848" s="566">
        <f t="shared" si="28"/>
        <v>2542</v>
      </c>
      <c r="D1848" s="699" t="s">
        <v>2239</v>
      </c>
      <c r="E1848" s="701" t="s">
        <v>9721</v>
      </c>
      <c r="F1848" s="567">
        <v>1</v>
      </c>
      <c r="G1848" s="662">
        <v>0</v>
      </c>
      <c r="H1848" s="662">
        <v>0</v>
      </c>
      <c r="I1848" s="662">
        <v>0</v>
      </c>
      <c r="J1848" s="662">
        <v>12114.178581440552</v>
      </c>
      <c r="K1848" s="568" t="s">
        <v>4914</v>
      </c>
      <c r="L1848" s="549"/>
      <c r="M1848" s="540"/>
      <c r="O1848" s="540"/>
      <c r="S1848" s="550"/>
      <c r="T1848" s="547"/>
      <c r="U1848" s="547"/>
      <c r="V1848" s="547"/>
      <c r="W1848" s="549"/>
    </row>
    <row r="1849" spans="1:23">
      <c r="A1849" s="565">
        <v>2543</v>
      </c>
      <c r="B1849" s="696" t="s">
        <v>7253</v>
      </c>
      <c r="C1849" s="566">
        <f t="shared" si="28"/>
        <v>2543</v>
      </c>
      <c r="D1849" s="700" t="s">
        <v>2239</v>
      </c>
      <c r="E1849" s="701" t="s">
        <v>9722</v>
      </c>
      <c r="F1849" s="566">
        <v>1</v>
      </c>
      <c r="G1849" s="662">
        <v>0</v>
      </c>
      <c r="H1849" s="662">
        <v>0</v>
      </c>
      <c r="I1849" s="662">
        <v>12558.601757718247</v>
      </c>
      <c r="J1849" s="662">
        <v>12832.502395405687</v>
      </c>
      <c r="K1849" s="566" t="s">
        <v>4155</v>
      </c>
      <c r="L1849" s="549"/>
      <c r="M1849" s="540"/>
      <c r="O1849" s="540"/>
      <c r="S1849" s="550"/>
      <c r="T1849" s="547"/>
      <c r="U1849" s="547"/>
      <c r="V1849" s="547"/>
      <c r="W1849" s="549"/>
    </row>
    <row r="1850" spans="1:23">
      <c r="A1850" s="565">
        <v>2544</v>
      </c>
      <c r="B1850" s="696" t="s">
        <v>7254</v>
      </c>
      <c r="C1850" s="566">
        <f t="shared" si="28"/>
        <v>2544</v>
      </c>
      <c r="D1850" s="700" t="s">
        <v>2239</v>
      </c>
      <c r="E1850" s="701" t="s">
        <v>9723</v>
      </c>
      <c r="F1850" s="566">
        <v>1</v>
      </c>
      <c r="G1850" s="662">
        <v>0</v>
      </c>
      <c r="H1850" s="662">
        <v>0</v>
      </c>
      <c r="I1850" s="662">
        <v>13669.659698412492</v>
      </c>
      <c r="J1850" s="662">
        <v>13973.177132616258</v>
      </c>
      <c r="K1850" s="566" t="s">
        <v>4156</v>
      </c>
      <c r="L1850" s="549"/>
      <c r="M1850" s="540"/>
      <c r="O1850" s="540"/>
      <c r="S1850" s="550"/>
      <c r="T1850" s="547"/>
      <c r="U1850" s="547"/>
      <c r="V1850" s="547"/>
      <c r="W1850" s="549"/>
    </row>
    <row r="1851" spans="1:23">
      <c r="A1851" s="565">
        <v>2545</v>
      </c>
      <c r="B1851" s="695" t="s">
        <v>7255</v>
      </c>
      <c r="C1851" s="566">
        <f t="shared" si="28"/>
        <v>2545</v>
      </c>
      <c r="D1851" s="699" t="s">
        <v>2239</v>
      </c>
      <c r="E1851" s="701" t="s">
        <v>9724</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7256</v>
      </c>
      <c r="C1852" s="566">
        <f t="shared" si="28"/>
        <v>2546</v>
      </c>
      <c r="D1852" s="700" t="s">
        <v>2239</v>
      </c>
      <c r="E1852" s="701" t="s">
        <v>9725</v>
      </c>
      <c r="F1852" s="566">
        <v>1</v>
      </c>
      <c r="G1852" s="662">
        <v>0</v>
      </c>
      <c r="H1852" s="662">
        <v>0</v>
      </c>
      <c r="I1852" s="662">
        <v>27557.883957090475</v>
      </c>
      <c r="J1852" s="662">
        <v>28231.783356598236</v>
      </c>
      <c r="K1852" s="566" t="s">
        <v>4157</v>
      </c>
      <c r="L1852" s="549"/>
      <c r="M1852" s="540"/>
      <c r="O1852" s="540"/>
      <c r="S1852" s="550"/>
      <c r="T1852" s="547"/>
      <c r="U1852" s="547"/>
      <c r="V1852" s="547"/>
      <c r="W1852" s="549"/>
    </row>
    <row r="1853" spans="1:23">
      <c r="A1853" s="565">
        <v>2547</v>
      </c>
      <c r="B1853" s="696" t="s">
        <v>7257</v>
      </c>
      <c r="C1853" s="566">
        <f t="shared" si="28"/>
        <v>2547</v>
      </c>
      <c r="D1853" s="700" t="s">
        <v>2239</v>
      </c>
      <c r="E1853" s="701" t="s">
        <v>9726</v>
      </c>
      <c r="F1853" s="566">
        <v>1</v>
      </c>
      <c r="G1853" s="662">
        <v>0</v>
      </c>
      <c r="H1853" s="662">
        <v>0</v>
      </c>
      <c r="I1853" s="662">
        <v>19502.713887057256</v>
      </c>
      <c r="J1853" s="662">
        <v>19961.789870228517</v>
      </c>
      <c r="K1853" s="566" t="s">
        <v>4158</v>
      </c>
      <c r="L1853" s="549"/>
      <c r="M1853" s="540"/>
      <c r="O1853" s="540"/>
      <c r="S1853" s="550"/>
      <c r="T1853" s="547"/>
      <c r="U1853" s="547"/>
      <c r="V1853" s="547"/>
      <c r="W1853" s="549"/>
    </row>
    <row r="1854" spans="1:23">
      <c r="A1854" s="565">
        <v>2548</v>
      </c>
      <c r="B1854" s="696" t="s">
        <v>7258</v>
      </c>
      <c r="C1854" s="566">
        <f t="shared" si="28"/>
        <v>2548</v>
      </c>
      <c r="D1854" s="700" t="s">
        <v>2239</v>
      </c>
      <c r="E1854" s="701" t="s">
        <v>9727</v>
      </c>
      <c r="F1854" s="566">
        <v>1</v>
      </c>
      <c r="G1854" s="662">
        <v>0</v>
      </c>
      <c r="H1854" s="662">
        <v>0</v>
      </c>
      <c r="I1854" s="662">
        <v>21447.065283272175</v>
      </c>
      <c r="J1854" s="662">
        <v>21957.994116099271</v>
      </c>
      <c r="K1854" s="566" t="s">
        <v>4159</v>
      </c>
      <c r="L1854" s="549"/>
      <c r="M1854" s="540"/>
      <c r="O1854" s="540"/>
      <c r="S1854" s="550"/>
      <c r="T1854" s="547"/>
      <c r="U1854" s="547"/>
      <c r="V1854" s="547"/>
      <c r="W1854" s="549"/>
    </row>
    <row r="1855" spans="1:23">
      <c r="A1855" s="565">
        <v>2549</v>
      </c>
      <c r="B1855" s="696" t="s">
        <v>7259</v>
      </c>
      <c r="C1855" s="566">
        <f t="shared" si="28"/>
        <v>2549</v>
      </c>
      <c r="D1855" s="700" t="s">
        <v>2239</v>
      </c>
      <c r="E1855" s="701" t="s">
        <v>9728</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7260</v>
      </c>
      <c r="C1856" s="566">
        <f t="shared" si="28"/>
        <v>2550</v>
      </c>
      <c r="D1856" s="700" t="s">
        <v>2239</v>
      </c>
      <c r="E1856" s="701" t="s">
        <v>9729</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7261</v>
      </c>
      <c r="C1857" s="566">
        <f t="shared" si="28"/>
        <v>2551</v>
      </c>
      <c r="D1857" s="699" t="s">
        <v>2239</v>
      </c>
      <c r="E1857" s="701" t="s">
        <v>9730</v>
      </c>
      <c r="F1857" s="567">
        <v>1</v>
      </c>
      <c r="G1857" s="662">
        <v>0</v>
      </c>
      <c r="H1857" s="662">
        <v>24512.476782836915</v>
      </c>
      <c r="I1857" s="662">
        <v>25335.5258422279</v>
      </c>
      <c r="J1857" s="662">
        <v>26201.934196328679</v>
      </c>
      <c r="K1857" s="568" t="s">
        <v>4160</v>
      </c>
      <c r="L1857" s="549"/>
      <c r="M1857" s="540"/>
      <c r="O1857" s="540"/>
      <c r="S1857" s="550"/>
      <c r="T1857" s="547"/>
      <c r="U1857" s="547"/>
      <c r="V1857" s="547"/>
      <c r="W1857" s="549"/>
    </row>
    <row r="1858" spans="1:23">
      <c r="A1858" s="565">
        <v>2552</v>
      </c>
      <c r="B1858" s="695" t="s">
        <v>7262</v>
      </c>
      <c r="C1858" s="566">
        <f t="shared" si="28"/>
        <v>2552</v>
      </c>
      <c r="D1858" s="699" t="s">
        <v>2239</v>
      </c>
      <c r="E1858" s="701" t="s">
        <v>9731</v>
      </c>
      <c r="F1858" s="567">
        <v>1</v>
      </c>
      <c r="G1858" s="662">
        <v>0</v>
      </c>
      <c r="H1858" s="662">
        <v>0</v>
      </c>
      <c r="I1858" s="662">
        <v>27064.607218539066</v>
      </c>
      <c r="J1858" s="662">
        <v>27996.008777051877</v>
      </c>
      <c r="K1858" s="568" t="s">
        <v>4161</v>
      </c>
      <c r="L1858" s="549"/>
      <c r="M1858" s="540"/>
      <c r="O1858" s="540"/>
      <c r="S1858" s="550"/>
      <c r="T1858" s="547"/>
      <c r="U1858" s="547"/>
      <c r="V1858" s="547"/>
      <c r="W1858" s="549"/>
    </row>
    <row r="1859" spans="1:23">
      <c r="A1859" s="565">
        <v>2553</v>
      </c>
      <c r="B1859" s="695" t="s">
        <v>7263</v>
      </c>
      <c r="C1859" s="566">
        <f t="shared" si="28"/>
        <v>2553</v>
      </c>
      <c r="D1859" s="699" t="s">
        <v>2239</v>
      </c>
      <c r="E1859" s="701" t="s">
        <v>9732</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7264</v>
      </c>
      <c r="C1860" s="566">
        <f t="shared" si="28"/>
        <v>2554</v>
      </c>
      <c r="D1860" s="699" t="s">
        <v>2239</v>
      </c>
      <c r="E1860" s="701" t="s">
        <v>9733</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7265</v>
      </c>
      <c r="C1861" s="566">
        <f t="shared" si="28"/>
        <v>2555</v>
      </c>
      <c r="D1861" s="699" t="s">
        <v>2239</v>
      </c>
      <c r="E1861" s="701" t="s">
        <v>9734</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7266</v>
      </c>
      <c r="C1862" s="566">
        <f t="shared" si="28"/>
        <v>2556</v>
      </c>
      <c r="D1862" s="699" t="s">
        <v>2239</v>
      </c>
      <c r="E1862" s="701" t="s">
        <v>9735</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7267</v>
      </c>
      <c r="C1863" s="566">
        <f t="shared" si="28"/>
        <v>2557</v>
      </c>
      <c r="D1863" s="700" t="s">
        <v>2239</v>
      </c>
      <c r="E1863" s="701" t="s">
        <v>9736</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7268</v>
      </c>
      <c r="C1864" s="566">
        <f t="shared" si="28"/>
        <v>2558</v>
      </c>
      <c r="D1864" s="700" t="s">
        <v>2239</v>
      </c>
      <c r="E1864" s="701" t="s">
        <v>9737</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7269</v>
      </c>
      <c r="C1865" s="566">
        <f t="shared" ref="C1865:C1928" si="29">A1865</f>
        <v>2559</v>
      </c>
      <c r="D1865" s="700" t="s">
        <v>2239</v>
      </c>
      <c r="E1865" s="701" t="s">
        <v>9738</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7270</v>
      </c>
      <c r="C1866" s="566">
        <f t="shared" si="29"/>
        <v>2560</v>
      </c>
      <c r="D1866" s="700" t="s">
        <v>2239</v>
      </c>
      <c r="E1866" s="701" t="s">
        <v>9739</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7271</v>
      </c>
      <c r="C1867" s="566">
        <f t="shared" si="29"/>
        <v>2561</v>
      </c>
      <c r="D1867" s="699" t="s">
        <v>2239</v>
      </c>
      <c r="E1867" s="701" t="s">
        <v>9740</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7272</v>
      </c>
      <c r="C1868" s="566">
        <f t="shared" si="29"/>
        <v>2562</v>
      </c>
      <c r="D1868" s="700" t="s">
        <v>2239</v>
      </c>
      <c r="E1868" s="701" t="s">
        <v>9741</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7273</v>
      </c>
      <c r="C1869" s="566">
        <f t="shared" si="29"/>
        <v>2563</v>
      </c>
      <c r="D1869" s="699" t="s">
        <v>2239</v>
      </c>
      <c r="E1869" s="701" t="s">
        <v>9742</v>
      </c>
      <c r="F1869" s="567">
        <v>1</v>
      </c>
      <c r="G1869" s="662">
        <v>0</v>
      </c>
      <c r="H1869" s="662">
        <v>0</v>
      </c>
      <c r="I1869" s="662">
        <v>16447.304550148092</v>
      </c>
      <c r="J1869" s="662">
        <v>16824.910887147198</v>
      </c>
      <c r="K1869" s="568" t="s">
        <v>4162</v>
      </c>
      <c r="L1869" s="549"/>
      <c r="M1869" s="540"/>
      <c r="O1869" s="540"/>
      <c r="S1869" s="550"/>
      <c r="T1869" s="547"/>
      <c r="U1869" s="547"/>
      <c r="V1869" s="547"/>
      <c r="W1869" s="549"/>
    </row>
    <row r="1870" spans="1:23">
      <c r="A1870" s="565">
        <v>2564</v>
      </c>
      <c r="B1870" s="696" t="s">
        <v>7274</v>
      </c>
      <c r="C1870" s="566">
        <f t="shared" si="29"/>
        <v>2564</v>
      </c>
      <c r="D1870" s="700" t="s">
        <v>2239</v>
      </c>
      <c r="E1870" s="701" t="s">
        <v>9743</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7275</v>
      </c>
      <c r="C1871" s="566">
        <f t="shared" si="29"/>
        <v>2565</v>
      </c>
      <c r="D1871" s="700" t="s">
        <v>2239</v>
      </c>
      <c r="E1871" s="701" t="s">
        <v>9744</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7276</v>
      </c>
      <c r="C1872" s="566">
        <f t="shared" si="29"/>
        <v>2566</v>
      </c>
      <c r="D1872" s="700" t="s">
        <v>2239</v>
      </c>
      <c r="E1872" s="701" t="s">
        <v>9745</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7277</v>
      </c>
      <c r="C1873" s="566">
        <f t="shared" si="29"/>
        <v>2567</v>
      </c>
      <c r="D1873" s="700" t="s">
        <v>2239</v>
      </c>
      <c r="E1873" s="701" t="s">
        <v>9746</v>
      </c>
      <c r="F1873" s="566">
        <v>1</v>
      </c>
      <c r="G1873" s="662">
        <v>0</v>
      </c>
      <c r="H1873" s="662">
        <v>0</v>
      </c>
      <c r="I1873" s="662">
        <v>31168.822264346756</v>
      </c>
      <c r="J1873" s="662">
        <v>31939.015345453019</v>
      </c>
      <c r="K1873" s="566" t="s">
        <v>4163</v>
      </c>
      <c r="L1873" s="549"/>
      <c r="M1873" s="540"/>
      <c r="O1873" s="540"/>
      <c r="S1873" s="550"/>
      <c r="T1873" s="547"/>
      <c r="U1873" s="547"/>
      <c r="V1873" s="547"/>
      <c r="W1873" s="549"/>
    </row>
    <row r="1874" spans="1:23">
      <c r="A1874" s="565">
        <v>2568</v>
      </c>
      <c r="B1874" s="695" t="s">
        <v>7278</v>
      </c>
      <c r="C1874" s="566">
        <f t="shared" si="29"/>
        <v>2568</v>
      </c>
      <c r="D1874" s="699" t="s">
        <v>2240</v>
      </c>
      <c r="E1874" s="701" t="s">
        <v>9747</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7279</v>
      </c>
      <c r="C1875" s="566">
        <f t="shared" si="29"/>
        <v>2569</v>
      </c>
      <c r="D1875" s="700" t="s">
        <v>2240</v>
      </c>
      <c r="E1875" s="701" t="s">
        <v>9748</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7280</v>
      </c>
      <c r="C1876" s="566">
        <f t="shared" si="29"/>
        <v>2570</v>
      </c>
      <c r="D1876" s="700" t="s">
        <v>2240</v>
      </c>
      <c r="E1876" s="701" t="s">
        <v>9749</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7281</v>
      </c>
      <c r="C1877" s="566">
        <f t="shared" si="29"/>
        <v>2571</v>
      </c>
      <c r="D1877" s="700" t="s">
        <v>2240</v>
      </c>
      <c r="E1877" s="701" t="s">
        <v>9750</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7282</v>
      </c>
      <c r="C1878" s="566">
        <f t="shared" si="29"/>
        <v>2572</v>
      </c>
      <c r="D1878" s="700" t="s">
        <v>2240</v>
      </c>
      <c r="E1878" s="701" t="s">
        <v>9751</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7283</v>
      </c>
      <c r="C1879" s="566">
        <f t="shared" si="29"/>
        <v>2573</v>
      </c>
      <c r="D1879" s="700" t="s">
        <v>2240</v>
      </c>
      <c r="E1879" s="701" t="s">
        <v>9752</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7284</v>
      </c>
      <c r="C1880" s="566">
        <f t="shared" si="29"/>
        <v>2574</v>
      </c>
      <c r="D1880" s="700" t="s">
        <v>2240</v>
      </c>
      <c r="E1880" s="701" t="s">
        <v>9753</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7285</v>
      </c>
      <c r="C1881" s="566">
        <f t="shared" si="29"/>
        <v>2575</v>
      </c>
      <c r="D1881" s="700" t="s">
        <v>2240</v>
      </c>
      <c r="E1881" s="701" t="s">
        <v>9754</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7286</v>
      </c>
      <c r="C1882" s="566">
        <f t="shared" si="29"/>
        <v>2576</v>
      </c>
      <c r="D1882" s="700" t="s">
        <v>2240</v>
      </c>
      <c r="E1882" s="701" t="s">
        <v>9755</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7287</v>
      </c>
      <c r="C1883" s="566">
        <f t="shared" si="29"/>
        <v>2577</v>
      </c>
      <c r="D1883" s="700" t="s">
        <v>2240</v>
      </c>
      <c r="E1883" s="701" t="s">
        <v>9756</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7288</v>
      </c>
      <c r="C1884" s="566">
        <f t="shared" si="29"/>
        <v>2578</v>
      </c>
      <c r="D1884" s="700" t="s">
        <v>2240</v>
      </c>
      <c r="E1884" s="701" t="s">
        <v>9757</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7289</v>
      </c>
      <c r="C1885" s="566">
        <f t="shared" si="29"/>
        <v>2579</v>
      </c>
      <c r="D1885" s="700" t="s">
        <v>2240</v>
      </c>
      <c r="E1885" s="701" t="s">
        <v>9758</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7290</v>
      </c>
      <c r="C1886" s="566">
        <f t="shared" si="29"/>
        <v>2580</v>
      </c>
      <c r="D1886" s="700" t="s">
        <v>2240</v>
      </c>
      <c r="E1886" s="701" t="s">
        <v>9759</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7291</v>
      </c>
      <c r="C1887" s="566">
        <f t="shared" si="29"/>
        <v>2581</v>
      </c>
      <c r="D1887" s="700" t="s">
        <v>2241</v>
      </c>
      <c r="E1887" s="701" t="s">
        <v>9760</v>
      </c>
      <c r="F1887" s="566">
        <v>1</v>
      </c>
      <c r="G1887" s="662">
        <v>0</v>
      </c>
      <c r="H1887" s="662">
        <v>80759.659768102938</v>
      </c>
      <c r="I1887" s="662">
        <v>82853.448622350188</v>
      </c>
      <c r="J1887" s="662">
        <v>85057.433884506187</v>
      </c>
      <c r="K1887" s="566" t="s">
        <v>4915</v>
      </c>
      <c r="L1887" s="549"/>
      <c r="M1887" s="540"/>
      <c r="O1887" s="540"/>
      <c r="S1887" s="550"/>
      <c r="T1887" s="547"/>
      <c r="U1887" s="547"/>
      <c r="V1887" s="547"/>
      <c r="W1887" s="549"/>
    </row>
    <row r="1888" spans="1:23">
      <c r="A1888" s="565">
        <v>2582</v>
      </c>
      <c r="B1888" s="696" t="s">
        <v>7292</v>
      </c>
      <c r="C1888" s="566">
        <f t="shared" si="29"/>
        <v>2582</v>
      </c>
      <c r="D1888" s="700" t="s">
        <v>2241</v>
      </c>
      <c r="E1888" s="701" t="s">
        <v>9761</v>
      </c>
      <c r="F1888" s="566">
        <v>1</v>
      </c>
      <c r="G1888" s="662">
        <v>0</v>
      </c>
      <c r="H1888" s="662">
        <v>78192.259229383388</v>
      </c>
      <c r="I1888" s="662">
        <v>80217.5661340597</v>
      </c>
      <c r="J1888" s="662">
        <v>82349.486171818309</v>
      </c>
      <c r="K1888" s="566" t="s">
        <v>4916</v>
      </c>
      <c r="L1888" s="549"/>
      <c r="M1888" s="540"/>
      <c r="O1888" s="540"/>
      <c r="S1888" s="550"/>
      <c r="T1888" s="547"/>
      <c r="U1888" s="547"/>
      <c r="V1888" s="547"/>
      <c r="W1888" s="549"/>
    </row>
    <row r="1889" spans="1:23">
      <c r="A1889" s="565">
        <v>2583</v>
      </c>
      <c r="B1889" s="696" t="s">
        <v>7293</v>
      </c>
      <c r="C1889" s="566">
        <f t="shared" si="29"/>
        <v>2583</v>
      </c>
      <c r="D1889" s="700" t="s">
        <v>2241</v>
      </c>
      <c r="E1889" s="701" t="s">
        <v>9762</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7294</v>
      </c>
      <c r="C1890" s="566">
        <f t="shared" si="29"/>
        <v>2584</v>
      </c>
      <c r="D1890" s="700" t="s">
        <v>2241</v>
      </c>
      <c r="E1890" s="701" t="s">
        <v>9763</v>
      </c>
      <c r="F1890" s="566">
        <v>1</v>
      </c>
      <c r="G1890" s="662">
        <v>0</v>
      </c>
      <c r="H1890" s="662">
        <v>63182.857381037626</v>
      </c>
      <c r="I1890" s="662">
        <v>64809.963948131546</v>
      </c>
      <c r="J1890" s="662">
        <v>66522.712211176316</v>
      </c>
      <c r="K1890" s="566" t="s">
        <v>4917</v>
      </c>
      <c r="L1890" s="549"/>
      <c r="M1890" s="540"/>
      <c r="O1890" s="540"/>
      <c r="S1890" s="550"/>
      <c r="T1890" s="547"/>
      <c r="U1890" s="547"/>
      <c r="V1890" s="547"/>
      <c r="W1890" s="549"/>
    </row>
    <row r="1891" spans="1:23">
      <c r="A1891" s="565">
        <v>2585</v>
      </c>
      <c r="B1891" s="696" t="s">
        <v>7295</v>
      </c>
      <c r="C1891" s="566">
        <f t="shared" si="29"/>
        <v>2585</v>
      </c>
      <c r="D1891" s="700" t="s">
        <v>2241</v>
      </c>
      <c r="E1891" s="701" t="s">
        <v>9764</v>
      </c>
      <c r="F1891" s="566">
        <v>1</v>
      </c>
      <c r="G1891" s="662">
        <v>0</v>
      </c>
      <c r="H1891" s="662">
        <v>92011.847314342958</v>
      </c>
      <c r="I1891" s="662">
        <v>94405.703314312967</v>
      </c>
      <c r="J1891" s="662">
        <v>96925.559249015743</v>
      </c>
      <c r="K1891" s="566" t="s">
        <v>4918</v>
      </c>
      <c r="L1891" s="549"/>
      <c r="M1891" s="540"/>
      <c r="O1891" s="540"/>
      <c r="S1891" s="550"/>
      <c r="T1891" s="547"/>
      <c r="U1891" s="547"/>
      <c r="V1891" s="547"/>
      <c r="W1891" s="549"/>
    </row>
    <row r="1892" spans="1:23">
      <c r="A1892" s="565">
        <v>2586</v>
      </c>
      <c r="B1892" s="696" t="s">
        <v>7296</v>
      </c>
      <c r="C1892" s="566">
        <f t="shared" si="29"/>
        <v>2586</v>
      </c>
      <c r="D1892" s="700" t="s">
        <v>2241</v>
      </c>
      <c r="E1892" s="701" t="s">
        <v>9765</v>
      </c>
      <c r="F1892" s="566">
        <v>1</v>
      </c>
      <c r="G1892" s="662">
        <v>0</v>
      </c>
      <c r="H1892" s="662">
        <v>89444.446775623408</v>
      </c>
      <c r="I1892" s="662">
        <v>91769.849378013067</v>
      </c>
      <c r="J1892" s="662">
        <v>94217.640088318527</v>
      </c>
      <c r="K1892" s="566" t="s">
        <v>4919</v>
      </c>
      <c r="L1892" s="549"/>
      <c r="M1892" s="540"/>
      <c r="O1892" s="540"/>
      <c r="S1892" s="550"/>
      <c r="T1892" s="547"/>
      <c r="U1892" s="547"/>
      <c r="V1892" s="547"/>
      <c r="W1892" s="549"/>
    </row>
    <row r="1893" spans="1:23">
      <c r="A1893" s="565">
        <v>2587</v>
      </c>
      <c r="B1893" s="696" t="s">
        <v>7297</v>
      </c>
      <c r="C1893" s="566">
        <f t="shared" si="29"/>
        <v>2587</v>
      </c>
      <c r="D1893" s="700" t="s">
        <v>2241</v>
      </c>
      <c r="E1893" s="701" t="s">
        <v>9766</v>
      </c>
      <c r="F1893" s="566">
        <v>1</v>
      </c>
      <c r="G1893" s="662">
        <v>0</v>
      </c>
      <c r="H1893" s="662">
        <v>82851.615762615183</v>
      </c>
      <c r="I1893" s="662">
        <v>85001.195206590011</v>
      </c>
      <c r="J1893" s="662">
        <v>87263.911913510441</v>
      </c>
      <c r="K1893" s="566" t="s">
        <v>4920</v>
      </c>
      <c r="L1893" s="549"/>
      <c r="M1893" s="540"/>
      <c r="O1893" s="540"/>
      <c r="S1893" s="550"/>
      <c r="T1893" s="547"/>
      <c r="U1893" s="547"/>
      <c r="V1893" s="547"/>
      <c r="W1893" s="549"/>
    </row>
    <row r="1894" spans="1:23">
      <c r="A1894" s="565">
        <v>2588</v>
      </c>
      <c r="B1894" s="696" t="s">
        <v>7298</v>
      </c>
      <c r="C1894" s="566">
        <f t="shared" si="29"/>
        <v>2588</v>
      </c>
      <c r="D1894" s="700" t="s">
        <v>2241</v>
      </c>
      <c r="E1894" s="701" t="s">
        <v>9767</v>
      </c>
      <c r="F1894" s="566">
        <v>1</v>
      </c>
      <c r="G1894" s="662">
        <v>0</v>
      </c>
      <c r="H1894" s="662">
        <v>80284.215223895633</v>
      </c>
      <c r="I1894" s="662">
        <v>82365.312718299509</v>
      </c>
      <c r="J1894" s="662">
        <v>84555.935648831932</v>
      </c>
      <c r="K1894" s="566" t="s">
        <v>4921</v>
      </c>
      <c r="L1894" s="549"/>
      <c r="M1894" s="540"/>
      <c r="O1894" s="540"/>
      <c r="S1894" s="550"/>
      <c r="T1894" s="547"/>
      <c r="U1894" s="547"/>
      <c r="V1894" s="547"/>
      <c r="W1894" s="549"/>
    </row>
    <row r="1895" spans="1:23">
      <c r="A1895" s="565">
        <v>2589</v>
      </c>
      <c r="B1895" s="696" t="s">
        <v>7299</v>
      </c>
      <c r="C1895" s="566">
        <f t="shared" si="29"/>
        <v>2589</v>
      </c>
      <c r="D1895" s="700" t="s">
        <v>2241</v>
      </c>
      <c r="E1895" s="701" t="s">
        <v>9768</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7300</v>
      </c>
      <c r="C1896" s="566">
        <f t="shared" si="29"/>
        <v>2590</v>
      </c>
      <c r="D1896" s="700" t="s">
        <v>2241</v>
      </c>
      <c r="E1896" s="701" t="s">
        <v>9769</v>
      </c>
      <c r="F1896" s="566">
        <v>1</v>
      </c>
      <c r="G1896" s="662">
        <v>93603.549822230547</v>
      </c>
      <c r="H1896" s="662">
        <v>96162.950263981809</v>
      </c>
      <c r="I1896" s="662">
        <v>0</v>
      </c>
      <c r="J1896" s="662">
        <v>0</v>
      </c>
      <c r="K1896" s="566" t="s">
        <v>4922</v>
      </c>
      <c r="L1896" s="549"/>
      <c r="M1896" s="540"/>
      <c r="O1896" s="540"/>
      <c r="S1896" s="550"/>
      <c r="T1896" s="547"/>
      <c r="U1896" s="547"/>
      <c r="V1896" s="547"/>
      <c r="W1896" s="549"/>
    </row>
    <row r="1897" spans="1:23">
      <c r="A1897" s="565">
        <v>2591</v>
      </c>
      <c r="B1897" s="696" t="s">
        <v>7301</v>
      </c>
      <c r="C1897" s="566">
        <f t="shared" si="29"/>
        <v>2591</v>
      </c>
      <c r="D1897" s="700" t="s">
        <v>2241</v>
      </c>
      <c r="E1897" s="701" t="s">
        <v>9770</v>
      </c>
      <c r="F1897" s="566">
        <v>1</v>
      </c>
      <c r="G1897" s="662">
        <v>55687.085209058656</v>
      </c>
      <c r="H1897" s="662">
        <v>57068.202100718539</v>
      </c>
      <c r="I1897" s="662">
        <v>0</v>
      </c>
      <c r="J1897" s="662">
        <v>0</v>
      </c>
      <c r="K1897" s="566" t="s">
        <v>4923</v>
      </c>
      <c r="L1897" s="549"/>
      <c r="M1897" s="540"/>
      <c r="O1897" s="540"/>
      <c r="S1897" s="550"/>
      <c r="T1897" s="547"/>
      <c r="U1897" s="547"/>
      <c r="V1897" s="547"/>
      <c r="W1897" s="549"/>
    </row>
    <row r="1898" spans="1:23">
      <c r="A1898" s="565">
        <v>2592</v>
      </c>
      <c r="B1898" s="696" t="s">
        <v>7302</v>
      </c>
      <c r="C1898" s="566">
        <f t="shared" si="29"/>
        <v>2592</v>
      </c>
      <c r="D1898" s="700" t="s">
        <v>2241</v>
      </c>
      <c r="E1898" s="701" t="s">
        <v>9771</v>
      </c>
      <c r="F1898" s="566">
        <v>1</v>
      </c>
      <c r="G1898" s="662">
        <v>59050.017517772598</v>
      </c>
      <c r="H1898" s="662">
        <v>60556.334888427147</v>
      </c>
      <c r="I1898" s="662">
        <v>0</v>
      </c>
      <c r="J1898" s="662">
        <v>0</v>
      </c>
      <c r="K1898" s="566" t="s">
        <v>4924</v>
      </c>
      <c r="L1898" s="549"/>
      <c r="M1898" s="540"/>
      <c r="O1898" s="540"/>
      <c r="S1898" s="550"/>
      <c r="T1898" s="547"/>
      <c r="U1898" s="547"/>
      <c r="V1898" s="547"/>
      <c r="W1898" s="549"/>
    </row>
    <row r="1899" spans="1:23">
      <c r="A1899" s="565">
        <v>2593</v>
      </c>
      <c r="B1899" s="696" t="s">
        <v>7303</v>
      </c>
      <c r="C1899" s="566">
        <f t="shared" si="29"/>
        <v>2593</v>
      </c>
      <c r="D1899" s="700" t="s">
        <v>2241</v>
      </c>
      <c r="E1899" s="701" t="s">
        <v>9772</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7304</v>
      </c>
      <c r="C1900" s="566">
        <f t="shared" si="29"/>
        <v>2594</v>
      </c>
      <c r="D1900" s="700" t="s">
        <v>2241</v>
      </c>
      <c r="E1900" s="701" t="s">
        <v>9773</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7305</v>
      </c>
      <c r="C1901" s="566">
        <f t="shared" si="29"/>
        <v>2595</v>
      </c>
      <c r="D1901" s="700" t="s">
        <v>2241</v>
      </c>
      <c r="E1901" s="701" t="s">
        <v>9774</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7306</v>
      </c>
      <c r="C1902" s="566">
        <f t="shared" si="29"/>
        <v>2596</v>
      </c>
      <c r="D1902" s="699" t="s">
        <v>2241</v>
      </c>
      <c r="E1902" s="701" t="s">
        <v>9775</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7307</v>
      </c>
      <c r="C1903" s="566">
        <f t="shared" si="29"/>
        <v>2597</v>
      </c>
      <c r="D1903" s="699" t="s">
        <v>2241</v>
      </c>
      <c r="E1903" s="701" t="s">
        <v>9776</v>
      </c>
      <c r="F1903" s="567">
        <v>1</v>
      </c>
      <c r="G1903" s="662">
        <v>0</v>
      </c>
      <c r="H1903" s="662">
        <v>0</v>
      </c>
      <c r="I1903" s="662">
        <v>77563.040615262013</v>
      </c>
      <c r="J1903" s="662">
        <v>79570.531077773543</v>
      </c>
      <c r="K1903" s="568" t="s">
        <v>4164</v>
      </c>
      <c r="L1903" s="549"/>
      <c r="M1903" s="540"/>
      <c r="O1903" s="540"/>
      <c r="S1903" s="550"/>
      <c r="T1903" s="547"/>
      <c r="U1903" s="547"/>
      <c r="V1903" s="547"/>
      <c r="W1903" s="549"/>
    </row>
    <row r="1904" spans="1:23">
      <c r="A1904" s="565">
        <v>2598</v>
      </c>
      <c r="B1904" s="696" t="s">
        <v>7308</v>
      </c>
      <c r="C1904" s="566">
        <f t="shared" si="29"/>
        <v>2598</v>
      </c>
      <c r="D1904" s="700" t="s">
        <v>2241</v>
      </c>
      <c r="E1904" s="701" t="s">
        <v>9777</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7309</v>
      </c>
      <c r="C1905" s="566">
        <f t="shared" si="29"/>
        <v>2599</v>
      </c>
      <c r="D1905" s="700" t="s">
        <v>2241</v>
      </c>
      <c r="E1905" s="701" t="s">
        <v>9778</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7310</v>
      </c>
      <c r="C1906" s="566">
        <f t="shared" si="29"/>
        <v>2600</v>
      </c>
      <c r="D1906" s="699" t="s">
        <v>2241</v>
      </c>
      <c r="E1906" s="701" t="s">
        <v>9779</v>
      </c>
      <c r="F1906" s="567">
        <v>1</v>
      </c>
      <c r="G1906" s="662">
        <v>0</v>
      </c>
      <c r="H1906" s="662">
        <v>0</v>
      </c>
      <c r="I1906" s="662">
        <v>43635.61918292637</v>
      </c>
      <c r="J1906" s="662">
        <v>44905.554623000142</v>
      </c>
      <c r="K1906" s="568" t="s">
        <v>4165</v>
      </c>
      <c r="L1906" s="549"/>
      <c r="M1906" s="540"/>
      <c r="O1906" s="540"/>
      <c r="S1906" s="550"/>
      <c r="T1906" s="547"/>
      <c r="U1906" s="547"/>
      <c r="V1906" s="547"/>
      <c r="W1906" s="549"/>
    </row>
    <row r="1907" spans="1:23">
      <c r="A1907" s="565">
        <v>2601</v>
      </c>
      <c r="B1907" s="695" t="s">
        <v>7311</v>
      </c>
      <c r="C1907" s="566">
        <f t="shared" si="29"/>
        <v>2601</v>
      </c>
      <c r="D1907" s="699" t="s">
        <v>2241</v>
      </c>
      <c r="E1907" s="701" t="s">
        <v>9780</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7312</v>
      </c>
      <c r="C1908" s="566">
        <f t="shared" si="29"/>
        <v>2602</v>
      </c>
      <c r="D1908" s="699" t="s">
        <v>2241</v>
      </c>
      <c r="E1908" s="701" t="s">
        <v>9781</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7313</v>
      </c>
      <c r="C1909" s="566">
        <f t="shared" si="29"/>
        <v>2603</v>
      </c>
      <c r="D1909" s="699" t="s">
        <v>2241</v>
      </c>
      <c r="E1909" s="701" t="s">
        <v>9782</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7314</v>
      </c>
      <c r="C1910" s="566">
        <f t="shared" si="29"/>
        <v>2604</v>
      </c>
      <c r="D1910" s="699" t="s">
        <v>2241</v>
      </c>
      <c r="E1910" s="701" t="s">
        <v>9783</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7315</v>
      </c>
      <c r="C1911" s="566">
        <f t="shared" si="29"/>
        <v>2605</v>
      </c>
      <c r="D1911" s="699" t="s">
        <v>2241</v>
      </c>
      <c r="E1911" s="701" t="s">
        <v>9784</v>
      </c>
      <c r="F1911" s="567">
        <v>1</v>
      </c>
      <c r="G1911" s="662">
        <v>0</v>
      </c>
      <c r="H1911" s="662">
        <v>71941.748288204428</v>
      </c>
      <c r="I1911" s="662">
        <v>73800.368671473509</v>
      </c>
      <c r="J1911" s="662">
        <v>75756.808174705089</v>
      </c>
      <c r="K1911" s="568" t="s">
        <v>4925</v>
      </c>
      <c r="L1911" s="549"/>
      <c r="M1911" s="540"/>
      <c r="O1911" s="540"/>
      <c r="S1911" s="550"/>
      <c r="T1911" s="547"/>
      <c r="U1911" s="547"/>
      <c r="V1911" s="547"/>
      <c r="W1911" s="549"/>
    </row>
    <row r="1912" spans="1:23">
      <c r="A1912" s="565">
        <v>2606</v>
      </c>
      <c r="B1912" s="695" t="s">
        <v>7316</v>
      </c>
      <c r="C1912" s="566">
        <f t="shared" si="29"/>
        <v>2606</v>
      </c>
      <c r="D1912" s="699" t="s">
        <v>2241</v>
      </c>
      <c r="E1912" s="701" t="s">
        <v>9785</v>
      </c>
      <c r="F1912" s="567">
        <v>1</v>
      </c>
      <c r="G1912" s="662">
        <v>0</v>
      </c>
      <c r="H1912" s="662">
        <v>86930.296025855074</v>
      </c>
      <c r="I1912" s="662">
        <v>89188.644278206251</v>
      </c>
      <c r="J1912" s="662">
        <v>91565.854467628029</v>
      </c>
      <c r="K1912" s="568" t="s">
        <v>4926</v>
      </c>
      <c r="L1912" s="549"/>
      <c r="M1912" s="540"/>
      <c r="O1912" s="540"/>
      <c r="S1912" s="550"/>
      <c r="T1912" s="547"/>
      <c r="U1912" s="547"/>
      <c r="V1912" s="547"/>
      <c r="W1912" s="549"/>
    </row>
    <row r="1913" spans="1:23">
      <c r="A1913" s="565">
        <v>2607</v>
      </c>
      <c r="B1913" s="695" t="s">
        <v>7317</v>
      </c>
      <c r="C1913" s="566">
        <f t="shared" si="29"/>
        <v>2607</v>
      </c>
      <c r="D1913" s="699" t="s">
        <v>2241</v>
      </c>
      <c r="E1913" s="701" t="s">
        <v>9786</v>
      </c>
      <c r="F1913" s="567">
        <v>1</v>
      </c>
      <c r="G1913" s="662">
        <v>0</v>
      </c>
      <c r="H1913" s="662">
        <v>72349.99667016379</v>
      </c>
      <c r="I1913" s="662">
        <v>74219.495361870009</v>
      </c>
      <c r="J1913" s="662">
        <v>76187.412765342393</v>
      </c>
      <c r="K1913" s="568" t="s">
        <v>4927</v>
      </c>
      <c r="L1913" s="549"/>
      <c r="M1913" s="540"/>
      <c r="O1913" s="540"/>
      <c r="S1913" s="550"/>
      <c r="T1913" s="547"/>
      <c r="U1913" s="547"/>
      <c r="V1913" s="547"/>
      <c r="W1913" s="549"/>
    </row>
    <row r="1914" spans="1:23">
      <c r="A1914" s="565">
        <v>2608</v>
      </c>
      <c r="B1914" s="695" t="s">
        <v>7318</v>
      </c>
      <c r="C1914" s="566">
        <f t="shared" si="29"/>
        <v>2608</v>
      </c>
      <c r="D1914" s="699" t="s">
        <v>2241</v>
      </c>
      <c r="E1914" s="701" t="s">
        <v>9787</v>
      </c>
      <c r="F1914" s="567">
        <v>1</v>
      </c>
      <c r="G1914" s="662">
        <v>92322.676906219625</v>
      </c>
      <c r="H1914" s="662">
        <v>0</v>
      </c>
      <c r="I1914" s="662">
        <v>0</v>
      </c>
      <c r="J1914" s="662">
        <v>0</v>
      </c>
      <c r="K1914" s="568" t="s">
        <v>5340</v>
      </c>
      <c r="L1914" s="549"/>
      <c r="M1914" s="540"/>
      <c r="O1914" s="540"/>
      <c r="S1914" s="550"/>
      <c r="T1914" s="547"/>
      <c r="U1914" s="547"/>
      <c r="V1914" s="547"/>
      <c r="W1914" s="549"/>
    </row>
    <row r="1915" spans="1:23">
      <c r="A1915" s="565">
        <v>2609</v>
      </c>
      <c r="B1915" s="695" t="s">
        <v>7319</v>
      </c>
      <c r="C1915" s="566">
        <f t="shared" si="29"/>
        <v>2609</v>
      </c>
      <c r="D1915" s="699" t="s">
        <v>2241</v>
      </c>
      <c r="E1915" s="701" t="s">
        <v>9788</v>
      </c>
      <c r="F1915" s="567">
        <v>1</v>
      </c>
      <c r="G1915" s="662">
        <v>0</v>
      </c>
      <c r="H1915" s="662">
        <v>80106.715927391546</v>
      </c>
      <c r="I1915" s="662">
        <v>82183.07379134775</v>
      </c>
      <c r="J1915" s="662">
        <v>84368.728675507271</v>
      </c>
      <c r="K1915" s="568" t="s">
        <v>4928</v>
      </c>
      <c r="L1915" s="549"/>
      <c r="M1915" s="540"/>
      <c r="O1915" s="540"/>
      <c r="S1915" s="550"/>
      <c r="T1915" s="547"/>
      <c r="U1915" s="547"/>
      <c r="V1915" s="547"/>
      <c r="W1915" s="549"/>
    </row>
    <row r="1916" spans="1:23">
      <c r="A1916" s="565">
        <v>2610</v>
      </c>
      <c r="B1916" s="695" t="s">
        <v>7320</v>
      </c>
      <c r="C1916" s="566">
        <f t="shared" si="29"/>
        <v>2610</v>
      </c>
      <c r="D1916" s="699" t="s">
        <v>2241</v>
      </c>
      <c r="E1916" s="701" t="s">
        <v>9789</v>
      </c>
      <c r="F1916" s="567">
        <v>1</v>
      </c>
      <c r="G1916" s="662">
        <v>0</v>
      </c>
      <c r="H1916" s="662">
        <v>0</v>
      </c>
      <c r="I1916" s="662">
        <v>74198.52505804188</v>
      </c>
      <c r="J1916" s="662">
        <v>76117.333037598422</v>
      </c>
      <c r="K1916" s="568" t="s">
        <v>4166</v>
      </c>
      <c r="L1916" s="549"/>
      <c r="M1916" s="540"/>
      <c r="O1916" s="540"/>
      <c r="S1916" s="550"/>
      <c r="T1916" s="547"/>
      <c r="U1916" s="547"/>
      <c r="V1916" s="547"/>
      <c r="W1916" s="549"/>
    </row>
    <row r="1917" spans="1:23">
      <c r="A1917" s="565">
        <v>2611</v>
      </c>
      <c r="B1917" s="696" t="s">
        <v>7321</v>
      </c>
      <c r="C1917" s="566">
        <f t="shared" si="29"/>
        <v>2611</v>
      </c>
      <c r="D1917" s="700" t="s">
        <v>2242</v>
      </c>
      <c r="E1917" s="701" t="s">
        <v>9790</v>
      </c>
      <c r="F1917" s="566">
        <v>1</v>
      </c>
      <c r="G1917" s="662">
        <v>0</v>
      </c>
      <c r="H1917" s="662">
        <v>0</v>
      </c>
      <c r="I1917" s="662">
        <v>0</v>
      </c>
      <c r="J1917" s="662">
        <v>13470.678459076657</v>
      </c>
      <c r="K1917" s="566" t="s">
        <v>4929</v>
      </c>
      <c r="L1917" s="549"/>
      <c r="M1917" s="540"/>
      <c r="O1917" s="540"/>
      <c r="S1917" s="550"/>
      <c r="T1917" s="547"/>
      <c r="U1917" s="547"/>
      <c r="V1917" s="547"/>
      <c r="W1917" s="549"/>
    </row>
    <row r="1918" spans="1:23">
      <c r="A1918" s="565">
        <v>2612</v>
      </c>
      <c r="B1918" s="695" t="s">
        <v>7322</v>
      </c>
      <c r="C1918" s="566">
        <f t="shared" si="29"/>
        <v>2612</v>
      </c>
      <c r="D1918" s="699" t="s">
        <v>2242</v>
      </c>
      <c r="E1918" s="701" t="s">
        <v>9791</v>
      </c>
      <c r="F1918" s="567">
        <v>1</v>
      </c>
      <c r="G1918" s="662">
        <v>0</v>
      </c>
      <c r="H1918" s="662">
        <v>0</v>
      </c>
      <c r="I1918" s="662">
        <v>0</v>
      </c>
      <c r="J1918" s="662">
        <v>12635.373344821968</v>
      </c>
      <c r="K1918" s="568" t="s">
        <v>4930</v>
      </c>
      <c r="L1918" s="549"/>
      <c r="M1918" s="540"/>
      <c r="O1918" s="540"/>
      <c r="S1918" s="550"/>
      <c r="T1918" s="547"/>
      <c r="U1918" s="547"/>
      <c r="V1918" s="547"/>
      <c r="W1918" s="549"/>
    </row>
    <row r="1919" spans="1:23">
      <c r="A1919" s="565">
        <v>2613</v>
      </c>
      <c r="B1919" s="696" t="s">
        <v>7323</v>
      </c>
      <c r="C1919" s="566">
        <f t="shared" si="29"/>
        <v>2613</v>
      </c>
      <c r="D1919" s="700" t="s">
        <v>2242</v>
      </c>
      <c r="E1919" s="701" t="s">
        <v>9792</v>
      </c>
      <c r="F1919" s="566">
        <v>1</v>
      </c>
      <c r="G1919" s="662">
        <v>0</v>
      </c>
      <c r="H1919" s="662">
        <v>0</v>
      </c>
      <c r="I1919" s="662">
        <v>14763.021896465973</v>
      </c>
      <c r="J1919" s="662">
        <v>15127.248540238963</v>
      </c>
      <c r="K1919" s="566" t="s">
        <v>4167</v>
      </c>
      <c r="L1919" s="549"/>
      <c r="M1919" s="540"/>
      <c r="O1919" s="540"/>
      <c r="S1919" s="550"/>
      <c r="T1919" s="547"/>
      <c r="U1919" s="547"/>
      <c r="V1919" s="547"/>
      <c r="W1919" s="549"/>
    </row>
    <row r="1920" spans="1:23">
      <c r="A1920" s="565">
        <v>2614</v>
      </c>
      <c r="B1920" s="696" t="s">
        <v>7324</v>
      </c>
      <c r="C1920" s="566">
        <f t="shared" si="29"/>
        <v>2614</v>
      </c>
      <c r="D1920" s="700" t="s">
        <v>2242</v>
      </c>
      <c r="E1920" s="701" t="s">
        <v>9793</v>
      </c>
      <c r="F1920" s="566">
        <v>1</v>
      </c>
      <c r="G1920" s="662">
        <v>0</v>
      </c>
      <c r="H1920" s="662">
        <v>0</v>
      </c>
      <c r="I1920" s="662">
        <v>13902.597703330383</v>
      </c>
      <c r="J1920" s="662">
        <v>14241.705268222482</v>
      </c>
      <c r="K1920" s="566" t="s">
        <v>4168</v>
      </c>
      <c r="L1920" s="549"/>
      <c r="M1920" s="540"/>
      <c r="O1920" s="540"/>
      <c r="S1920" s="550"/>
      <c r="T1920" s="547"/>
      <c r="U1920" s="547"/>
      <c r="V1920" s="547"/>
      <c r="W1920" s="549"/>
    </row>
    <row r="1921" spans="1:23">
      <c r="A1921" s="565">
        <v>2615</v>
      </c>
      <c r="B1921" s="696" t="s">
        <v>7325</v>
      </c>
      <c r="C1921" s="566">
        <f t="shared" si="29"/>
        <v>2615</v>
      </c>
      <c r="D1921" s="700" t="s">
        <v>2242</v>
      </c>
      <c r="E1921" s="701" t="s">
        <v>9794</v>
      </c>
      <c r="F1921" s="566">
        <v>1</v>
      </c>
      <c r="G1921" s="662">
        <v>0</v>
      </c>
      <c r="H1921" s="662">
        <v>0</v>
      </c>
      <c r="I1921" s="662">
        <v>15241.03533709685</v>
      </c>
      <c r="J1921" s="662">
        <v>15619.217024692565</v>
      </c>
      <c r="K1921" s="566" t="s">
        <v>4169</v>
      </c>
      <c r="L1921" s="549"/>
      <c r="M1921" s="540"/>
      <c r="O1921" s="540"/>
      <c r="S1921" s="550"/>
      <c r="T1921" s="547"/>
      <c r="U1921" s="547"/>
      <c r="V1921" s="547"/>
      <c r="W1921" s="549"/>
    </row>
    <row r="1922" spans="1:23">
      <c r="A1922" s="565">
        <v>2616</v>
      </c>
      <c r="B1922" s="696" t="s">
        <v>7326</v>
      </c>
      <c r="C1922" s="566">
        <f t="shared" si="29"/>
        <v>2616</v>
      </c>
      <c r="D1922" s="700" t="s">
        <v>2242</v>
      </c>
      <c r="E1922" s="701" t="s">
        <v>9795</v>
      </c>
      <c r="F1922" s="566">
        <v>1</v>
      </c>
      <c r="G1922" s="662">
        <v>0</v>
      </c>
      <c r="H1922" s="662">
        <v>0</v>
      </c>
      <c r="I1922" s="662">
        <v>13711.392327078032</v>
      </c>
      <c r="J1922" s="662">
        <v>14044.91787444104</v>
      </c>
      <c r="K1922" s="566" t="s">
        <v>4170</v>
      </c>
      <c r="L1922" s="549"/>
      <c r="M1922" s="540"/>
      <c r="O1922" s="540"/>
      <c r="S1922" s="550"/>
      <c r="T1922" s="547"/>
      <c r="U1922" s="547"/>
      <c r="V1922" s="547"/>
      <c r="W1922" s="549"/>
    </row>
    <row r="1923" spans="1:23">
      <c r="A1923" s="565">
        <v>2617</v>
      </c>
      <c r="B1923" s="696" t="s">
        <v>7327</v>
      </c>
      <c r="C1923" s="566">
        <f t="shared" si="29"/>
        <v>2617</v>
      </c>
      <c r="D1923" s="700" t="s">
        <v>2242</v>
      </c>
      <c r="E1923" s="701" t="s">
        <v>9796</v>
      </c>
      <c r="F1923" s="566">
        <v>1</v>
      </c>
      <c r="G1923" s="662">
        <v>0</v>
      </c>
      <c r="H1923" s="662">
        <v>0</v>
      </c>
      <c r="I1923" s="662">
        <v>12707.564101753185</v>
      </c>
      <c r="J1923" s="662">
        <v>13011.784057088482</v>
      </c>
      <c r="K1923" s="566" t="s">
        <v>4171</v>
      </c>
      <c r="L1923" s="549"/>
      <c r="M1923" s="540"/>
      <c r="O1923" s="540"/>
      <c r="S1923" s="550"/>
      <c r="T1923" s="547"/>
      <c r="U1923" s="547"/>
      <c r="V1923" s="547"/>
      <c r="W1923" s="549"/>
    </row>
    <row r="1924" spans="1:23">
      <c r="A1924" s="565">
        <v>2618</v>
      </c>
      <c r="B1924" s="695" t="s">
        <v>7328</v>
      </c>
      <c r="C1924" s="566">
        <f t="shared" si="29"/>
        <v>2618</v>
      </c>
      <c r="D1924" s="699" t="s">
        <v>2242</v>
      </c>
      <c r="E1924" s="701" t="s">
        <v>9797</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7329</v>
      </c>
      <c r="C1925" s="566">
        <f t="shared" si="29"/>
        <v>2619</v>
      </c>
      <c r="D1925" s="700" t="s">
        <v>2242</v>
      </c>
      <c r="E1925" s="701" t="s">
        <v>9798</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7330</v>
      </c>
      <c r="C1926" s="566">
        <f t="shared" si="29"/>
        <v>2620</v>
      </c>
      <c r="D1926" s="699" t="s">
        <v>2242</v>
      </c>
      <c r="E1926" s="701" t="s">
        <v>9799</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7331</v>
      </c>
      <c r="C1927" s="566">
        <f t="shared" si="29"/>
        <v>2621</v>
      </c>
      <c r="D1927" s="699" t="s">
        <v>2242</v>
      </c>
      <c r="E1927" s="701" t="s">
        <v>9800</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7332</v>
      </c>
      <c r="C1928" s="566">
        <f t="shared" si="29"/>
        <v>2622</v>
      </c>
      <c r="D1928" s="700" t="s">
        <v>2242</v>
      </c>
      <c r="E1928" s="701" t="s">
        <v>9801</v>
      </c>
      <c r="F1928" s="566">
        <v>1</v>
      </c>
      <c r="G1928" s="662">
        <v>0</v>
      </c>
      <c r="H1928" s="662">
        <v>0</v>
      </c>
      <c r="I1928" s="662">
        <v>15121.867749607818</v>
      </c>
      <c r="J1928" s="662">
        <v>15525.451651533982</v>
      </c>
      <c r="K1928" s="566" t="s">
        <v>4172</v>
      </c>
      <c r="L1928" s="549"/>
      <c r="M1928" s="540"/>
      <c r="O1928" s="540"/>
      <c r="S1928" s="550"/>
      <c r="T1928" s="547"/>
      <c r="U1928" s="547"/>
      <c r="V1928" s="547"/>
      <c r="W1928" s="549"/>
    </row>
    <row r="1929" spans="1:23">
      <c r="A1929" s="565">
        <v>2623</v>
      </c>
      <c r="B1929" s="696" t="s">
        <v>7333</v>
      </c>
      <c r="C1929" s="566">
        <f t="shared" ref="C1929:C1992" si="30">A1929</f>
        <v>2623</v>
      </c>
      <c r="D1929" s="700" t="s">
        <v>2242</v>
      </c>
      <c r="E1929" s="701" t="s">
        <v>9802</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7334</v>
      </c>
      <c r="C1930" s="566">
        <f t="shared" si="30"/>
        <v>2624</v>
      </c>
      <c r="D1930" s="700" t="s">
        <v>2242</v>
      </c>
      <c r="E1930" s="701" t="s">
        <v>9803</v>
      </c>
      <c r="F1930" s="566">
        <v>1</v>
      </c>
      <c r="G1930" s="662">
        <v>0</v>
      </c>
      <c r="H1930" s="662">
        <v>0</v>
      </c>
      <c r="I1930" s="662">
        <v>13319.214767607327</v>
      </c>
      <c r="J1930" s="662">
        <v>13697.914448348911</v>
      </c>
      <c r="K1930" s="566" t="s">
        <v>4173</v>
      </c>
      <c r="L1930" s="549"/>
      <c r="M1930" s="540"/>
      <c r="O1930" s="540"/>
      <c r="S1930" s="550"/>
      <c r="T1930" s="547"/>
      <c r="U1930" s="547"/>
      <c r="V1930" s="547"/>
      <c r="W1930" s="549"/>
    </row>
    <row r="1931" spans="1:23">
      <c r="A1931" s="565">
        <v>2625</v>
      </c>
      <c r="B1931" s="696" t="s">
        <v>7335</v>
      </c>
      <c r="C1931" s="566">
        <f t="shared" si="30"/>
        <v>2625</v>
      </c>
      <c r="D1931" s="700" t="s">
        <v>2242</v>
      </c>
      <c r="E1931" s="701" t="s">
        <v>9804</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7336</v>
      </c>
      <c r="C1932" s="566">
        <f t="shared" si="30"/>
        <v>2626</v>
      </c>
      <c r="D1932" s="700" t="s">
        <v>2242</v>
      </c>
      <c r="E1932" s="701" t="s">
        <v>9805</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7337</v>
      </c>
      <c r="C1933" s="566">
        <f t="shared" si="30"/>
        <v>2627</v>
      </c>
      <c r="D1933" s="699" t="s">
        <v>2242</v>
      </c>
      <c r="E1933" s="701" t="s">
        <v>9806</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7338</v>
      </c>
      <c r="C1934" s="566">
        <f t="shared" si="30"/>
        <v>2628</v>
      </c>
      <c r="D1934" s="699" t="s">
        <v>2242</v>
      </c>
      <c r="E1934" s="701" t="s">
        <v>9807</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7339</v>
      </c>
      <c r="C1935" s="566">
        <f t="shared" si="30"/>
        <v>2629</v>
      </c>
      <c r="D1935" s="699" t="s">
        <v>2242</v>
      </c>
      <c r="E1935" s="701" t="s">
        <v>9808</v>
      </c>
      <c r="F1935" s="567">
        <v>1</v>
      </c>
      <c r="G1935" s="662">
        <v>0</v>
      </c>
      <c r="H1935" s="662">
        <v>0</v>
      </c>
      <c r="I1935" s="662">
        <v>14308.980886857587</v>
      </c>
      <c r="J1935" s="662">
        <v>14721.655546967208</v>
      </c>
      <c r="K1935" s="568" t="s">
        <v>4174</v>
      </c>
      <c r="L1935" s="549"/>
      <c r="M1935" s="540"/>
      <c r="O1935" s="540"/>
      <c r="S1935" s="550"/>
      <c r="T1935" s="547"/>
      <c r="U1935" s="547"/>
      <c r="V1935" s="547"/>
      <c r="W1935" s="549"/>
    </row>
    <row r="1936" spans="1:23">
      <c r="A1936" s="565">
        <v>2630</v>
      </c>
      <c r="B1936" s="695" t="s">
        <v>7340</v>
      </c>
      <c r="C1936" s="566">
        <f t="shared" si="30"/>
        <v>2630</v>
      </c>
      <c r="D1936" s="699" t="s">
        <v>2242</v>
      </c>
      <c r="E1936" s="701" t="s">
        <v>9809</v>
      </c>
      <c r="F1936" s="567">
        <v>1</v>
      </c>
      <c r="G1936" s="662">
        <v>20759.636621094251</v>
      </c>
      <c r="H1936" s="662">
        <v>0</v>
      </c>
      <c r="I1936" s="662">
        <v>0</v>
      </c>
      <c r="J1936" s="662">
        <v>0</v>
      </c>
      <c r="K1936" s="568" t="s">
        <v>5341</v>
      </c>
      <c r="L1936" s="549"/>
      <c r="M1936" s="540"/>
      <c r="O1936" s="540"/>
      <c r="S1936" s="550"/>
      <c r="T1936" s="547"/>
      <c r="U1936" s="547"/>
      <c r="V1936" s="547"/>
      <c r="W1936" s="549"/>
    </row>
    <row r="1937" spans="1:23">
      <c r="A1937" s="565">
        <v>2631</v>
      </c>
      <c r="B1937" s="696" t="s">
        <v>7341</v>
      </c>
      <c r="C1937" s="566">
        <f t="shared" si="30"/>
        <v>2631</v>
      </c>
      <c r="D1937" s="700" t="s">
        <v>2242</v>
      </c>
      <c r="E1937" s="701" t="s">
        <v>9810</v>
      </c>
      <c r="F1937" s="566">
        <v>1</v>
      </c>
      <c r="G1937" s="662">
        <v>18177.453143851282</v>
      </c>
      <c r="H1937" s="662">
        <v>0</v>
      </c>
      <c r="I1937" s="662">
        <v>0</v>
      </c>
      <c r="J1937" s="662">
        <v>0</v>
      </c>
      <c r="K1937" s="566" t="s">
        <v>5342</v>
      </c>
      <c r="L1937" s="549"/>
      <c r="M1937" s="540"/>
      <c r="O1937" s="540"/>
      <c r="S1937" s="550"/>
      <c r="T1937" s="547"/>
      <c r="U1937" s="547"/>
      <c r="V1937" s="547"/>
      <c r="W1937" s="549"/>
    </row>
    <row r="1938" spans="1:23">
      <c r="A1938" s="565">
        <v>2632</v>
      </c>
      <c r="B1938" s="696" t="s">
        <v>7342</v>
      </c>
      <c r="C1938" s="566">
        <f t="shared" si="30"/>
        <v>2632</v>
      </c>
      <c r="D1938" s="700" t="s">
        <v>2242</v>
      </c>
      <c r="E1938" s="701" t="s">
        <v>9811</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7343</v>
      </c>
      <c r="C1939" s="566">
        <f t="shared" si="30"/>
        <v>2633</v>
      </c>
      <c r="D1939" s="700" t="s">
        <v>2242</v>
      </c>
      <c r="E1939" s="701" t="s">
        <v>9812</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7344</v>
      </c>
      <c r="C1940" s="566">
        <f t="shared" si="30"/>
        <v>2634</v>
      </c>
      <c r="D1940" s="700" t="s">
        <v>2242</v>
      </c>
      <c r="E1940" s="701" t="s">
        <v>9813</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7345</v>
      </c>
      <c r="C1941" s="566">
        <f t="shared" si="30"/>
        <v>2635</v>
      </c>
      <c r="D1941" s="700" t="s">
        <v>2242</v>
      </c>
      <c r="E1941" s="701" t="s">
        <v>9814</v>
      </c>
      <c r="F1941" s="566">
        <v>1</v>
      </c>
      <c r="G1941" s="662">
        <v>0</v>
      </c>
      <c r="H1941" s="662">
        <v>0</v>
      </c>
      <c r="I1941" s="662">
        <v>0</v>
      </c>
      <c r="J1941" s="662">
        <v>20385.148571518243</v>
      </c>
      <c r="K1941" s="566" t="s">
        <v>4931</v>
      </c>
      <c r="L1941" s="549"/>
      <c r="M1941" s="540"/>
      <c r="O1941" s="540"/>
      <c r="S1941" s="550"/>
      <c r="T1941" s="547"/>
      <c r="U1941" s="547"/>
      <c r="V1941" s="547"/>
      <c r="W1941" s="549"/>
    </row>
    <row r="1942" spans="1:23">
      <c r="A1942" s="565">
        <v>2636</v>
      </c>
      <c r="B1942" s="696" t="s">
        <v>7346</v>
      </c>
      <c r="C1942" s="566">
        <f t="shared" si="30"/>
        <v>2636</v>
      </c>
      <c r="D1942" s="700" t="s">
        <v>2242</v>
      </c>
      <c r="E1942" s="701" t="s">
        <v>9815</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7347</v>
      </c>
      <c r="C1943" s="566">
        <f t="shared" si="30"/>
        <v>2637</v>
      </c>
      <c r="D1943" s="700" t="s">
        <v>2242</v>
      </c>
      <c r="E1943" s="701" t="s">
        <v>9816</v>
      </c>
      <c r="F1943" s="566">
        <v>1</v>
      </c>
      <c r="G1943" s="662">
        <v>13795.702357774</v>
      </c>
      <c r="H1943" s="662">
        <v>0</v>
      </c>
      <c r="I1943" s="662">
        <v>0</v>
      </c>
      <c r="J1943" s="662">
        <v>0</v>
      </c>
      <c r="K1943" s="566" t="s">
        <v>5343</v>
      </c>
      <c r="L1943" s="549"/>
      <c r="M1943" s="540"/>
      <c r="O1943" s="540"/>
      <c r="S1943" s="550"/>
      <c r="T1943" s="547"/>
      <c r="U1943" s="547"/>
      <c r="V1943" s="547"/>
      <c r="W1943" s="549"/>
    </row>
    <row r="1944" spans="1:23">
      <c r="A1944" s="565">
        <v>2638</v>
      </c>
      <c r="B1944" s="696" t="s">
        <v>7348</v>
      </c>
      <c r="C1944" s="566">
        <f t="shared" si="30"/>
        <v>2638</v>
      </c>
      <c r="D1944" s="700" t="s">
        <v>2242</v>
      </c>
      <c r="E1944" s="701" t="s">
        <v>9817</v>
      </c>
      <c r="F1944" s="566">
        <v>1</v>
      </c>
      <c r="G1944" s="662">
        <v>0</v>
      </c>
      <c r="H1944" s="662">
        <v>0</v>
      </c>
      <c r="I1944" s="662">
        <v>0</v>
      </c>
      <c r="J1944" s="662">
        <v>17656.50666758445</v>
      </c>
      <c r="K1944" s="566" t="s">
        <v>4932</v>
      </c>
      <c r="L1944" s="549"/>
      <c r="M1944" s="540"/>
      <c r="O1944" s="540"/>
      <c r="S1944" s="550"/>
      <c r="T1944" s="547"/>
      <c r="U1944" s="547"/>
      <c r="V1944" s="547"/>
      <c r="W1944" s="549"/>
    </row>
    <row r="1945" spans="1:23">
      <c r="A1945" s="565">
        <v>2639</v>
      </c>
      <c r="B1945" s="696" t="s">
        <v>7349</v>
      </c>
      <c r="C1945" s="566">
        <f t="shared" si="30"/>
        <v>2639</v>
      </c>
      <c r="D1945" s="700" t="s">
        <v>2242</v>
      </c>
      <c r="E1945" s="701" t="s">
        <v>9818</v>
      </c>
      <c r="F1945" s="566">
        <v>1</v>
      </c>
      <c r="G1945" s="662">
        <v>8836.3538612554312</v>
      </c>
      <c r="H1945" s="662">
        <v>0</v>
      </c>
      <c r="I1945" s="662">
        <v>0</v>
      </c>
      <c r="J1945" s="662">
        <v>0</v>
      </c>
      <c r="K1945" s="566" t="s">
        <v>5344</v>
      </c>
      <c r="L1945" s="549"/>
      <c r="M1945" s="540"/>
      <c r="O1945" s="540"/>
      <c r="S1945" s="550"/>
      <c r="T1945" s="547"/>
      <c r="U1945" s="547"/>
      <c r="V1945" s="547"/>
      <c r="W1945" s="549"/>
    </row>
    <row r="1946" spans="1:23">
      <c r="A1946" s="565">
        <v>2640</v>
      </c>
      <c r="B1946" s="696" t="s">
        <v>7350</v>
      </c>
      <c r="C1946" s="566">
        <f t="shared" si="30"/>
        <v>2640</v>
      </c>
      <c r="D1946" s="700" t="s">
        <v>2242</v>
      </c>
      <c r="E1946" s="701" t="s">
        <v>9819</v>
      </c>
      <c r="F1946" s="566">
        <v>1</v>
      </c>
      <c r="G1946" s="662">
        <v>9409.1021516583369</v>
      </c>
      <c r="H1946" s="662">
        <v>0</v>
      </c>
      <c r="I1946" s="662">
        <v>0</v>
      </c>
      <c r="J1946" s="662">
        <v>0</v>
      </c>
      <c r="K1946" s="566" t="s">
        <v>5345</v>
      </c>
      <c r="L1946" s="549"/>
      <c r="M1946" s="540"/>
      <c r="O1946" s="540"/>
      <c r="S1946" s="550"/>
      <c r="T1946" s="547"/>
      <c r="U1946" s="547"/>
      <c r="V1946" s="547"/>
      <c r="W1946" s="549"/>
    </row>
    <row r="1947" spans="1:23">
      <c r="A1947" s="565">
        <v>2641</v>
      </c>
      <c r="B1947" s="696" t="s">
        <v>7351</v>
      </c>
      <c r="C1947" s="566">
        <f t="shared" si="30"/>
        <v>2641</v>
      </c>
      <c r="D1947" s="700" t="s">
        <v>2242</v>
      </c>
      <c r="E1947" s="701" t="s">
        <v>9820</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7352</v>
      </c>
      <c r="C1948" s="566">
        <f t="shared" si="30"/>
        <v>2642</v>
      </c>
      <c r="D1948" s="700" t="s">
        <v>2242</v>
      </c>
      <c r="E1948" s="701" t="s">
        <v>9821</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7353</v>
      </c>
      <c r="C1949" s="566">
        <f t="shared" si="30"/>
        <v>2643</v>
      </c>
      <c r="D1949" s="699" t="s">
        <v>2242</v>
      </c>
      <c r="E1949" s="701" t="s">
        <v>9822</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7354</v>
      </c>
      <c r="C1950" s="566">
        <f t="shared" si="30"/>
        <v>2644</v>
      </c>
      <c r="D1950" s="699" t="s">
        <v>2242</v>
      </c>
      <c r="E1950" s="701" t="s">
        <v>9823</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7355</v>
      </c>
      <c r="C1951" s="566">
        <f t="shared" si="30"/>
        <v>2645</v>
      </c>
      <c r="D1951" s="699" t="s">
        <v>2242</v>
      </c>
      <c r="E1951" s="701" t="s">
        <v>9824</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7356</v>
      </c>
      <c r="C1952" s="566">
        <f t="shared" si="30"/>
        <v>2646</v>
      </c>
      <c r="D1952" s="699" t="s">
        <v>2242</v>
      </c>
      <c r="E1952" s="701" t="s">
        <v>9825</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7357</v>
      </c>
      <c r="C1953" s="566">
        <f t="shared" si="30"/>
        <v>2647</v>
      </c>
      <c r="D1953" s="699" t="s">
        <v>2242</v>
      </c>
      <c r="E1953" s="701" t="s">
        <v>9826</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7358</v>
      </c>
      <c r="C1954" s="566">
        <f t="shared" si="30"/>
        <v>2648</v>
      </c>
      <c r="D1954" s="699" t="s">
        <v>2242</v>
      </c>
      <c r="E1954" s="701" t="s">
        <v>9827</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7359</v>
      </c>
      <c r="C1955" s="566">
        <f t="shared" si="30"/>
        <v>2649</v>
      </c>
      <c r="D1955" s="700" t="s">
        <v>2242</v>
      </c>
      <c r="E1955" s="701" t="s">
        <v>9828</v>
      </c>
      <c r="F1955" s="566">
        <v>1</v>
      </c>
      <c r="G1955" s="662">
        <v>0</v>
      </c>
      <c r="H1955" s="662">
        <v>0</v>
      </c>
      <c r="I1955" s="662">
        <v>0</v>
      </c>
      <c r="J1955" s="662">
        <v>11939.285749609729</v>
      </c>
      <c r="K1955" s="566" t="s">
        <v>4933</v>
      </c>
      <c r="L1955" s="549"/>
      <c r="M1955" s="540"/>
      <c r="O1955" s="540"/>
      <c r="S1955" s="550"/>
      <c r="T1955" s="547"/>
      <c r="U1955" s="547"/>
      <c r="V1955" s="547"/>
      <c r="W1955" s="549"/>
    </row>
    <row r="1956" spans="1:23">
      <c r="A1956" s="565">
        <v>2650</v>
      </c>
      <c r="B1956" s="696" t="s">
        <v>7360</v>
      </c>
      <c r="C1956" s="566">
        <f t="shared" si="30"/>
        <v>2650</v>
      </c>
      <c r="D1956" s="700" t="s">
        <v>2242</v>
      </c>
      <c r="E1956" s="701" t="s">
        <v>9829</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7361</v>
      </c>
      <c r="C1957" s="566">
        <f t="shared" si="30"/>
        <v>2651</v>
      </c>
      <c r="D1957" s="700" t="s">
        <v>2242</v>
      </c>
      <c r="E1957" s="701" t="s">
        <v>9830</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7362</v>
      </c>
      <c r="C1958" s="566">
        <f t="shared" si="30"/>
        <v>2652</v>
      </c>
      <c r="D1958" s="700" t="s">
        <v>2242</v>
      </c>
      <c r="E1958" s="701" t="s">
        <v>9831</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7363</v>
      </c>
      <c r="C1959" s="566">
        <f t="shared" si="30"/>
        <v>2653</v>
      </c>
      <c r="D1959" s="700" t="s">
        <v>2242</v>
      </c>
      <c r="E1959" s="701" t="s">
        <v>9832</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7364</v>
      </c>
      <c r="C1960" s="566">
        <f t="shared" si="30"/>
        <v>2654</v>
      </c>
      <c r="D1960" s="700" t="s">
        <v>2243</v>
      </c>
      <c r="E1960" s="701" t="s">
        <v>9833</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7365</v>
      </c>
      <c r="C1961" s="566">
        <f t="shared" si="30"/>
        <v>2655</v>
      </c>
      <c r="D1961" s="700" t="s">
        <v>2243</v>
      </c>
      <c r="E1961" s="701" t="s">
        <v>9834</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7366</v>
      </c>
      <c r="C1962" s="566">
        <f t="shared" si="30"/>
        <v>2656</v>
      </c>
      <c r="D1962" s="700" t="s">
        <v>2243</v>
      </c>
      <c r="E1962" s="701" t="s">
        <v>9835</v>
      </c>
      <c r="F1962" s="566">
        <v>1</v>
      </c>
      <c r="G1962" s="662">
        <v>22104.978372615955</v>
      </c>
      <c r="H1962" s="662">
        <v>0</v>
      </c>
      <c r="I1962" s="662">
        <v>0</v>
      </c>
      <c r="J1962" s="662">
        <v>0</v>
      </c>
      <c r="K1962" s="566" t="s">
        <v>5346</v>
      </c>
      <c r="L1962" s="549"/>
      <c r="M1962" s="540"/>
      <c r="O1962" s="540"/>
      <c r="S1962" s="550"/>
      <c r="T1962" s="547"/>
      <c r="U1962" s="547"/>
      <c r="V1962" s="547"/>
      <c r="W1962" s="549"/>
    </row>
    <row r="1963" spans="1:23">
      <c r="A1963" s="565">
        <v>2657</v>
      </c>
      <c r="B1963" s="696" t="s">
        <v>7367</v>
      </c>
      <c r="C1963" s="566">
        <f t="shared" si="30"/>
        <v>2657</v>
      </c>
      <c r="D1963" s="700" t="s">
        <v>2243</v>
      </c>
      <c r="E1963" s="701" t="s">
        <v>9836</v>
      </c>
      <c r="F1963" s="566">
        <v>1</v>
      </c>
      <c r="G1963" s="662">
        <v>17965.885482926715</v>
      </c>
      <c r="H1963" s="662">
        <v>0</v>
      </c>
      <c r="I1963" s="662">
        <v>0</v>
      </c>
      <c r="J1963" s="662">
        <v>0</v>
      </c>
      <c r="K1963" s="566" t="s">
        <v>5347</v>
      </c>
      <c r="L1963" s="549"/>
      <c r="M1963" s="540"/>
      <c r="O1963" s="540"/>
      <c r="S1963" s="550"/>
      <c r="T1963" s="547"/>
      <c r="U1963" s="547"/>
      <c r="V1963" s="547"/>
      <c r="W1963" s="549"/>
    </row>
    <row r="1964" spans="1:23">
      <c r="A1964" s="565">
        <v>2658</v>
      </c>
      <c r="B1964" s="696" t="s">
        <v>7368</v>
      </c>
      <c r="C1964" s="566">
        <f t="shared" si="30"/>
        <v>2658</v>
      </c>
      <c r="D1964" s="700" t="s">
        <v>2243</v>
      </c>
      <c r="E1964" s="701" t="s">
        <v>9837</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7369</v>
      </c>
      <c r="C1965" s="566">
        <f t="shared" si="30"/>
        <v>2659</v>
      </c>
      <c r="D1965" s="700" t="s">
        <v>2243</v>
      </c>
      <c r="E1965" s="701" t="s">
        <v>9838</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7370</v>
      </c>
      <c r="C1966" s="566">
        <f t="shared" si="30"/>
        <v>2660</v>
      </c>
      <c r="D1966" s="700" t="s">
        <v>2243</v>
      </c>
      <c r="E1966" s="701" t="s">
        <v>9839</v>
      </c>
      <c r="F1966" s="566">
        <v>1</v>
      </c>
      <c r="G1966" s="662">
        <v>0</v>
      </c>
      <c r="H1966" s="662">
        <v>0</v>
      </c>
      <c r="I1966" s="662">
        <v>15913.946678406373</v>
      </c>
      <c r="J1966" s="662">
        <v>16354.304044006047</v>
      </c>
      <c r="K1966" s="566" t="s">
        <v>4175</v>
      </c>
      <c r="L1966" s="549"/>
      <c r="M1966" s="540"/>
      <c r="O1966" s="540"/>
      <c r="S1966" s="550"/>
      <c r="T1966" s="547"/>
      <c r="U1966" s="547"/>
      <c r="V1966" s="547"/>
      <c r="W1966" s="549"/>
    </row>
    <row r="1967" spans="1:23">
      <c r="A1967" s="565">
        <v>2661</v>
      </c>
      <c r="B1967" s="695" t="s">
        <v>7371</v>
      </c>
      <c r="C1967" s="566">
        <f t="shared" si="30"/>
        <v>2661</v>
      </c>
      <c r="D1967" s="699" t="s">
        <v>2243</v>
      </c>
      <c r="E1967" s="701" t="s">
        <v>9840</v>
      </c>
      <c r="F1967" s="567">
        <v>1</v>
      </c>
      <c r="G1967" s="662">
        <v>0</v>
      </c>
      <c r="H1967" s="662">
        <v>0</v>
      </c>
      <c r="I1967" s="662">
        <v>16763.853063058948</v>
      </c>
      <c r="J1967" s="662">
        <v>17231.6208156459</v>
      </c>
      <c r="K1967" s="568" t="s">
        <v>4176</v>
      </c>
      <c r="L1967" s="549"/>
      <c r="M1967" s="540"/>
      <c r="O1967" s="540"/>
      <c r="S1967" s="550"/>
      <c r="T1967" s="547"/>
      <c r="U1967" s="547"/>
      <c r="V1967" s="547"/>
      <c r="W1967" s="549"/>
    </row>
    <row r="1968" spans="1:23">
      <c r="A1968" s="565">
        <v>2662</v>
      </c>
      <c r="B1968" s="696" t="s">
        <v>7372</v>
      </c>
      <c r="C1968" s="566">
        <f t="shared" si="30"/>
        <v>2662</v>
      </c>
      <c r="D1968" s="700" t="s">
        <v>2243</v>
      </c>
      <c r="E1968" s="701" t="s">
        <v>9841</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7373</v>
      </c>
      <c r="C1969" s="566">
        <f t="shared" si="30"/>
        <v>2663</v>
      </c>
      <c r="D1969" s="700" t="s">
        <v>2243</v>
      </c>
      <c r="E1969" s="701" t="s">
        <v>9842</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7374</v>
      </c>
      <c r="C1970" s="566">
        <f t="shared" si="30"/>
        <v>2664</v>
      </c>
      <c r="D1970" s="700" t="s">
        <v>2243</v>
      </c>
      <c r="E1970" s="701" t="s">
        <v>9843</v>
      </c>
      <c r="F1970" s="566">
        <v>1</v>
      </c>
      <c r="G1970" s="662">
        <v>0</v>
      </c>
      <c r="H1970" s="662">
        <v>0</v>
      </c>
      <c r="I1970" s="662">
        <v>25121.473181213387</v>
      </c>
      <c r="J1970" s="662">
        <v>25799.730994665071</v>
      </c>
      <c r="K1970" s="566" t="s">
        <v>4177</v>
      </c>
      <c r="L1970" s="549"/>
      <c r="M1970" s="540"/>
      <c r="O1970" s="540"/>
      <c r="S1970" s="550"/>
      <c r="T1970" s="547"/>
      <c r="U1970" s="547"/>
      <c r="V1970" s="547"/>
      <c r="W1970" s="549"/>
    </row>
    <row r="1971" spans="1:23">
      <c r="A1971" s="565">
        <v>2665</v>
      </c>
      <c r="B1971" s="696" t="s">
        <v>7375</v>
      </c>
      <c r="C1971" s="566">
        <f t="shared" si="30"/>
        <v>2665</v>
      </c>
      <c r="D1971" s="700" t="s">
        <v>2243</v>
      </c>
      <c r="E1971" s="701" t="s">
        <v>9844</v>
      </c>
      <c r="F1971" s="566">
        <v>1</v>
      </c>
      <c r="G1971" s="662">
        <v>0</v>
      </c>
      <c r="H1971" s="662">
        <v>0</v>
      </c>
      <c r="I1971" s="662">
        <v>25476.370332651491</v>
      </c>
      <c r="J1971" s="662">
        <v>26165.15807694582</v>
      </c>
      <c r="K1971" s="566" t="s">
        <v>4178</v>
      </c>
      <c r="L1971" s="549"/>
      <c r="M1971" s="540"/>
      <c r="O1971" s="540"/>
      <c r="S1971" s="550"/>
      <c r="T1971" s="547"/>
      <c r="U1971" s="547"/>
      <c r="V1971" s="547"/>
      <c r="W1971" s="549"/>
    </row>
    <row r="1972" spans="1:23">
      <c r="A1972" s="565">
        <v>2666</v>
      </c>
      <c r="B1972" s="696" t="s">
        <v>7376</v>
      </c>
      <c r="C1972" s="566">
        <f t="shared" si="30"/>
        <v>2666</v>
      </c>
      <c r="D1972" s="700" t="s">
        <v>2243</v>
      </c>
      <c r="E1972" s="701" t="s">
        <v>9845</v>
      </c>
      <c r="F1972" s="566">
        <v>1</v>
      </c>
      <c r="G1972" s="662">
        <v>0</v>
      </c>
      <c r="H1972" s="662">
        <v>0</v>
      </c>
      <c r="I1972" s="662">
        <v>29717.824093741165</v>
      </c>
      <c r="J1972" s="662">
        <v>30532.591062188923</v>
      </c>
      <c r="K1972" s="566" t="s">
        <v>4179</v>
      </c>
      <c r="L1972" s="549"/>
      <c r="M1972" s="540"/>
      <c r="O1972" s="540"/>
      <c r="S1972" s="550"/>
      <c r="T1972" s="547"/>
      <c r="U1972" s="547"/>
      <c r="V1972" s="547"/>
      <c r="W1972" s="549"/>
    </row>
    <row r="1973" spans="1:23">
      <c r="A1973" s="565">
        <v>2667</v>
      </c>
      <c r="B1973" s="696" t="s">
        <v>7377</v>
      </c>
      <c r="C1973" s="566">
        <f t="shared" si="30"/>
        <v>2667</v>
      </c>
      <c r="D1973" s="700" t="s">
        <v>2243</v>
      </c>
      <c r="E1973" s="701" t="s">
        <v>9846</v>
      </c>
      <c r="F1973" s="566">
        <v>1</v>
      </c>
      <c r="G1973" s="662">
        <v>0</v>
      </c>
      <c r="H1973" s="662">
        <v>0</v>
      </c>
      <c r="I1973" s="662">
        <v>18040.842208618793</v>
      </c>
      <c r="J1973" s="662">
        <v>18508.772795187848</v>
      </c>
      <c r="K1973" s="566" t="s">
        <v>4180</v>
      </c>
      <c r="L1973" s="549"/>
      <c r="M1973" s="540"/>
      <c r="O1973" s="540"/>
      <c r="S1973" s="550"/>
      <c r="T1973" s="547"/>
      <c r="U1973" s="547"/>
      <c r="V1973" s="547"/>
      <c r="W1973" s="549"/>
    </row>
    <row r="1974" spans="1:23">
      <c r="A1974" s="565">
        <v>2668</v>
      </c>
      <c r="B1974" s="697" t="s">
        <v>7378</v>
      </c>
      <c r="C1974" s="566">
        <f t="shared" si="30"/>
        <v>2668</v>
      </c>
      <c r="D1974" s="699" t="s">
        <v>2243</v>
      </c>
      <c r="E1974" s="701" t="s">
        <v>9847</v>
      </c>
      <c r="F1974" s="567">
        <v>1</v>
      </c>
      <c r="G1974" s="662">
        <v>0</v>
      </c>
      <c r="H1974" s="662">
        <v>0</v>
      </c>
      <c r="I1974" s="662">
        <v>21269.540683897256</v>
      </c>
      <c r="J1974" s="662">
        <v>21833.380485924794</v>
      </c>
      <c r="K1974" s="568" t="s">
        <v>4181</v>
      </c>
      <c r="L1974" s="549"/>
      <c r="M1974" s="540"/>
      <c r="O1974" s="540"/>
      <c r="S1974" s="550"/>
      <c r="T1974" s="547"/>
      <c r="U1974" s="547"/>
      <c r="V1974" s="547"/>
      <c r="W1974" s="549"/>
    </row>
    <row r="1975" spans="1:23">
      <c r="A1975" s="565">
        <v>2669</v>
      </c>
      <c r="B1975" s="697" t="s">
        <v>7379</v>
      </c>
      <c r="C1975" s="566">
        <f t="shared" si="30"/>
        <v>2669</v>
      </c>
      <c r="D1975" s="699" t="s">
        <v>2243</v>
      </c>
      <c r="E1975" s="701" t="s">
        <v>9848</v>
      </c>
      <c r="F1975" s="567">
        <v>1</v>
      </c>
      <c r="G1975" s="662">
        <v>0</v>
      </c>
      <c r="H1975" s="662">
        <v>0</v>
      </c>
      <c r="I1975" s="662">
        <v>22654.505177314288</v>
      </c>
      <c r="J1975" s="662">
        <v>23259.487698819772</v>
      </c>
      <c r="K1975" s="568" t="s">
        <v>4182</v>
      </c>
      <c r="L1975" s="549"/>
      <c r="M1975" s="540"/>
      <c r="O1975" s="540"/>
      <c r="S1975" s="550"/>
      <c r="T1975" s="547"/>
      <c r="U1975" s="547"/>
      <c r="V1975" s="547"/>
      <c r="W1975" s="549"/>
    </row>
    <row r="1976" spans="1:23">
      <c r="A1976" s="565">
        <v>2670</v>
      </c>
      <c r="B1976" s="696" t="s">
        <v>7380</v>
      </c>
      <c r="C1976" s="566">
        <f t="shared" si="30"/>
        <v>2670</v>
      </c>
      <c r="D1976" s="700" t="s">
        <v>2243</v>
      </c>
      <c r="E1976" s="701" t="s">
        <v>9849</v>
      </c>
      <c r="F1976" s="566">
        <v>1</v>
      </c>
      <c r="G1976" s="662">
        <v>0</v>
      </c>
      <c r="H1976" s="662">
        <v>0</v>
      </c>
      <c r="I1976" s="662">
        <v>21226.260543477969</v>
      </c>
      <c r="J1976" s="662">
        <v>21788.797673648689</v>
      </c>
      <c r="K1976" s="566" t="s">
        <v>4183</v>
      </c>
      <c r="L1976" s="549"/>
      <c r="M1976" s="540"/>
      <c r="O1976" s="540"/>
      <c r="S1976" s="550"/>
      <c r="T1976" s="547"/>
      <c r="U1976" s="547"/>
      <c r="V1976" s="547"/>
      <c r="W1976" s="549"/>
    </row>
    <row r="1977" spans="1:23">
      <c r="A1977" s="565">
        <v>2671</v>
      </c>
      <c r="B1977" s="696" t="s">
        <v>7381</v>
      </c>
      <c r="C1977" s="566">
        <f t="shared" si="30"/>
        <v>2671</v>
      </c>
      <c r="D1977" s="700" t="s">
        <v>2243</v>
      </c>
      <c r="E1977" s="701" t="s">
        <v>9850</v>
      </c>
      <c r="F1977" s="566">
        <v>1</v>
      </c>
      <c r="G1977" s="662">
        <v>0</v>
      </c>
      <c r="H1977" s="662">
        <v>0</v>
      </c>
      <c r="I1977" s="662">
        <v>21589.813722999945</v>
      </c>
      <c r="J1977" s="662">
        <v>22163.152173983472</v>
      </c>
      <c r="K1977" s="566" t="s">
        <v>4184</v>
      </c>
      <c r="L1977" s="549"/>
      <c r="M1977" s="540"/>
      <c r="O1977" s="540"/>
      <c r="S1977" s="550"/>
      <c r="T1977" s="547"/>
      <c r="U1977" s="547"/>
      <c r="V1977" s="547"/>
      <c r="W1977" s="549"/>
    </row>
    <row r="1978" spans="1:23">
      <c r="A1978" s="565">
        <v>2672</v>
      </c>
      <c r="B1978" s="696" t="s">
        <v>7382</v>
      </c>
      <c r="C1978" s="566">
        <f t="shared" si="30"/>
        <v>2672</v>
      </c>
      <c r="D1978" s="700" t="s">
        <v>2243</v>
      </c>
      <c r="E1978" s="701" t="s">
        <v>9851</v>
      </c>
      <c r="F1978" s="566">
        <v>1</v>
      </c>
      <c r="G1978" s="662">
        <v>0</v>
      </c>
      <c r="H1978" s="662">
        <v>0</v>
      </c>
      <c r="I1978" s="662">
        <v>22801.657654739851</v>
      </c>
      <c r="J1978" s="662">
        <v>23410.98241576807</v>
      </c>
      <c r="K1978" s="566" t="s">
        <v>4185</v>
      </c>
      <c r="L1978" s="549"/>
      <c r="M1978" s="540"/>
      <c r="O1978" s="540"/>
      <c r="S1978" s="550"/>
      <c r="T1978" s="547"/>
      <c r="U1978" s="547"/>
      <c r="V1978" s="547"/>
      <c r="W1978" s="549"/>
    </row>
    <row r="1979" spans="1:23">
      <c r="A1979" s="565">
        <v>2673</v>
      </c>
      <c r="B1979" s="696" t="s">
        <v>7383</v>
      </c>
      <c r="C1979" s="566">
        <f t="shared" si="30"/>
        <v>2673</v>
      </c>
      <c r="D1979" s="700" t="s">
        <v>2243</v>
      </c>
      <c r="E1979" s="701" t="s">
        <v>9852</v>
      </c>
      <c r="F1979" s="566">
        <v>1</v>
      </c>
      <c r="G1979" s="662">
        <v>0</v>
      </c>
      <c r="H1979" s="662">
        <v>0</v>
      </c>
      <c r="I1979" s="662">
        <v>23165.210834261827</v>
      </c>
      <c r="J1979" s="662">
        <v>23785.336916102857</v>
      </c>
      <c r="K1979" s="566" t="s">
        <v>4186</v>
      </c>
      <c r="L1979" s="549"/>
      <c r="M1979" s="540"/>
      <c r="O1979" s="540"/>
      <c r="S1979" s="550"/>
      <c r="T1979" s="547"/>
      <c r="U1979" s="547"/>
      <c r="V1979" s="547"/>
      <c r="W1979" s="549"/>
    </row>
    <row r="1980" spans="1:23">
      <c r="A1980" s="565">
        <v>2674</v>
      </c>
      <c r="B1980" s="696" t="s">
        <v>7384</v>
      </c>
      <c r="C1980" s="566">
        <f t="shared" si="30"/>
        <v>2674</v>
      </c>
      <c r="D1980" s="700" t="s">
        <v>2243</v>
      </c>
      <c r="E1980" s="701" t="s">
        <v>9853</v>
      </c>
      <c r="F1980" s="566">
        <v>1</v>
      </c>
      <c r="G1980" s="662">
        <v>0</v>
      </c>
      <c r="H1980" s="662">
        <v>0</v>
      </c>
      <c r="I1980" s="662">
        <v>13160.897885828692</v>
      </c>
      <c r="J1980" s="662">
        <v>13491.070923538888</v>
      </c>
      <c r="K1980" s="566" t="s">
        <v>4187</v>
      </c>
      <c r="L1980" s="549"/>
      <c r="M1980" s="540"/>
      <c r="O1980" s="540"/>
      <c r="S1980" s="550"/>
      <c r="T1980" s="547"/>
      <c r="U1980" s="547"/>
      <c r="V1980" s="547"/>
      <c r="W1980" s="549"/>
    </row>
    <row r="1981" spans="1:23">
      <c r="A1981" s="565">
        <v>2675</v>
      </c>
      <c r="B1981" s="696" t="s">
        <v>7385</v>
      </c>
      <c r="C1981" s="566">
        <f t="shared" si="30"/>
        <v>2675</v>
      </c>
      <c r="D1981" s="700" t="s">
        <v>2243</v>
      </c>
      <c r="E1981" s="701" t="s">
        <v>9854</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7386</v>
      </c>
      <c r="C1982" s="566">
        <f t="shared" si="30"/>
        <v>2676</v>
      </c>
      <c r="D1982" s="700" t="s">
        <v>2243</v>
      </c>
      <c r="E1982" s="701" t="s">
        <v>9855</v>
      </c>
      <c r="F1982" s="566">
        <v>1</v>
      </c>
      <c r="G1982" s="662">
        <v>16102.223658176834</v>
      </c>
      <c r="H1982" s="662">
        <v>0</v>
      </c>
      <c r="I1982" s="662">
        <v>0</v>
      </c>
      <c r="J1982" s="662">
        <v>0</v>
      </c>
      <c r="K1982" s="566" t="s">
        <v>5348</v>
      </c>
      <c r="L1982" s="549"/>
      <c r="M1982" s="540"/>
      <c r="O1982" s="540"/>
      <c r="S1982" s="550"/>
      <c r="T1982" s="547"/>
      <c r="U1982" s="547"/>
      <c r="V1982" s="547"/>
      <c r="W1982" s="549"/>
    </row>
    <row r="1983" spans="1:23">
      <c r="A1983" s="565">
        <v>2677</v>
      </c>
      <c r="B1983" s="696" t="s">
        <v>7387</v>
      </c>
      <c r="C1983" s="566">
        <f t="shared" si="30"/>
        <v>2677</v>
      </c>
      <c r="D1983" s="700" t="s">
        <v>2243</v>
      </c>
      <c r="E1983" s="701" t="s">
        <v>9856</v>
      </c>
      <c r="F1983" s="566">
        <v>1</v>
      </c>
      <c r="G1983" s="662">
        <v>0</v>
      </c>
      <c r="H1983" s="662">
        <v>0</v>
      </c>
      <c r="I1983" s="662">
        <v>21840.838537431784</v>
      </c>
      <c r="J1983" s="662">
        <v>22421.667351592034</v>
      </c>
      <c r="K1983" s="566" t="s">
        <v>4188</v>
      </c>
      <c r="L1983" s="549"/>
      <c r="M1983" s="540"/>
      <c r="O1983" s="540"/>
      <c r="S1983" s="550"/>
      <c r="T1983" s="547"/>
      <c r="U1983" s="547"/>
      <c r="V1983" s="547"/>
      <c r="W1983" s="549"/>
    </row>
    <row r="1984" spans="1:23">
      <c r="A1984" s="565">
        <v>2678</v>
      </c>
      <c r="B1984" s="696" t="s">
        <v>7388</v>
      </c>
      <c r="C1984" s="566">
        <f t="shared" si="30"/>
        <v>2678</v>
      </c>
      <c r="D1984" s="700" t="s">
        <v>2243</v>
      </c>
      <c r="E1984" s="701" t="s">
        <v>9857</v>
      </c>
      <c r="F1984" s="566">
        <v>1</v>
      </c>
      <c r="G1984" s="662">
        <v>0</v>
      </c>
      <c r="H1984" s="662">
        <v>0</v>
      </c>
      <c r="I1984" s="662">
        <v>0</v>
      </c>
      <c r="J1984" s="662">
        <v>19425.806702035825</v>
      </c>
      <c r="K1984" s="566" t="s">
        <v>4934</v>
      </c>
      <c r="L1984" s="549"/>
      <c r="M1984" s="540"/>
      <c r="O1984" s="540"/>
      <c r="S1984" s="550"/>
      <c r="T1984" s="547"/>
      <c r="U1984" s="547"/>
      <c r="V1984" s="547"/>
      <c r="W1984" s="549"/>
    </row>
    <row r="1985" spans="1:23">
      <c r="A1985" s="565">
        <v>2679</v>
      </c>
      <c r="B1985" s="696" t="s">
        <v>7389</v>
      </c>
      <c r="C1985" s="566">
        <f t="shared" si="30"/>
        <v>2679</v>
      </c>
      <c r="D1985" s="700" t="s">
        <v>2243</v>
      </c>
      <c r="E1985" s="701" t="s">
        <v>9858</v>
      </c>
      <c r="F1985" s="566">
        <v>1</v>
      </c>
      <c r="G1985" s="662">
        <v>16745.833512676305</v>
      </c>
      <c r="H1985" s="662">
        <v>0</v>
      </c>
      <c r="I1985" s="662">
        <v>0</v>
      </c>
      <c r="J1985" s="662">
        <v>0</v>
      </c>
      <c r="K1985" s="566" t="s">
        <v>5349</v>
      </c>
      <c r="L1985" s="549"/>
      <c r="M1985" s="540"/>
      <c r="O1985" s="540"/>
      <c r="S1985" s="550"/>
      <c r="T1985" s="547"/>
      <c r="U1985" s="547"/>
      <c r="V1985" s="547"/>
      <c r="W1985" s="549"/>
    </row>
    <row r="1986" spans="1:23">
      <c r="A1986" s="565">
        <v>2680</v>
      </c>
      <c r="B1986" s="695" t="s">
        <v>7390</v>
      </c>
      <c r="C1986" s="566">
        <f t="shared" si="30"/>
        <v>2680</v>
      </c>
      <c r="D1986" s="699" t="s">
        <v>2243</v>
      </c>
      <c r="E1986" s="701" t="s">
        <v>9859</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7391</v>
      </c>
      <c r="C1987" s="566">
        <f t="shared" si="30"/>
        <v>2681</v>
      </c>
      <c r="D1987" s="699" t="s">
        <v>2243</v>
      </c>
      <c r="E1987" s="701" t="s">
        <v>9860</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7392</v>
      </c>
      <c r="C1988" s="566">
        <f t="shared" si="30"/>
        <v>2682</v>
      </c>
      <c r="D1988" s="699" t="s">
        <v>2243</v>
      </c>
      <c r="E1988" s="701" t="s">
        <v>9861</v>
      </c>
      <c r="F1988" s="567">
        <v>1</v>
      </c>
      <c r="G1988" s="662">
        <v>0</v>
      </c>
      <c r="H1988" s="662">
        <v>0</v>
      </c>
      <c r="I1988" s="662">
        <v>0</v>
      </c>
      <c r="J1988" s="662">
        <v>22290.951997792319</v>
      </c>
      <c r="K1988" s="568" t="s">
        <v>4935</v>
      </c>
      <c r="L1988" s="549"/>
      <c r="M1988" s="540"/>
      <c r="O1988" s="540"/>
      <c r="S1988" s="550"/>
      <c r="T1988" s="547"/>
      <c r="U1988" s="547"/>
      <c r="V1988" s="547"/>
      <c r="W1988" s="549"/>
    </row>
    <row r="1989" spans="1:23">
      <c r="A1989" s="565">
        <v>2683</v>
      </c>
      <c r="B1989" s="696" t="s">
        <v>7393</v>
      </c>
      <c r="C1989" s="566">
        <f t="shared" si="30"/>
        <v>2683</v>
      </c>
      <c r="D1989" s="700" t="s">
        <v>2243</v>
      </c>
      <c r="E1989" s="701" t="s">
        <v>9862</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7394</v>
      </c>
      <c r="C1990" s="566">
        <f t="shared" si="30"/>
        <v>2684</v>
      </c>
      <c r="D1990" s="700" t="s">
        <v>2243</v>
      </c>
      <c r="E1990" s="701" t="s">
        <v>9863</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7395</v>
      </c>
      <c r="C1991" s="566">
        <f t="shared" si="30"/>
        <v>2685</v>
      </c>
      <c r="D1991" s="700" t="s">
        <v>2243</v>
      </c>
      <c r="E1991" s="701" t="s">
        <v>9864</v>
      </c>
      <c r="F1991" s="566">
        <v>1</v>
      </c>
      <c r="G1991" s="662">
        <v>0</v>
      </c>
      <c r="H1991" s="662">
        <v>0</v>
      </c>
      <c r="I1991" s="662">
        <v>21269.540683897256</v>
      </c>
      <c r="J1991" s="662">
        <v>21833.380485924794</v>
      </c>
      <c r="K1991" s="566" t="s">
        <v>4189</v>
      </c>
      <c r="L1991" s="549"/>
      <c r="M1991" s="540"/>
      <c r="O1991" s="540"/>
      <c r="S1991" s="550"/>
      <c r="T1991" s="547"/>
      <c r="U1991" s="547"/>
      <c r="V1991" s="547"/>
      <c r="W1991" s="549"/>
    </row>
    <row r="1992" spans="1:23">
      <c r="A1992" s="565">
        <v>2686</v>
      </c>
      <c r="B1992" s="696" t="s">
        <v>7396</v>
      </c>
      <c r="C1992" s="566">
        <f t="shared" si="30"/>
        <v>2686</v>
      </c>
      <c r="D1992" s="700" t="s">
        <v>2243</v>
      </c>
      <c r="E1992" s="701" t="s">
        <v>9865</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7397</v>
      </c>
      <c r="C1993" s="566">
        <f t="shared" ref="C1993:C2056" si="31">A1993</f>
        <v>2687</v>
      </c>
      <c r="D1993" s="700" t="s">
        <v>2243</v>
      </c>
      <c r="E1993" s="701" t="s">
        <v>9866</v>
      </c>
      <c r="F1993" s="566">
        <v>1</v>
      </c>
      <c r="G1993" s="662">
        <v>0</v>
      </c>
      <c r="H1993" s="662">
        <v>0</v>
      </c>
      <c r="I1993" s="662">
        <v>22567.944896475725</v>
      </c>
      <c r="J1993" s="662">
        <v>23170.322074267566</v>
      </c>
      <c r="K1993" s="566" t="s">
        <v>4190</v>
      </c>
      <c r="L1993" s="549"/>
      <c r="M1993" s="540"/>
      <c r="O1993" s="540"/>
      <c r="S1993" s="550"/>
      <c r="T1993" s="547"/>
      <c r="U1993" s="547"/>
      <c r="V1993" s="547"/>
      <c r="W1993" s="549"/>
    </row>
    <row r="1994" spans="1:23">
      <c r="A1994" s="565">
        <v>2688</v>
      </c>
      <c r="B1994" s="696" t="s">
        <v>7398</v>
      </c>
      <c r="C1994" s="566">
        <f t="shared" si="31"/>
        <v>2688</v>
      </c>
      <c r="D1994" s="700" t="s">
        <v>2243</v>
      </c>
      <c r="E1994" s="701" t="s">
        <v>9867</v>
      </c>
      <c r="F1994" s="566">
        <v>1</v>
      </c>
      <c r="G1994" s="662">
        <v>0</v>
      </c>
      <c r="H1994" s="662">
        <v>18133.476990087049</v>
      </c>
      <c r="I1994" s="662">
        <v>0</v>
      </c>
      <c r="J1994" s="662">
        <v>0</v>
      </c>
      <c r="K1994" s="566" t="s">
        <v>4191</v>
      </c>
      <c r="L1994" s="549"/>
      <c r="M1994" s="540"/>
      <c r="O1994" s="540"/>
      <c r="S1994" s="550"/>
      <c r="T1994" s="547"/>
      <c r="U1994" s="547"/>
      <c r="V1994" s="547"/>
      <c r="W1994" s="549"/>
    </row>
    <row r="1995" spans="1:23">
      <c r="A1995" s="565">
        <v>2689</v>
      </c>
      <c r="B1995" s="696" t="s">
        <v>7399</v>
      </c>
      <c r="C1995" s="566">
        <f t="shared" si="31"/>
        <v>2689</v>
      </c>
      <c r="D1995" s="700" t="s">
        <v>2243</v>
      </c>
      <c r="E1995" s="701" t="s">
        <v>9868</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7400</v>
      </c>
      <c r="C1996" s="566">
        <f t="shared" si="31"/>
        <v>2690</v>
      </c>
      <c r="D1996" s="700" t="s">
        <v>2243</v>
      </c>
      <c r="E1996" s="701" t="s">
        <v>9869</v>
      </c>
      <c r="F1996" s="566">
        <v>1</v>
      </c>
      <c r="G1996" s="662">
        <v>23141.783329032707</v>
      </c>
      <c r="H1996" s="662">
        <v>0</v>
      </c>
      <c r="I1996" s="662">
        <v>0</v>
      </c>
      <c r="J1996" s="662">
        <v>0</v>
      </c>
      <c r="K1996" s="566" t="s">
        <v>5350</v>
      </c>
      <c r="L1996" s="549"/>
      <c r="M1996" s="540"/>
      <c r="O1996" s="540"/>
      <c r="S1996" s="550"/>
      <c r="T1996" s="547"/>
      <c r="U1996" s="547"/>
      <c r="V1996" s="547"/>
      <c r="W1996" s="549"/>
    </row>
    <row r="1997" spans="1:23">
      <c r="A1997" s="565">
        <v>2691</v>
      </c>
      <c r="B1997" s="696" t="s">
        <v>7401</v>
      </c>
      <c r="C1997" s="566">
        <f t="shared" si="31"/>
        <v>2691</v>
      </c>
      <c r="D1997" s="700" t="s">
        <v>2243</v>
      </c>
      <c r="E1997" s="701" t="s">
        <v>9870</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7402</v>
      </c>
      <c r="C1998" s="566">
        <f t="shared" si="31"/>
        <v>2692</v>
      </c>
      <c r="D1998" s="700" t="s">
        <v>2243</v>
      </c>
      <c r="E1998" s="701" t="s">
        <v>9871</v>
      </c>
      <c r="F1998" s="566">
        <v>1</v>
      </c>
      <c r="G1998" s="662">
        <v>24445.230677493382</v>
      </c>
      <c r="H1998" s="662">
        <v>0</v>
      </c>
      <c r="I1998" s="662">
        <v>0</v>
      </c>
      <c r="J1998" s="662">
        <v>0</v>
      </c>
      <c r="K1998" s="566" t="s">
        <v>5351</v>
      </c>
      <c r="L1998" s="549"/>
      <c r="M1998" s="540"/>
      <c r="O1998" s="540"/>
      <c r="S1998" s="550"/>
      <c r="T1998" s="547"/>
      <c r="U1998" s="547"/>
      <c r="V1998" s="547"/>
      <c r="W1998" s="549"/>
    </row>
    <row r="1999" spans="1:23">
      <c r="A1999" s="565">
        <v>2693</v>
      </c>
      <c r="B1999" s="695" t="s">
        <v>7403</v>
      </c>
      <c r="C1999" s="566">
        <f t="shared" si="31"/>
        <v>2693</v>
      </c>
      <c r="D1999" s="699" t="s">
        <v>2243</v>
      </c>
      <c r="E1999" s="701" t="s">
        <v>9872</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7404</v>
      </c>
      <c r="C2000" s="566">
        <f t="shared" si="31"/>
        <v>2694</v>
      </c>
      <c r="D2000" s="700" t="s">
        <v>2243</v>
      </c>
      <c r="E2000" s="701" t="s">
        <v>9873</v>
      </c>
      <c r="F2000" s="566">
        <v>1</v>
      </c>
      <c r="G2000" s="662">
        <v>0</v>
      </c>
      <c r="H2000" s="662">
        <v>0</v>
      </c>
      <c r="I2000" s="662">
        <v>26230.237702976716</v>
      </c>
      <c r="J2000" s="662">
        <v>26978.858957029046</v>
      </c>
      <c r="K2000" s="566" t="s">
        <v>4192</v>
      </c>
      <c r="L2000" s="549"/>
      <c r="M2000" s="540"/>
      <c r="O2000" s="540"/>
      <c r="S2000" s="550"/>
      <c r="T2000" s="547"/>
      <c r="U2000" s="547"/>
      <c r="V2000" s="547"/>
      <c r="W2000" s="549"/>
    </row>
    <row r="2001" spans="1:23">
      <c r="A2001" s="565">
        <v>2695</v>
      </c>
      <c r="B2001" s="696" t="s">
        <v>7405</v>
      </c>
      <c r="C2001" s="566">
        <f t="shared" si="31"/>
        <v>2695</v>
      </c>
      <c r="D2001" s="700" t="s">
        <v>2243</v>
      </c>
      <c r="E2001" s="701" t="s">
        <v>9874</v>
      </c>
      <c r="F2001" s="566">
        <v>1</v>
      </c>
      <c r="G2001" s="662">
        <v>0</v>
      </c>
      <c r="H2001" s="662">
        <v>0</v>
      </c>
      <c r="I2001" s="662">
        <v>0</v>
      </c>
      <c r="J2001" s="662">
        <v>22234.514168306603</v>
      </c>
      <c r="K2001" s="566" t="s">
        <v>4936</v>
      </c>
      <c r="L2001" s="549"/>
      <c r="M2001" s="540"/>
      <c r="O2001" s="540"/>
      <c r="S2001" s="550"/>
      <c r="T2001" s="547"/>
      <c r="U2001" s="547"/>
      <c r="V2001" s="547"/>
      <c r="W2001" s="549"/>
    </row>
    <row r="2002" spans="1:23">
      <c r="A2002" s="565">
        <v>2696</v>
      </c>
      <c r="B2002" s="696" t="s">
        <v>7406</v>
      </c>
      <c r="C2002" s="566">
        <f t="shared" si="31"/>
        <v>2696</v>
      </c>
      <c r="D2002" s="700" t="s">
        <v>2243</v>
      </c>
      <c r="E2002" s="701" t="s">
        <v>9875</v>
      </c>
      <c r="F2002" s="566">
        <v>1</v>
      </c>
      <c r="G2002" s="662">
        <v>0</v>
      </c>
      <c r="H2002" s="662">
        <v>0</v>
      </c>
      <c r="I2002" s="662">
        <v>0</v>
      </c>
      <c r="J2002" s="662">
        <v>22476.116056449449</v>
      </c>
      <c r="K2002" s="566" t="s">
        <v>4937</v>
      </c>
      <c r="L2002" s="549"/>
      <c r="M2002" s="540"/>
      <c r="O2002" s="540"/>
      <c r="S2002" s="550"/>
      <c r="T2002" s="547"/>
      <c r="U2002" s="547"/>
      <c r="V2002" s="547"/>
      <c r="W2002" s="549"/>
    </row>
    <row r="2003" spans="1:23">
      <c r="A2003" s="565">
        <v>2697</v>
      </c>
      <c r="B2003" s="696" t="s">
        <v>7407</v>
      </c>
      <c r="C2003" s="566">
        <f t="shared" si="31"/>
        <v>2697</v>
      </c>
      <c r="D2003" s="700" t="s">
        <v>2243</v>
      </c>
      <c r="E2003" s="701" t="s">
        <v>9876</v>
      </c>
      <c r="F2003" s="566">
        <v>1</v>
      </c>
      <c r="G2003" s="662">
        <v>0</v>
      </c>
      <c r="H2003" s="662">
        <v>0</v>
      </c>
      <c r="I2003" s="662">
        <v>20636.224754438565</v>
      </c>
      <c r="J2003" s="662">
        <v>21209.957811878383</v>
      </c>
      <c r="K2003" s="566" t="s">
        <v>4193</v>
      </c>
      <c r="L2003" s="549"/>
      <c r="M2003" s="540"/>
      <c r="O2003" s="540"/>
      <c r="S2003" s="550"/>
      <c r="T2003" s="547"/>
      <c r="U2003" s="547"/>
      <c r="V2003" s="547"/>
      <c r="W2003" s="549"/>
    </row>
    <row r="2004" spans="1:23">
      <c r="A2004" s="565">
        <v>2698</v>
      </c>
      <c r="B2004" s="696" t="s">
        <v>7408</v>
      </c>
      <c r="C2004" s="566">
        <f t="shared" si="31"/>
        <v>2698</v>
      </c>
      <c r="D2004" s="700" t="s">
        <v>2243</v>
      </c>
      <c r="E2004" s="701" t="s">
        <v>9877</v>
      </c>
      <c r="F2004" s="566">
        <v>1</v>
      </c>
      <c r="G2004" s="662">
        <v>0</v>
      </c>
      <c r="H2004" s="662">
        <v>0</v>
      </c>
      <c r="I2004" s="662">
        <v>0</v>
      </c>
      <c r="J2004" s="662">
        <v>24390.346400965827</v>
      </c>
      <c r="K2004" s="566" t="s">
        <v>4938</v>
      </c>
      <c r="L2004" s="549"/>
      <c r="M2004" s="540"/>
      <c r="O2004" s="540"/>
      <c r="S2004" s="550"/>
      <c r="T2004" s="547"/>
      <c r="U2004" s="547"/>
      <c r="V2004" s="547"/>
      <c r="W2004" s="549"/>
    </row>
    <row r="2005" spans="1:23">
      <c r="A2005" s="565">
        <v>2699</v>
      </c>
      <c r="B2005" s="696" t="s">
        <v>7409</v>
      </c>
      <c r="C2005" s="566">
        <f t="shared" si="31"/>
        <v>2699</v>
      </c>
      <c r="D2005" s="700" t="s">
        <v>2243</v>
      </c>
      <c r="E2005" s="701" t="s">
        <v>9878</v>
      </c>
      <c r="F2005" s="566">
        <v>1</v>
      </c>
      <c r="G2005" s="662">
        <v>0</v>
      </c>
      <c r="H2005" s="662">
        <v>0</v>
      </c>
      <c r="I2005" s="662">
        <v>21119.42853072425</v>
      </c>
      <c r="J2005" s="662">
        <v>21708.250141951779</v>
      </c>
      <c r="K2005" s="566" t="s">
        <v>4194</v>
      </c>
      <c r="L2005" s="549"/>
      <c r="M2005" s="540"/>
      <c r="O2005" s="540"/>
      <c r="S2005" s="550"/>
      <c r="T2005" s="547"/>
      <c r="U2005" s="547"/>
      <c r="V2005" s="547"/>
      <c r="W2005" s="549"/>
    </row>
    <row r="2006" spans="1:23">
      <c r="A2006" s="565">
        <v>2700</v>
      </c>
      <c r="B2006" s="696" t="s">
        <v>7410</v>
      </c>
      <c r="C2006" s="566">
        <f t="shared" si="31"/>
        <v>2700</v>
      </c>
      <c r="D2006" s="700" t="s">
        <v>2243</v>
      </c>
      <c r="E2006" s="701" t="s">
        <v>9879</v>
      </c>
      <c r="F2006" s="566">
        <v>1</v>
      </c>
      <c r="G2006" s="662">
        <v>0</v>
      </c>
      <c r="H2006" s="662">
        <v>0</v>
      </c>
      <c r="I2006" s="662">
        <v>0</v>
      </c>
      <c r="J2006" s="662">
        <v>18387.468718647473</v>
      </c>
      <c r="K2006" s="566" t="s">
        <v>4939</v>
      </c>
      <c r="L2006" s="549"/>
      <c r="M2006" s="540"/>
      <c r="O2006" s="540"/>
      <c r="S2006" s="550"/>
      <c r="T2006" s="547"/>
      <c r="U2006" s="547"/>
      <c r="V2006" s="547"/>
      <c r="W2006" s="549"/>
    </row>
    <row r="2007" spans="1:23">
      <c r="A2007" s="565">
        <v>2701</v>
      </c>
      <c r="B2007" s="695" t="s">
        <v>7411</v>
      </c>
      <c r="C2007" s="566">
        <f t="shared" si="31"/>
        <v>2701</v>
      </c>
      <c r="D2007" s="699" t="s">
        <v>2243</v>
      </c>
      <c r="E2007" s="701" t="s">
        <v>9880</v>
      </c>
      <c r="F2007" s="567">
        <v>1</v>
      </c>
      <c r="G2007" s="662">
        <v>0</v>
      </c>
      <c r="H2007" s="662">
        <v>0</v>
      </c>
      <c r="I2007" s="662">
        <v>19576.893398735323</v>
      </c>
      <c r="J2007" s="662">
        <v>20117.464350153936</v>
      </c>
      <c r="K2007" s="568" t="s">
        <v>4195</v>
      </c>
      <c r="L2007" s="549"/>
      <c r="M2007" s="540"/>
      <c r="O2007" s="540"/>
      <c r="S2007" s="550"/>
      <c r="T2007" s="547"/>
      <c r="U2007" s="547"/>
      <c r="V2007" s="547"/>
      <c r="W2007" s="549"/>
    </row>
    <row r="2008" spans="1:23">
      <c r="A2008" s="565">
        <v>2702</v>
      </c>
      <c r="B2008" s="696" t="s">
        <v>7412</v>
      </c>
      <c r="C2008" s="566">
        <f t="shared" si="31"/>
        <v>2702</v>
      </c>
      <c r="D2008" s="700" t="s">
        <v>2243</v>
      </c>
      <c r="E2008" s="701" t="s">
        <v>9881</v>
      </c>
      <c r="F2008" s="566">
        <v>1</v>
      </c>
      <c r="G2008" s="662">
        <v>0</v>
      </c>
      <c r="H2008" s="662">
        <v>0</v>
      </c>
      <c r="I2008" s="662">
        <v>0</v>
      </c>
      <c r="J2008" s="662">
        <v>17990.993825284859</v>
      </c>
      <c r="K2008" s="566" t="s">
        <v>4940</v>
      </c>
      <c r="L2008" s="549"/>
      <c r="M2008" s="540"/>
      <c r="O2008" s="540"/>
      <c r="S2008" s="550"/>
      <c r="T2008" s="547"/>
      <c r="U2008" s="547"/>
      <c r="V2008" s="547"/>
      <c r="W2008" s="549"/>
    </row>
    <row r="2009" spans="1:23">
      <c r="A2009" s="565">
        <v>2703</v>
      </c>
      <c r="B2009" s="696" t="s">
        <v>7413</v>
      </c>
      <c r="C2009" s="566">
        <f t="shared" si="31"/>
        <v>2703</v>
      </c>
      <c r="D2009" s="700" t="s">
        <v>2243</v>
      </c>
      <c r="E2009" s="701" t="s">
        <v>9882</v>
      </c>
      <c r="F2009" s="566">
        <v>1</v>
      </c>
      <c r="G2009" s="662">
        <v>15960.947403523132</v>
      </c>
      <c r="H2009" s="662">
        <v>0</v>
      </c>
      <c r="I2009" s="662">
        <v>0</v>
      </c>
      <c r="J2009" s="662">
        <v>0</v>
      </c>
      <c r="K2009" s="566" t="s">
        <v>5352</v>
      </c>
      <c r="L2009" s="549"/>
      <c r="M2009" s="540"/>
      <c r="O2009" s="540"/>
      <c r="S2009" s="550"/>
      <c r="T2009" s="547"/>
      <c r="U2009" s="547"/>
      <c r="V2009" s="547"/>
      <c r="W2009" s="549"/>
    </row>
    <row r="2010" spans="1:23">
      <c r="A2010" s="565">
        <v>2704</v>
      </c>
      <c r="B2010" s="696" t="s">
        <v>7414</v>
      </c>
      <c r="C2010" s="566">
        <f t="shared" si="31"/>
        <v>2704</v>
      </c>
      <c r="D2010" s="700" t="s">
        <v>2243</v>
      </c>
      <c r="E2010" s="701" t="s">
        <v>9883</v>
      </c>
      <c r="F2010" s="566">
        <v>1</v>
      </c>
      <c r="G2010" s="662">
        <v>14876.73156188597</v>
      </c>
      <c r="H2010" s="662">
        <v>0</v>
      </c>
      <c r="I2010" s="662">
        <v>0</v>
      </c>
      <c r="J2010" s="662">
        <v>0</v>
      </c>
      <c r="K2010" s="566" t="s">
        <v>5353</v>
      </c>
      <c r="L2010" s="549"/>
      <c r="M2010" s="540"/>
      <c r="O2010" s="540"/>
      <c r="S2010" s="550"/>
      <c r="T2010" s="547"/>
      <c r="U2010" s="547"/>
      <c r="V2010" s="547"/>
      <c r="W2010" s="549"/>
    </row>
    <row r="2011" spans="1:23">
      <c r="A2011" s="565">
        <v>2705</v>
      </c>
      <c r="B2011" s="696" t="s">
        <v>7415</v>
      </c>
      <c r="C2011" s="566">
        <f t="shared" si="31"/>
        <v>2705</v>
      </c>
      <c r="D2011" s="700" t="s">
        <v>2243</v>
      </c>
      <c r="E2011" s="701" t="s">
        <v>9884</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7416</v>
      </c>
      <c r="C2012" s="566">
        <f t="shared" si="31"/>
        <v>2706</v>
      </c>
      <c r="D2012" s="700" t="s">
        <v>2243</v>
      </c>
      <c r="E2012" s="701" t="s">
        <v>9885</v>
      </c>
      <c r="F2012" s="566">
        <v>1</v>
      </c>
      <c r="G2012" s="662">
        <v>17960.019224240907</v>
      </c>
      <c r="H2012" s="662">
        <v>0</v>
      </c>
      <c r="I2012" s="662">
        <v>0</v>
      </c>
      <c r="J2012" s="662">
        <v>0</v>
      </c>
      <c r="K2012" s="566" t="s">
        <v>5354</v>
      </c>
      <c r="L2012" s="549"/>
      <c r="M2012" s="540"/>
      <c r="O2012" s="540"/>
      <c r="S2012" s="550"/>
      <c r="T2012" s="547"/>
      <c r="U2012" s="547"/>
      <c r="V2012" s="547"/>
      <c r="W2012" s="549"/>
    </row>
    <row r="2013" spans="1:23">
      <c r="A2013" s="565">
        <v>2707</v>
      </c>
      <c r="B2013" s="696" t="s">
        <v>7417</v>
      </c>
      <c r="C2013" s="566">
        <f t="shared" si="31"/>
        <v>2707</v>
      </c>
      <c r="D2013" s="700" t="s">
        <v>2243</v>
      </c>
      <c r="E2013" s="701" t="s">
        <v>9886</v>
      </c>
      <c r="F2013" s="566">
        <v>1</v>
      </c>
      <c r="G2013" s="662">
        <v>18579.511245119989</v>
      </c>
      <c r="H2013" s="662">
        <v>0</v>
      </c>
      <c r="I2013" s="662">
        <v>0</v>
      </c>
      <c r="J2013" s="662">
        <v>0</v>
      </c>
      <c r="K2013" s="566" t="s">
        <v>5355</v>
      </c>
      <c r="L2013" s="549"/>
      <c r="M2013" s="540"/>
      <c r="O2013" s="540"/>
      <c r="S2013" s="550"/>
      <c r="T2013" s="547"/>
      <c r="U2013" s="547"/>
      <c r="V2013" s="547"/>
      <c r="W2013" s="549"/>
    </row>
    <row r="2014" spans="1:23">
      <c r="A2014" s="565">
        <v>2708</v>
      </c>
      <c r="B2014" s="696" t="s">
        <v>7418</v>
      </c>
      <c r="C2014" s="566">
        <f t="shared" si="31"/>
        <v>2708</v>
      </c>
      <c r="D2014" s="700" t="s">
        <v>2243</v>
      </c>
      <c r="E2014" s="701" t="s">
        <v>9887</v>
      </c>
      <c r="F2014" s="566">
        <v>1</v>
      </c>
      <c r="G2014" s="662">
        <v>18780.846151905695</v>
      </c>
      <c r="H2014" s="662">
        <v>0</v>
      </c>
      <c r="I2014" s="662">
        <v>0</v>
      </c>
      <c r="J2014" s="662">
        <v>0</v>
      </c>
      <c r="K2014" s="566" t="s">
        <v>5356</v>
      </c>
      <c r="L2014" s="549"/>
      <c r="M2014" s="540"/>
      <c r="O2014" s="540"/>
      <c r="S2014" s="550"/>
      <c r="T2014" s="547"/>
      <c r="U2014" s="547"/>
      <c r="V2014" s="547"/>
      <c r="W2014" s="549"/>
    </row>
    <row r="2015" spans="1:23">
      <c r="A2015" s="565">
        <v>2709</v>
      </c>
      <c r="B2015" s="696" t="s">
        <v>7419</v>
      </c>
      <c r="C2015" s="566">
        <f t="shared" si="31"/>
        <v>2709</v>
      </c>
      <c r="D2015" s="700" t="s">
        <v>2243</v>
      </c>
      <c r="E2015" s="701" t="s">
        <v>9888</v>
      </c>
      <c r="F2015" s="566">
        <v>1</v>
      </c>
      <c r="G2015" s="662">
        <v>20004.342893141893</v>
      </c>
      <c r="H2015" s="662">
        <v>0</v>
      </c>
      <c r="I2015" s="662">
        <v>0</v>
      </c>
      <c r="J2015" s="662">
        <v>0</v>
      </c>
      <c r="K2015" s="566" t="s">
        <v>5357</v>
      </c>
      <c r="L2015" s="549"/>
      <c r="M2015" s="540"/>
      <c r="O2015" s="540"/>
      <c r="S2015" s="550"/>
      <c r="T2015" s="547"/>
      <c r="U2015" s="547"/>
      <c r="V2015" s="547"/>
      <c r="W2015" s="549"/>
    </row>
    <row r="2016" spans="1:23">
      <c r="A2016" s="565">
        <v>2710</v>
      </c>
      <c r="B2016" s="696" t="s">
        <v>7420</v>
      </c>
      <c r="C2016" s="566">
        <f t="shared" si="31"/>
        <v>2710</v>
      </c>
      <c r="D2016" s="700" t="s">
        <v>2243</v>
      </c>
      <c r="E2016" s="701" t="s">
        <v>9889</v>
      </c>
      <c r="F2016" s="566">
        <v>1</v>
      </c>
      <c r="G2016" s="662">
        <v>20654.809515064931</v>
      </c>
      <c r="H2016" s="662">
        <v>0</v>
      </c>
      <c r="I2016" s="662">
        <v>0</v>
      </c>
      <c r="J2016" s="662">
        <v>0</v>
      </c>
      <c r="K2016" s="566" t="s">
        <v>5358</v>
      </c>
      <c r="L2016" s="549"/>
      <c r="M2016" s="540"/>
      <c r="O2016" s="540"/>
      <c r="S2016" s="550"/>
      <c r="T2016" s="547"/>
      <c r="U2016" s="547"/>
      <c r="V2016" s="547"/>
      <c r="W2016" s="549"/>
    </row>
    <row r="2017" spans="1:23">
      <c r="A2017" s="565">
        <v>2711</v>
      </c>
      <c r="B2017" s="695" t="s">
        <v>7421</v>
      </c>
      <c r="C2017" s="566">
        <f t="shared" si="31"/>
        <v>2711</v>
      </c>
      <c r="D2017" s="699" t="s">
        <v>2243</v>
      </c>
      <c r="E2017" s="701" t="s">
        <v>9890</v>
      </c>
      <c r="F2017" s="567">
        <v>1</v>
      </c>
      <c r="G2017" s="662">
        <v>19384.85087226281</v>
      </c>
      <c r="H2017" s="662">
        <v>0</v>
      </c>
      <c r="I2017" s="662">
        <v>0</v>
      </c>
      <c r="J2017" s="662">
        <v>0</v>
      </c>
      <c r="K2017" s="568" t="s">
        <v>5359</v>
      </c>
      <c r="L2017" s="549"/>
      <c r="M2017" s="540"/>
      <c r="O2017" s="540"/>
      <c r="S2017" s="550"/>
      <c r="T2017" s="547"/>
      <c r="U2017" s="547"/>
      <c r="V2017" s="547"/>
      <c r="W2017" s="549"/>
    </row>
    <row r="2018" spans="1:23">
      <c r="A2018" s="565">
        <v>2712</v>
      </c>
      <c r="B2018" s="696" t="s">
        <v>7422</v>
      </c>
      <c r="C2018" s="566">
        <f t="shared" si="31"/>
        <v>2712</v>
      </c>
      <c r="D2018" s="700" t="s">
        <v>2243</v>
      </c>
      <c r="E2018" s="701" t="s">
        <v>9891</v>
      </c>
      <c r="F2018" s="566">
        <v>1</v>
      </c>
      <c r="G2018" s="662">
        <v>18861.244982976448</v>
      </c>
      <c r="H2018" s="662">
        <v>0</v>
      </c>
      <c r="I2018" s="662">
        <v>0</v>
      </c>
      <c r="J2018" s="662">
        <v>0</v>
      </c>
      <c r="K2018" s="566" t="s">
        <v>5360</v>
      </c>
      <c r="L2018" s="549"/>
      <c r="M2018" s="540"/>
      <c r="O2018" s="540"/>
      <c r="S2018" s="550"/>
      <c r="T2018" s="547"/>
      <c r="U2018" s="547"/>
      <c r="V2018" s="547"/>
      <c r="W2018" s="549"/>
    </row>
    <row r="2019" spans="1:23">
      <c r="A2019" s="565">
        <v>2713</v>
      </c>
      <c r="B2019" s="696" t="s">
        <v>7423</v>
      </c>
      <c r="C2019" s="566">
        <f t="shared" si="31"/>
        <v>2713</v>
      </c>
      <c r="D2019" s="700" t="s">
        <v>2243</v>
      </c>
      <c r="E2019" s="701" t="s">
        <v>9892</v>
      </c>
      <c r="F2019" s="566">
        <v>1</v>
      </c>
      <c r="G2019" s="662">
        <v>20077.125692831865</v>
      </c>
      <c r="H2019" s="662">
        <v>0</v>
      </c>
      <c r="I2019" s="662">
        <v>0</v>
      </c>
      <c r="J2019" s="662">
        <v>0</v>
      </c>
      <c r="K2019" s="566" t="s">
        <v>5361</v>
      </c>
      <c r="L2019" s="549"/>
      <c r="M2019" s="540"/>
      <c r="O2019" s="540"/>
      <c r="S2019" s="550"/>
      <c r="T2019" s="547"/>
      <c r="U2019" s="547"/>
      <c r="V2019" s="547"/>
      <c r="W2019" s="549"/>
    </row>
    <row r="2020" spans="1:23">
      <c r="A2020" s="565">
        <v>2714</v>
      </c>
      <c r="B2020" s="696" t="s">
        <v>7424</v>
      </c>
      <c r="C2020" s="566">
        <f t="shared" si="31"/>
        <v>2714</v>
      </c>
      <c r="D2020" s="700" t="s">
        <v>2243</v>
      </c>
      <c r="E2020" s="701" t="s">
        <v>9893</v>
      </c>
      <c r="F2020" s="566">
        <v>1</v>
      </c>
      <c r="G2020" s="662">
        <v>20781.056630116578</v>
      </c>
      <c r="H2020" s="662">
        <v>0</v>
      </c>
      <c r="I2020" s="662">
        <v>0</v>
      </c>
      <c r="J2020" s="662">
        <v>0</v>
      </c>
      <c r="K2020" s="566" t="s">
        <v>5362</v>
      </c>
      <c r="L2020" s="549"/>
      <c r="M2020" s="540"/>
      <c r="O2020" s="540"/>
      <c r="S2020" s="550"/>
      <c r="T2020" s="547"/>
      <c r="U2020" s="547"/>
      <c r="V2020" s="547"/>
      <c r="W2020" s="549"/>
    </row>
    <row r="2021" spans="1:23">
      <c r="A2021" s="565">
        <v>2715</v>
      </c>
      <c r="B2021" s="696" t="s">
        <v>7425</v>
      </c>
      <c r="C2021" s="566">
        <f t="shared" si="31"/>
        <v>2715</v>
      </c>
      <c r="D2021" s="700" t="s">
        <v>2243</v>
      </c>
      <c r="E2021" s="701" t="s">
        <v>9894</v>
      </c>
      <c r="F2021" s="566">
        <v>1</v>
      </c>
      <c r="G2021" s="662">
        <v>0</v>
      </c>
      <c r="H2021" s="662">
        <v>0</v>
      </c>
      <c r="I2021" s="662">
        <v>0</v>
      </c>
      <c r="J2021" s="662">
        <v>19589.283239152905</v>
      </c>
      <c r="K2021" s="566" t="s">
        <v>4941</v>
      </c>
      <c r="L2021" s="549"/>
      <c r="M2021" s="540"/>
      <c r="O2021" s="540"/>
      <c r="S2021" s="550"/>
      <c r="T2021" s="547"/>
      <c r="U2021" s="547"/>
      <c r="V2021" s="547"/>
      <c r="W2021" s="549"/>
    </row>
    <row r="2022" spans="1:23">
      <c r="A2022" s="565">
        <v>2716</v>
      </c>
      <c r="B2022" s="696" t="s">
        <v>7426</v>
      </c>
      <c r="C2022" s="566">
        <f t="shared" si="31"/>
        <v>2716</v>
      </c>
      <c r="D2022" s="700" t="s">
        <v>2243</v>
      </c>
      <c r="E2022" s="701" t="s">
        <v>9895</v>
      </c>
      <c r="F2022" s="566">
        <v>1</v>
      </c>
      <c r="G2022" s="662">
        <v>0</v>
      </c>
      <c r="H2022" s="662">
        <v>0</v>
      </c>
      <c r="I2022" s="662">
        <v>17150.078864518146</v>
      </c>
      <c r="J2022" s="662">
        <v>17610.150684241464</v>
      </c>
      <c r="K2022" s="566" t="s">
        <v>4196</v>
      </c>
      <c r="L2022" s="549"/>
      <c r="M2022" s="540"/>
      <c r="O2022" s="540"/>
      <c r="S2022" s="550"/>
      <c r="T2022" s="547"/>
      <c r="U2022" s="547"/>
      <c r="V2022" s="547"/>
      <c r="W2022" s="549"/>
    </row>
    <row r="2023" spans="1:23">
      <c r="A2023" s="565">
        <v>2717</v>
      </c>
      <c r="B2023" s="696" t="s">
        <v>7427</v>
      </c>
      <c r="C2023" s="566">
        <f t="shared" si="31"/>
        <v>2717</v>
      </c>
      <c r="D2023" s="700" t="s">
        <v>2243</v>
      </c>
      <c r="E2023" s="701" t="s">
        <v>9896</v>
      </c>
      <c r="F2023" s="566">
        <v>1</v>
      </c>
      <c r="G2023" s="662">
        <v>0</v>
      </c>
      <c r="H2023" s="662">
        <v>0</v>
      </c>
      <c r="I2023" s="662">
        <v>18566.296851037267</v>
      </c>
      <c r="J2023" s="662">
        <v>19070.187237921196</v>
      </c>
      <c r="K2023" s="566" t="s">
        <v>4197</v>
      </c>
      <c r="L2023" s="549"/>
      <c r="M2023" s="540"/>
      <c r="O2023" s="540"/>
      <c r="S2023" s="550"/>
      <c r="T2023" s="547"/>
      <c r="U2023" s="547"/>
      <c r="V2023" s="547"/>
      <c r="W2023" s="549"/>
    </row>
    <row r="2024" spans="1:23">
      <c r="A2024" s="565">
        <v>2718</v>
      </c>
      <c r="B2024" s="696" t="s">
        <v>7428</v>
      </c>
      <c r="C2024" s="566">
        <f t="shared" si="31"/>
        <v>2718</v>
      </c>
      <c r="D2024" s="700" t="s">
        <v>2243</v>
      </c>
      <c r="E2024" s="701" t="s">
        <v>9897</v>
      </c>
      <c r="F2024" s="566">
        <v>1</v>
      </c>
      <c r="G2024" s="662">
        <v>0</v>
      </c>
      <c r="H2024" s="662">
        <v>0</v>
      </c>
      <c r="I2024" s="662">
        <v>19345.216743622786</v>
      </c>
      <c r="J2024" s="662">
        <v>19873.214283083984</v>
      </c>
      <c r="K2024" s="566" t="s">
        <v>4198</v>
      </c>
      <c r="L2024" s="549"/>
      <c r="M2024" s="540"/>
      <c r="O2024" s="540"/>
      <c r="S2024" s="550"/>
      <c r="T2024" s="547"/>
      <c r="U2024" s="547"/>
      <c r="V2024" s="547"/>
      <c r="W2024" s="549"/>
    </row>
    <row r="2025" spans="1:23">
      <c r="A2025" s="565">
        <v>2719</v>
      </c>
      <c r="B2025" s="696" t="s">
        <v>7429</v>
      </c>
      <c r="C2025" s="566">
        <f t="shared" si="31"/>
        <v>2719</v>
      </c>
      <c r="D2025" s="700" t="s">
        <v>2243</v>
      </c>
      <c r="E2025" s="701" t="s">
        <v>9898</v>
      </c>
      <c r="F2025" s="566">
        <v>1</v>
      </c>
      <c r="G2025" s="662">
        <v>0</v>
      </c>
      <c r="H2025" s="662">
        <v>0</v>
      </c>
      <c r="I2025" s="662">
        <v>20187.866445601656</v>
      </c>
      <c r="J2025" s="662">
        <v>20741.960787468965</v>
      </c>
      <c r="K2025" s="566" t="s">
        <v>4199</v>
      </c>
      <c r="L2025" s="549"/>
      <c r="M2025" s="540"/>
      <c r="O2025" s="540"/>
      <c r="S2025" s="550"/>
      <c r="T2025" s="547"/>
      <c r="U2025" s="547"/>
      <c r="V2025" s="547"/>
      <c r="W2025" s="549"/>
    </row>
    <row r="2026" spans="1:23">
      <c r="A2026" s="565">
        <v>2720</v>
      </c>
      <c r="B2026" s="696" t="s">
        <v>7430</v>
      </c>
      <c r="C2026" s="566">
        <f t="shared" si="31"/>
        <v>2720</v>
      </c>
      <c r="D2026" s="700" t="s">
        <v>2243</v>
      </c>
      <c r="E2026" s="701" t="s">
        <v>9899</v>
      </c>
      <c r="F2026" s="566">
        <v>1</v>
      </c>
      <c r="G2026" s="662">
        <v>0</v>
      </c>
      <c r="H2026" s="662">
        <v>0</v>
      </c>
      <c r="I2026" s="662">
        <v>21809.436040166049</v>
      </c>
      <c r="J2026" s="662">
        <v>22413.688066090486</v>
      </c>
      <c r="K2026" s="566" t="s">
        <v>4200</v>
      </c>
      <c r="L2026" s="549"/>
      <c r="M2026" s="540"/>
      <c r="O2026" s="540"/>
      <c r="S2026" s="550"/>
      <c r="T2026" s="547"/>
      <c r="U2026" s="547"/>
      <c r="V2026" s="547"/>
      <c r="W2026" s="549"/>
    </row>
    <row r="2027" spans="1:23">
      <c r="A2027" s="565">
        <v>2721</v>
      </c>
      <c r="B2027" s="696" t="s">
        <v>7431</v>
      </c>
      <c r="C2027" s="566">
        <f t="shared" si="31"/>
        <v>2721</v>
      </c>
      <c r="D2027" s="700" t="s">
        <v>2243</v>
      </c>
      <c r="E2027" s="701" t="s">
        <v>9900</v>
      </c>
      <c r="F2027" s="566">
        <v>1</v>
      </c>
      <c r="G2027" s="662">
        <v>0</v>
      </c>
      <c r="H2027" s="662">
        <v>0</v>
      </c>
      <c r="I2027" s="662">
        <v>22255.544705919576</v>
      </c>
      <c r="J2027" s="662">
        <v>22873.631738793349</v>
      </c>
      <c r="K2027" s="566" t="s">
        <v>4201</v>
      </c>
      <c r="L2027" s="549"/>
      <c r="M2027" s="540"/>
      <c r="O2027" s="540"/>
      <c r="S2027" s="550"/>
      <c r="T2027" s="547"/>
      <c r="U2027" s="547"/>
      <c r="V2027" s="547"/>
      <c r="W2027" s="549"/>
    </row>
    <row r="2028" spans="1:23">
      <c r="A2028" s="565">
        <v>2722</v>
      </c>
      <c r="B2028" s="695" t="s">
        <v>7432</v>
      </c>
      <c r="C2028" s="566">
        <f t="shared" si="31"/>
        <v>2722</v>
      </c>
      <c r="D2028" s="699" t="s">
        <v>2244</v>
      </c>
      <c r="E2028" s="701" t="s">
        <v>9901</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7433</v>
      </c>
      <c r="C2029" s="566">
        <f t="shared" si="31"/>
        <v>2723</v>
      </c>
      <c r="D2029" s="699" t="s">
        <v>2244</v>
      </c>
      <c r="E2029" s="701" t="s">
        <v>9902</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7434</v>
      </c>
      <c r="C2030" s="566">
        <f t="shared" si="31"/>
        <v>2724</v>
      </c>
      <c r="D2030" s="699" t="s">
        <v>2244</v>
      </c>
      <c r="E2030" s="701" t="s">
        <v>9903</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7435</v>
      </c>
      <c r="C2031" s="566">
        <f t="shared" si="31"/>
        <v>2725</v>
      </c>
      <c r="D2031" s="700" t="s">
        <v>2244</v>
      </c>
      <c r="E2031" s="701" t="s">
        <v>9904</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7436</v>
      </c>
      <c r="C2032" s="566">
        <f t="shared" si="31"/>
        <v>2726</v>
      </c>
      <c r="D2032" s="699" t="s">
        <v>2244</v>
      </c>
      <c r="E2032" s="701" t="s">
        <v>9905</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7437</v>
      </c>
      <c r="C2033" s="566">
        <f t="shared" si="31"/>
        <v>2727</v>
      </c>
      <c r="D2033" s="700" t="s">
        <v>2244</v>
      </c>
      <c r="E2033" s="701" t="s">
        <v>9906</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7438</v>
      </c>
      <c r="C2034" s="566">
        <f t="shared" si="31"/>
        <v>2728</v>
      </c>
      <c r="D2034" s="700" t="s">
        <v>3215</v>
      </c>
      <c r="E2034" s="701" t="s">
        <v>9907</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7439</v>
      </c>
      <c r="C2035" s="566">
        <f t="shared" si="31"/>
        <v>2729</v>
      </c>
      <c r="D2035" s="700" t="s">
        <v>2245</v>
      </c>
      <c r="E2035" s="701" t="s">
        <v>9908</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7440</v>
      </c>
      <c r="C2036" s="566">
        <f t="shared" si="31"/>
        <v>2730</v>
      </c>
      <c r="D2036" s="700" t="s">
        <v>2245</v>
      </c>
      <c r="E2036" s="701" t="s">
        <v>9909</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7441</v>
      </c>
      <c r="C2037" s="566">
        <f t="shared" si="31"/>
        <v>2731</v>
      </c>
      <c r="D2037" s="700" t="s">
        <v>2245</v>
      </c>
      <c r="E2037" s="701" t="s">
        <v>9910</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7442</v>
      </c>
      <c r="C2038" s="566">
        <f t="shared" si="31"/>
        <v>2732</v>
      </c>
      <c r="D2038" s="700" t="s">
        <v>2245</v>
      </c>
      <c r="E2038" s="701" t="s">
        <v>9911</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7443</v>
      </c>
      <c r="C2039" s="566">
        <f t="shared" si="31"/>
        <v>2733</v>
      </c>
      <c r="D2039" s="700" t="s">
        <v>2245</v>
      </c>
      <c r="E2039" s="701" t="s">
        <v>9912</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7444</v>
      </c>
      <c r="C2040" s="566">
        <f t="shared" si="31"/>
        <v>2734</v>
      </c>
      <c r="D2040" s="700" t="s">
        <v>2245</v>
      </c>
      <c r="E2040" s="701" t="s">
        <v>9913</v>
      </c>
      <c r="F2040" s="566">
        <v>1</v>
      </c>
      <c r="G2040" s="662">
        <v>0</v>
      </c>
      <c r="H2040" s="662">
        <v>0</v>
      </c>
      <c r="I2040" s="662">
        <v>12907.02673207577</v>
      </c>
      <c r="J2040" s="662">
        <v>13274.79030975111</v>
      </c>
      <c r="K2040" s="566" t="s">
        <v>4202</v>
      </c>
      <c r="L2040" s="549"/>
      <c r="M2040" s="540"/>
      <c r="O2040" s="540"/>
      <c r="S2040" s="550"/>
      <c r="T2040" s="547"/>
      <c r="U2040" s="547"/>
      <c r="V2040" s="547"/>
      <c r="W2040" s="549"/>
    </row>
    <row r="2041" spans="1:23">
      <c r="A2041" s="565">
        <v>2735</v>
      </c>
      <c r="B2041" s="696" t="s">
        <v>7445</v>
      </c>
      <c r="C2041" s="566">
        <f t="shared" si="31"/>
        <v>2735</v>
      </c>
      <c r="D2041" s="700" t="s">
        <v>2245</v>
      </c>
      <c r="E2041" s="701" t="s">
        <v>9914</v>
      </c>
      <c r="F2041" s="566">
        <v>1</v>
      </c>
      <c r="G2041" s="662">
        <v>12471.293961421266</v>
      </c>
      <c r="H2041" s="662">
        <v>0</v>
      </c>
      <c r="I2041" s="662">
        <v>0</v>
      </c>
      <c r="J2041" s="662">
        <v>0</v>
      </c>
      <c r="K2041" s="566" t="s">
        <v>5363</v>
      </c>
      <c r="L2041" s="549"/>
      <c r="M2041" s="540"/>
      <c r="O2041" s="540"/>
      <c r="S2041" s="550"/>
      <c r="T2041" s="547"/>
      <c r="U2041" s="547"/>
      <c r="V2041" s="547"/>
      <c r="W2041" s="549"/>
    </row>
    <row r="2042" spans="1:23">
      <c r="A2042" s="565">
        <v>2736</v>
      </c>
      <c r="B2042" s="696" t="s">
        <v>7446</v>
      </c>
      <c r="C2042" s="566">
        <f t="shared" si="31"/>
        <v>2736</v>
      </c>
      <c r="D2042" s="700" t="s">
        <v>2245</v>
      </c>
      <c r="E2042" s="701" t="s">
        <v>9915</v>
      </c>
      <c r="F2042" s="566">
        <v>1</v>
      </c>
      <c r="G2042" s="662">
        <v>21388.63160776101</v>
      </c>
      <c r="H2042" s="662">
        <v>21388.63160776101</v>
      </c>
      <c r="I2042" s="662">
        <v>21388.63160776101</v>
      </c>
      <c r="J2042" s="662">
        <v>21388.63160776101</v>
      </c>
      <c r="K2042" s="566" t="s">
        <v>4942</v>
      </c>
      <c r="L2042" s="549"/>
      <c r="M2042" s="540"/>
      <c r="O2042" s="540"/>
      <c r="S2042" s="550"/>
      <c r="T2042" s="547"/>
      <c r="U2042" s="547"/>
      <c r="V2042" s="547"/>
      <c r="W2042" s="549"/>
    </row>
    <row r="2043" spans="1:23">
      <c r="A2043" s="565">
        <v>2737</v>
      </c>
      <c r="B2043" s="696" t="s">
        <v>7447</v>
      </c>
      <c r="C2043" s="566">
        <f t="shared" si="31"/>
        <v>2737</v>
      </c>
      <c r="D2043" s="700" t="s">
        <v>2245</v>
      </c>
      <c r="E2043" s="701" t="s">
        <v>9916</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7448</v>
      </c>
      <c r="C2044" s="566">
        <f t="shared" si="31"/>
        <v>2738</v>
      </c>
      <c r="D2044" s="700" t="s">
        <v>2245</v>
      </c>
      <c r="E2044" s="701" t="s">
        <v>9917</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7449</v>
      </c>
      <c r="C2045" s="566">
        <f t="shared" si="31"/>
        <v>2739</v>
      </c>
      <c r="D2045" s="700" t="s">
        <v>2245</v>
      </c>
      <c r="E2045" s="701" t="s">
        <v>9918</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7450</v>
      </c>
      <c r="C2046" s="566">
        <f t="shared" si="31"/>
        <v>2740</v>
      </c>
      <c r="D2046" s="700" t="s">
        <v>2245</v>
      </c>
      <c r="E2046" s="701" t="s">
        <v>9919</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7451</v>
      </c>
      <c r="C2047" s="566">
        <f t="shared" si="31"/>
        <v>2741</v>
      </c>
      <c r="D2047" s="700" t="s">
        <v>2245</v>
      </c>
      <c r="E2047" s="701" t="s">
        <v>9920</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7452</v>
      </c>
      <c r="C2048" s="566">
        <f t="shared" si="31"/>
        <v>2742</v>
      </c>
      <c r="D2048" s="700" t="s">
        <v>2245</v>
      </c>
      <c r="E2048" s="701" t="s">
        <v>9921</v>
      </c>
      <c r="F2048" s="566">
        <v>1</v>
      </c>
      <c r="G2048" s="662">
        <v>24583.138579707607</v>
      </c>
      <c r="H2048" s="662">
        <v>25317.191933499435</v>
      </c>
      <c r="I2048" s="662">
        <v>26089.869141512045</v>
      </c>
      <c r="J2048" s="662">
        <v>26903.238147581098</v>
      </c>
      <c r="K2048" s="566" t="s">
        <v>4943</v>
      </c>
      <c r="L2048" s="549"/>
      <c r="M2048" s="540"/>
      <c r="O2048" s="540"/>
      <c r="S2048" s="550"/>
      <c r="T2048" s="547"/>
      <c r="U2048" s="547"/>
      <c r="V2048" s="547"/>
      <c r="W2048" s="549"/>
    </row>
    <row r="2049" spans="1:23">
      <c r="A2049" s="565">
        <v>2743</v>
      </c>
      <c r="B2049" s="696" t="s">
        <v>7453</v>
      </c>
      <c r="C2049" s="566">
        <f t="shared" si="31"/>
        <v>2743</v>
      </c>
      <c r="D2049" s="700" t="s">
        <v>2245</v>
      </c>
      <c r="E2049" s="701" t="s">
        <v>9922</v>
      </c>
      <c r="F2049" s="566">
        <v>1</v>
      </c>
      <c r="G2049" s="662">
        <v>26727.176013102584</v>
      </c>
      <c r="H2049" s="662">
        <v>27531.806288769338</v>
      </c>
      <c r="I2049" s="662">
        <v>28378.796059134198</v>
      </c>
      <c r="J2049" s="662">
        <v>29270.380037696967</v>
      </c>
      <c r="K2049" s="566" t="s">
        <v>4944</v>
      </c>
      <c r="L2049" s="549"/>
      <c r="M2049" s="540"/>
      <c r="O2049" s="540"/>
      <c r="S2049" s="550"/>
      <c r="T2049" s="547"/>
      <c r="U2049" s="547"/>
      <c r="V2049" s="547"/>
      <c r="W2049" s="549"/>
    </row>
    <row r="2050" spans="1:23">
      <c r="A2050" s="565">
        <v>2744</v>
      </c>
      <c r="B2050" s="696" t="s">
        <v>7454</v>
      </c>
      <c r="C2050" s="566">
        <f t="shared" si="31"/>
        <v>2744</v>
      </c>
      <c r="D2050" s="700" t="s">
        <v>2245</v>
      </c>
      <c r="E2050" s="701" t="s">
        <v>9923</v>
      </c>
      <c r="F2050" s="566">
        <v>1</v>
      </c>
      <c r="G2050" s="662">
        <v>0</v>
      </c>
      <c r="H2050" s="662">
        <v>0</v>
      </c>
      <c r="I2050" s="662">
        <v>19087.770849652177</v>
      </c>
      <c r="J2050" s="662">
        <v>19630.22708454758</v>
      </c>
      <c r="K2050" s="566" t="s">
        <v>4203</v>
      </c>
      <c r="L2050" s="549"/>
      <c r="M2050" s="540"/>
      <c r="O2050" s="540"/>
      <c r="S2050" s="550"/>
      <c r="T2050" s="547"/>
      <c r="U2050" s="547"/>
      <c r="V2050" s="547"/>
      <c r="W2050" s="549"/>
    </row>
    <row r="2051" spans="1:23">
      <c r="A2051" s="565">
        <v>2745</v>
      </c>
      <c r="B2051" s="696" t="s">
        <v>7455</v>
      </c>
      <c r="C2051" s="566">
        <f t="shared" si="31"/>
        <v>2745</v>
      </c>
      <c r="D2051" s="700" t="s">
        <v>2245</v>
      </c>
      <c r="E2051" s="701" t="s">
        <v>9924</v>
      </c>
      <c r="F2051" s="566">
        <v>1</v>
      </c>
      <c r="G2051" s="662">
        <v>0</v>
      </c>
      <c r="H2051" s="662">
        <v>0</v>
      </c>
      <c r="I2051" s="662">
        <v>20699.154585954209</v>
      </c>
      <c r="J2051" s="662">
        <v>21293.629479732819</v>
      </c>
      <c r="K2051" s="566" t="s">
        <v>4204</v>
      </c>
      <c r="L2051" s="549"/>
      <c r="M2051" s="540"/>
      <c r="O2051" s="540"/>
      <c r="S2051" s="550"/>
      <c r="T2051" s="547"/>
      <c r="U2051" s="547"/>
      <c r="V2051" s="547"/>
      <c r="W2051" s="549"/>
    </row>
    <row r="2052" spans="1:23">
      <c r="A2052" s="565">
        <v>2746</v>
      </c>
      <c r="B2052" s="696" t="s">
        <v>7456</v>
      </c>
      <c r="C2052" s="566">
        <f t="shared" si="31"/>
        <v>2746</v>
      </c>
      <c r="D2052" s="700" t="s">
        <v>2246</v>
      </c>
      <c r="E2052" s="701" t="s">
        <v>9925</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7457</v>
      </c>
      <c r="C2053" s="566">
        <f t="shared" si="31"/>
        <v>2747</v>
      </c>
      <c r="D2053" s="700" t="s">
        <v>2246</v>
      </c>
      <c r="E2053" s="701" t="s">
        <v>9926</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7458</v>
      </c>
      <c r="C2054" s="566">
        <f t="shared" si="31"/>
        <v>2748</v>
      </c>
      <c r="D2054" s="700" t="s">
        <v>2246</v>
      </c>
      <c r="E2054" s="701" t="s">
        <v>9927</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7459</v>
      </c>
      <c r="C2055" s="566">
        <f t="shared" si="31"/>
        <v>2749</v>
      </c>
      <c r="D2055" s="700" t="s">
        <v>2246</v>
      </c>
      <c r="E2055" s="701" t="s">
        <v>9928</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7460</v>
      </c>
      <c r="C2056" s="566">
        <f t="shared" si="31"/>
        <v>2750</v>
      </c>
      <c r="D2056" s="700" t="s">
        <v>2246</v>
      </c>
      <c r="E2056" s="701" t="s">
        <v>9929</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7461</v>
      </c>
      <c r="C2057" s="566">
        <f t="shared" ref="C2057:C2120" si="32">A2057</f>
        <v>2751</v>
      </c>
      <c r="D2057" s="700" t="s">
        <v>2246</v>
      </c>
      <c r="E2057" s="701" t="s">
        <v>9930</v>
      </c>
      <c r="F2057" s="566">
        <v>1</v>
      </c>
      <c r="G2057" s="662">
        <v>0</v>
      </c>
      <c r="H2057" s="662">
        <v>0</v>
      </c>
      <c r="I2057" s="662">
        <v>15508.061193014733</v>
      </c>
      <c r="J2057" s="662">
        <v>15798.851766875148</v>
      </c>
      <c r="K2057" s="566" t="s">
        <v>4945</v>
      </c>
      <c r="L2057" s="549"/>
      <c r="M2057" s="540"/>
      <c r="O2057" s="540"/>
      <c r="S2057" s="550"/>
      <c r="T2057" s="547"/>
      <c r="U2057" s="547"/>
      <c r="V2057" s="547"/>
      <c r="W2057" s="549"/>
    </row>
    <row r="2058" spans="1:23">
      <c r="A2058" s="565">
        <v>2752</v>
      </c>
      <c r="B2058" s="695" t="s">
        <v>7462</v>
      </c>
      <c r="C2058" s="566">
        <f t="shared" si="32"/>
        <v>2752</v>
      </c>
      <c r="D2058" s="699" t="s">
        <v>2246</v>
      </c>
      <c r="E2058" s="701" t="s">
        <v>9931</v>
      </c>
      <c r="F2058" s="567">
        <v>1</v>
      </c>
      <c r="G2058" s="662">
        <v>0</v>
      </c>
      <c r="H2058" s="662">
        <v>0</v>
      </c>
      <c r="I2058" s="662">
        <v>0</v>
      </c>
      <c r="J2058" s="662">
        <v>14100.929121650372</v>
      </c>
      <c r="K2058" s="568" t="s">
        <v>4946</v>
      </c>
      <c r="L2058" s="549"/>
      <c r="M2058" s="540"/>
      <c r="O2058" s="540"/>
      <c r="S2058" s="550"/>
      <c r="T2058" s="547"/>
      <c r="U2058" s="547"/>
      <c r="V2058" s="547"/>
      <c r="W2058" s="549"/>
    </row>
    <row r="2059" spans="1:23">
      <c r="A2059" s="565">
        <v>2753</v>
      </c>
      <c r="B2059" s="696" t="s">
        <v>7463</v>
      </c>
      <c r="C2059" s="566">
        <f t="shared" si="32"/>
        <v>2753</v>
      </c>
      <c r="D2059" s="700" t="s">
        <v>2246</v>
      </c>
      <c r="E2059" s="701" t="s">
        <v>9932</v>
      </c>
      <c r="F2059" s="566">
        <v>1</v>
      </c>
      <c r="G2059" s="662">
        <v>0</v>
      </c>
      <c r="H2059" s="662">
        <v>0</v>
      </c>
      <c r="I2059" s="662">
        <v>0</v>
      </c>
      <c r="J2059" s="662">
        <v>13225.489475436932</v>
      </c>
      <c r="K2059" s="566" t="s">
        <v>4947</v>
      </c>
      <c r="L2059" s="549"/>
      <c r="M2059" s="540"/>
      <c r="O2059" s="540"/>
      <c r="S2059" s="550"/>
      <c r="T2059" s="547"/>
      <c r="U2059" s="547"/>
      <c r="V2059" s="547"/>
      <c r="W2059" s="549"/>
    </row>
    <row r="2060" spans="1:23">
      <c r="A2060" s="565">
        <v>2754</v>
      </c>
      <c r="B2060" s="696" t="s">
        <v>7464</v>
      </c>
      <c r="C2060" s="566">
        <f t="shared" si="32"/>
        <v>2754</v>
      </c>
      <c r="D2060" s="700" t="s">
        <v>2246</v>
      </c>
      <c r="E2060" s="701" t="s">
        <v>9933</v>
      </c>
      <c r="F2060" s="566">
        <v>1</v>
      </c>
      <c r="G2060" s="662">
        <v>0</v>
      </c>
      <c r="H2060" s="662">
        <v>0</v>
      </c>
      <c r="I2060" s="662">
        <v>0</v>
      </c>
      <c r="J2060" s="662">
        <v>16289.528237183978</v>
      </c>
      <c r="K2060" s="566" t="s">
        <v>4948</v>
      </c>
      <c r="L2060" s="549"/>
      <c r="M2060" s="540"/>
      <c r="O2060" s="540"/>
      <c r="S2060" s="550"/>
      <c r="T2060" s="547"/>
      <c r="U2060" s="547"/>
      <c r="V2060" s="547"/>
      <c r="W2060" s="549"/>
    </row>
    <row r="2061" spans="1:23">
      <c r="A2061" s="565">
        <v>2755</v>
      </c>
      <c r="B2061" s="695" t="s">
        <v>7465</v>
      </c>
      <c r="C2061" s="566">
        <f t="shared" si="32"/>
        <v>2755</v>
      </c>
      <c r="D2061" s="699" t="s">
        <v>2246</v>
      </c>
      <c r="E2061" s="701" t="s">
        <v>9934</v>
      </c>
      <c r="F2061" s="567">
        <v>1</v>
      </c>
      <c r="G2061" s="662">
        <v>0</v>
      </c>
      <c r="H2061" s="662">
        <v>0</v>
      </c>
      <c r="I2061" s="662">
        <v>0</v>
      </c>
      <c r="J2061" s="662">
        <v>17164.967883397418</v>
      </c>
      <c r="K2061" s="568" t="s">
        <v>4949</v>
      </c>
      <c r="L2061" s="549"/>
      <c r="M2061" s="540"/>
      <c r="O2061" s="540"/>
      <c r="S2061" s="550"/>
      <c r="T2061" s="547"/>
      <c r="U2061" s="547"/>
      <c r="V2061" s="547"/>
      <c r="W2061" s="549"/>
    </row>
    <row r="2062" spans="1:23">
      <c r="A2062" s="565">
        <v>2756</v>
      </c>
      <c r="B2062" s="696" t="s">
        <v>7466</v>
      </c>
      <c r="C2062" s="566">
        <f t="shared" si="32"/>
        <v>2756</v>
      </c>
      <c r="D2062" s="700" t="s">
        <v>2246</v>
      </c>
      <c r="E2062" s="701" t="s">
        <v>9935</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7467</v>
      </c>
      <c r="C2063" s="566">
        <f t="shared" si="32"/>
        <v>2757</v>
      </c>
      <c r="D2063" s="699" t="s">
        <v>2246</v>
      </c>
      <c r="E2063" s="701" t="s">
        <v>9936</v>
      </c>
      <c r="F2063" s="567">
        <v>1</v>
      </c>
      <c r="G2063" s="662">
        <v>11427.531609790503</v>
      </c>
      <c r="H2063" s="662">
        <v>0</v>
      </c>
      <c r="I2063" s="662">
        <v>0</v>
      </c>
      <c r="J2063" s="662">
        <v>0</v>
      </c>
      <c r="K2063" s="568" t="s">
        <v>5364</v>
      </c>
      <c r="L2063" s="549"/>
      <c r="M2063" s="540"/>
      <c r="O2063" s="540"/>
      <c r="S2063" s="550"/>
      <c r="T2063" s="547"/>
      <c r="U2063" s="547"/>
      <c r="V2063" s="547"/>
      <c r="W2063" s="549"/>
    </row>
    <row r="2064" spans="1:23">
      <c r="A2064" s="565">
        <v>2758</v>
      </c>
      <c r="B2064" s="695" t="s">
        <v>7468</v>
      </c>
      <c r="C2064" s="566">
        <f t="shared" si="32"/>
        <v>2758</v>
      </c>
      <c r="D2064" s="699" t="s">
        <v>2246</v>
      </c>
      <c r="E2064" s="701" t="s">
        <v>9937</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7469</v>
      </c>
      <c r="C2065" s="566">
        <f t="shared" si="32"/>
        <v>2759</v>
      </c>
      <c r="D2065" s="699" t="s">
        <v>2246</v>
      </c>
      <c r="E2065" s="701" t="s">
        <v>9938</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7470</v>
      </c>
      <c r="C2066" s="566">
        <f t="shared" si="32"/>
        <v>2760</v>
      </c>
      <c r="D2066" s="699" t="s">
        <v>2246</v>
      </c>
      <c r="E2066" s="701" t="s">
        <v>9939</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7471</v>
      </c>
      <c r="C2067" s="566">
        <f t="shared" si="32"/>
        <v>2761</v>
      </c>
      <c r="D2067" s="699" t="s">
        <v>2246</v>
      </c>
      <c r="E2067" s="701" t="s">
        <v>9940</v>
      </c>
      <c r="F2067" s="567">
        <v>1</v>
      </c>
      <c r="G2067" s="662">
        <v>0</v>
      </c>
      <c r="H2067" s="662">
        <v>0</v>
      </c>
      <c r="I2067" s="662">
        <v>13479.708738530288</v>
      </c>
      <c r="J2067" s="662">
        <v>13835.653969899291</v>
      </c>
      <c r="K2067" s="568" t="s">
        <v>4205</v>
      </c>
      <c r="L2067" s="549"/>
      <c r="M2067" s="540"/>
      <c r="O2067" s="540"/>
      <c r="S2067" s="550"/>
      <c r="T2067" s="547"/>
      <c r="U2067" s="547"/>
      <c r="V2067" s="547"/>
      <c r="W2067" s="549"/>
    </row>
    <row r="2068" spans="1:23">
      <c r="A2068" s="565">
        <v>2762</v>
      </c>
      <c r="B2068" s="695" t="s">
        <v>7472</v>
      </c>
      <c r="C2068" s="566">
        <f t="shared" si="32"/>
        <v>2762</v>
      </c>
      <c r="D2068" s="699" t="s">
        <v>2246</v>
      </c>
      <c r="E2068" s="701" t="s">
        <v>9941</v>
      </c>
      <c r="F2068" s="567">
        <v>1</v>
      </c>
      <c r="G2068" s="662">
        <v>0</v>
      </c>
      <c r="H2068" s="662">
        <v>0</v>
      </c>
      <c r="I2068" s="662">
        <v>12726.616214222106</v>
      </c>
      <c r="J2068" s="662">
        <v>13058.608455056874</v>
      </c>
      <c r="K2068" s="568" t="s">
        <v>4206</v>
      </c>
      <c r="L2068" s="549"/>
      <c r="M2068" s="540"/>
      <c r="O2068" s="540"/>
      <c r="S2068" s="550"/>
      <c r="T2068" s="547"/>
      <c r="U2068" s="547"/>
      <c r="V2068" s="547"/>
      <c r="W2068" s="549"/>
    </row>
    <row r="2069" spans="1:23">
      <c r="A2069" s="565">
        <v>2763</v>
      </c>
      <c r="B2069" s="695" t="s">
        <v>7473</v>
      </c>
      <c r="C2069" s="566">
        <f t="shared" si="32"/>
        <v>2763</v>
      </c>
      <c r="D2069" s="699" t="s">
        <v>2246</v>
      </c>
      <c r="E2069" s="701" t="s">
        <v>9942</v>
      </c>
      <c r="F2069" s="567">
        <v>1</v>
      </c>
      <c r="G2069" s="662">
        <v>0</v>
      </c>
      <c r="H2069" s="662">
        <v>0</v>
      </c>
      <c r="I2069" s="662">
        <v>15034.954635580254</v>
      </c>
      <c r="J2069" s="662">
        <v>15446.295107591128</v>
      </c>
      <c r="K2069" s="568" t="s">
        <v>4207</v>
      </c>
      <c r="L2069" s="549"/>
      <c r="M2069" s="540"/>
      <c r="O2069" s="540"/>
      <c r="S2069" s="550"/>
      <c r="T2069" s="547"/>
      <c r="U2069" s="547"/>
      <c r="V2069" s="547"/>
      <c r="W2069" s="549"/>
    </row>
    <row r="2070" spans="1:23">
      <c r="A2070" s="565">
        <v>2764</v>
      </c>
      <c r="B2070" s="695" t="s">
        <v>7474</v>
      </c>
      <c r="C2070" s="566">
        <f t="shared" si="32"/>
        <v>2764</v>
      </c>
      <c r="D2070" s="699" t="s">
        <v>2246</v>
      </c>
      <c r="E2070" s="701" t="s">
        <v>9943</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7475</v>
      </c>
      <c r="C2071" s="566">
        <f t="shared" si="32"/>
        <v>2765</v>
      </c>
      <c r="D2071" s="699" t="s">
        <v>2246</v>
      </c>
      <c r="E2071" s="701" t="s">
        <v>9944</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7476</v>
      </c>
      <c r="C2072" s="566">
        <f t="shared" si="32"/>
        <v>2766</v>
      </c>
      <c r="D2072" s="699" t="s">
        <v>2246</v>
      </c>
      <c r="E2072" s="701" t="s">
        <v>9945</v>
      </c>
      <c r="F2072" s="567">
        <v>1</v>
      </c>
      <c r="G2072" s="662">
        <v>0</v>
      </c>
      <c r="H2072" s="662">
        <v>0</v>
      </c>
      <c r="I2072" s="662">
        <v>0</v>
      </c>
      <c r="J2072" s="662">
        <v>15073.719470336668</v>
      </c>
      <c r="K2072" s="568" t="s">
        <v>4950</v>
      </c>
      <c r="L2072" s="549"/>
      <c r="M2072" s="540"/>
      <c r="O2072" s="540"/>
      <c r="S2072" s="550"/>
      <c r="T2072" s="547"/>
      <c r="U2072" s="547"/>
      <c r="V2072" s="547"/>
      <c r="W2072" s="549"/>
    </row>
    <row r="2073" spans="1:23">
      <c r="A2073" s="565">
        <v>2767</v>
      </c>
      <c r="B2073" s="697" t="s">
        <v>7477</v>
      </c>
      <c r="C2073" s="566">
        <f t="shared" si="32"/>
        <v>2767</v>
      </c>
      <c r="D2073" s="699" t="s">
        <v>2246</v>
      </c>
      <c r="E2073" s="701" t="s">
        <v>9946</v>
      </c>
      <c r="F2073" s="567">
        <v>1</v>
      </c>
      <c r="G2073" s="662">
        <v>0</v>
      </c>
      <c r="H2073" s="662">
        <v>0</v>
      </c>
      <c r="I2073" s="662">
        <v>0</v>
      </c>
      <c r="J2073" s="662">
        <v>14020.571747892242</v>
      </c>
      <c r="K2073" s="568" t="s">
        <v>4951</v>
      </c>
      <c r="L2073" s="549"/>
      <c r="M2073" s="540"/>
      <c r="O2073" s="540"/>
      <c r="S2073" s="550"/>
      <c r="T2073" s="547"/>
      <c r="U2073" s="547"/>
      <c r="V2073" s="547"/>
      <c r="W2073" s="549"/>
    </row>
    <row r="2074" spans="1:23">
      <c r="A2074" s="565">
        <v>2768</v>
      </c>
      <c r="B2074" s="697" t="s">
        <v>7478</v>
      </c>
      <c r="C2074" s="566">
        <f t="shared" si="32"/>
        <v>2768</v>
      </c>
      <c r="D2074" s="699" t="s">
        <v>2246</v>
      </c>
      <c r="E2074" s="701" t="s">
        <v>9947</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7479</v>
      </c>
      <c r="C2075" s="566">
        <f t="shared" si="32"/>
        <v>2769</v>
      </c>
      <c r="D2075" s="699" t="s">
        <v>2246</v>
      </c>
      <c r="E2075" s="701" t="s">
        <v>9948</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7480</v>
      </c>
      <c r="C2076" s="566">
        <f t="shared" si="32"/>
        <v>2770</v>
      </c>
      <c r="D2076" s="699" t="s">
        <v>2247</v>
      </c>
      <c r="E2076" s="701" t="s">
        <v>9949</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7481</v>
      </c>
      <c r="C2077" s="566">
        <f t="shared" si="32"/>
        <v>2771</v>
      </c>
      <c r="D2077" s="699" t="s">
        <v>2247</v>
      </c>
      <c r="E2077" s="701" t="s">
        <v>9950</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7482</v>
      </c>
      <c r="C2078" s="566">
        <f t="shared" si="32"/>
        <v>2772</v>
      </c>
      <c r="D2078" s="700" t="s">
        <v>2247</v>
      </c>
      <c r="E2078" s="701" t="s">
        <v>9951</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7483</v>
      </c>
      <c r="C2079" s="566">
        <f t="shared" si="32"/>
        <v>2773</v>
      </c>
      <c r="D2079" s="700" t="s">
        <v>2247</v>
      </c>
      <c r="E2079" s="701" t="s">
        <v>9952</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7484</v>
      </c>
      <c r="C2080" s="566">
        <f t="shared" si="32"/>
        <v>2774</v>
      </c>
      <c r="D2080" s="700" t="s">
        <v>2247</v>
      </c>
      <c r="E2080" s="701" t="s">
        <v>9953</v>
      </c>
      <c r="F2080" s="566">
        <v>1</v>
      </c>
      <c r="G2080" s="662">
        <v>17278.147902912344</v>
      </c>
      <c r="H2080" s="662">
        <v>17814.258879913232</v>
      </c>
      <c r="I2080" s="662">
        <v>18378.625970151999</v>
      </c>
      <c r="J2080" s="662">
        <v>18972.665125851021</v>
      </c>
      <c r="K2080" s="566" t="s">
        <v>4952</v>
      </c>
      <c r="L2080"/>
      <c r="M2080" s="540"/>
      <c r="O2080" s="540"/>
    </row>
    <row r="2081" spans="1:15">
      <c r="A2081" s="565">
        <v>2775</v>
      </c>
      <c r="B2081" s="696" t="s">
        <v>7485</v>
      </c>
      <c r="C2081" s="566">
        <f t="shared" si="32"/>
        <v>2775</v>
      </c>
      <c r="D2081" s="700" t="s">
        <v>2247</v>
      </c>
      <c r="E2081" s="701" t="s">
        <v>9954</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7486</v>
      </c>
      <c r="C2082" s="566">
        <f t="shared" si="32"/>
        <v>2776</v>
      </c>
      <c r="D2082" s="700" t="s">
        <v>2247</v>
      </c>
      <c r="E2082" s="701" t="s">
        <v>9955</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7487</v>
      </c>
      <c r="C2083" s="566">
        <f t="shared" si="32"/>
        <v>2777</v>
      </c>
      <c r="D2083" s="700" t="s">
        <v>2247</v>
      </c>
      <c r="E2083" s="701" t="s">
        <v>9956</v>
      </c>
      <c r="F2083" s="566">
        <v>1</v>
      </c>
      <c r="G2083" s="662">
        <v>0</v>
      </c>
      <c r="H2083" s="662">
        <v>0</v>
      </c>
      <c r="I2083" s="662">
        <v>20631.94479935972</v>
      </c>
      <c r="J2083" s="662">
        <v>21230.955520639567</v>
      </c>
      <c r="K2083" s="566" t="s">
        <v>4208</v>
      </c>
      <c r="L2083"/>
      <c r="M2083" s="540"/>
      <c r="O2083" s="540"/>
    </row>
    <row r="2084" spans="1:15">
      <c r="A2084" s="565">
        <v>2778</v>
      </c>
      <c r="B2084" s="696" t="s">
        <v>7488</v>
      </c>
      <c r="C2084" s="566">
        <f t="shared" si="32"/>
        <v>2778</v>
      </c>
      <c r="D2084" s="700" t="s">
        <v>2247</v>
      </c>
      <c r="E2084" s="701" t="s">
        <v>9957</v>
      </c>
      <c r="F2084" s="566">
        <v>1</v>
      </c>
      <c r="G2084" s="662">
        <v>0</v>
      </c>
      <c r="H2084" s="662">
        <v>0</v>
      </c>
      <c r="I2084" s="662">
        <v>0</v>
      </c>
      <c r="J2084" s="662">
        <v>12724.569394713808</v>
      </c>
      <c r="K2084" s="566" t="s">
        <v>4953</v>
      </c>
      <c r="L2084"/>
      <c r="M2084" s="540"/>
      <c r="O2084" s="540"/>
    </row>
    <row r="2085" spans="1:15">
      <c r="A2085" s="565">
        <v>2779</v>
      </c>
      <c r="B2085" s="696" t="s">
        <v>7489</v>
      </c>
      <c r="C2085" s="566">
        <f t="shared" si="32"/>
        <v>2779</v>
      </c>
      <c r="D2085" s="700" t="s">
        <v>2247</v>
      </c>
      <c r="E2085" s="701" t="s">
        <v>9958</v>
      </c>
      <c r="F2085" s="566">
        <v>1</v>
      </c>
      <c r="G2085" s="662">
        <v>0</v>
      </c>
      <c r="H2085" s="662">
        <v>0</v>
      </c>
      <c r="I2085" s="662">
        <v>0</v>
      </c>
      <c r="J2085" s="662">
        <v>11968.368166106826</v>
      </c>
      <c r="K2085" s="566" t="s">
        <v>4954</v>
      </c>
      <c r="L2085"/>
      <c r="M2085" s="540"/>
      <c r="O2085" s="540"/>
    </row>
    <row r="2086" spans="1:15">
      <c r="A2086" s="565">
        <v>2780</v>
      </c>
      <c r="B2086" s="695" t="s">
        <v>7490</v>
      </c>
      <c r="C2086" s="566">
        <f t="shared" si="32"/>
        <v>2780</v>
      </c>
      <c r="D2086" s="699" t="s">
        <v>2247</v>
      </c>
      <c r="E2086" s="701" t="s">
        <v>9959</v>
      </c>
      <c r="F2086" s="567">
        <v>1</v>
      </c>
      <c r="G2086" s="662">
        <v>0</v>
      </c>
      <c r="H2086" s="662">
        <v>0</v>
      </c>
      <c r="I2086" s="662">
        <v>0</v>
      </c>
      <c r="J2086" s="662">
        <v>13184.617716307404</v>
      </c>
      <c r="K2086" s="568" t="s">
        <v>4955</v>
      </c>
      <c r="L2086"/>
      <c r="M2086" s="540"/>
      <c r="O2086" s="540"/>
    </row>
    <row r="2087" spans="1:15">
      <c r="A2087" s="565">
        <v>2781</v>
      </c>
      <c r="B2087" s="695" t="s">
        <v>7491</v>
      </c>
      <c r="C2087" s="566">
        <f t="shared" si="32"/>
        <v>2781</v>
      </c>
      <c r="D2087" s="699" t="s">
        <v>2247</v>
      </c>
      <c r="E2087" s="701" t="s">
        <v>9960</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7492</v>
      </c>
      <c r="C2088" s="566">
        <f t="shared" si="32"/>
        <v>2782</v>
      </c>
      <c r="D2088" s="699" t="s">
        <v>2247</v>
      </c>
      <c r="E2088" s="701" t="s">
        <v>9961</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7493</v>
      </c>
      <c r="C2089" s="566">
        <f t="shared" si="32"/>
        <v>2783</v>
      </c>
      <c r="D2089" s="699" t="s">
        <v>2247</v>
      </c>
      <c r="E2089" s="701" t="s">
        <v>9962</v>
      </c>
      <c r="F2089" s="567">
        <v>1</v>
      </c>
      <c r="G2089" s="662">
        <v>0</v>
      </c>
      <c r="H2089" s="662">
        <v>0</v>
      </c>
      <c r="I2089" s="662">
        <v>0</v>
      </c>
      <c r="J2089" s="662">
        <v>17465.028850773506</v>
      </c>
      <c r="K2089" s="568" t="s">
        <v>4956</v>
      </c>
      <c r="L2089"/>
      <c r="M2089" s="540"/>
      <c r="O2089" s="540"/>
    </row>
    <row r="2090" spans="1:15">
      <c r="A2090" s="565">
        <v>2784</v>
      </c>
      <c r="B2090" s="696" t="s">
        <v>7494</v>
      </c>
      <c r="C2090" s="566">
        <f t="shared" si="32"/>
        <v>2784</v>
      </c>
      <c r="D2090" s="700" t="s">
        <v>2247</v>
      </c>
      <c r="E2090" s="701" t="s">
        <v>9963</v>
      </c>
      <c r="F2090" s="566">
        <v>1</v>
      </c>
      <c r="G2090" s="662">
        <v>0</v>
      </c>
      <c r="H2090" s="662">
        <v>0</v>
      </c>
      <c r="I2090" s="662">
        <v>0</v>
      </c>
      <c r="J2090" s="662">
        <v>16028.270694786048</v>
      </c>
      <c r="K2090" s="566" t="s">
        <v>4957</v>
      </c>
      <c r="L2090"/>
      <c r="M2090" s="540"/>
      <c r="O2090" s="540"/>
    </row>
    <row r="2091" spans="1:15">
      <c r="A2091" s="565">
        <v>2785</v>
      </c>
      <c r="B2091" s="696" t="s">
        <v>7495</v>
      </c>
      <c r="C2091" s="566">
        <f t="shared" si="32"/>
        <v>2785</v>
      </c>
      <c r="D2091" s="700" t="s">
        <v>2247</v>
      </c>
      <c r="E2091" s="701" t="s">
        <v>9964</v>
      </c>
      <c r="F2091" s="566">
        <v>1</v>
      </c>
      <c r="G2091" s="662">
        <v>0</v>
      </c>
      <c r="H2091" s="662">
        <v>0</v>
      </c>
      <c r="I2091" s="662">
        <v>0</v>
      </c>
      <c r="J2091" s="662">
        <v>15554.249528178501</v>
      </c>
      <c r="K2091" s="566" t="s">
        <v>4958</v>
      </c>
      <c r="L2091"/>
      <c r="M2091" s="540"/>
      <c r="O2091" s="540"/>
    </row>
    <row r="2092" spans="1:15">
      <c r="A2092" s="565">
        <v>2786</v>
      </c>
      <c r="B2092" s="696" t="s">
        <v>7496</v>
      </c>
      <c r="C2092" s="566">
        <f t="shared" si="32"/>
        <v>2786</v>
      </c>
      <c r="D2092" s="700" t="s">
        <v>2247</v>
      </c>
      <c r="E2092" s="701" t="s">
        <v>9965</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7497</v>
      </c>
      <c r="C2093" s="566">
        <f t="shared" si="32"/>
        <v>2787</v>
      </c>
      <c r="D2093" s="700" t="s">
        <v>2247</v>
      </c>
      <c r="E2093" s="701" t="s">
        <v>9966</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7498</v>
      </c>
      <c r="C2094" s="566">
        <f t="shared" si="32"/>
        <v>2788</v>
      </c>
      <c r="D2094" s="700" t="s">
        <v>2247</v>
      </c>
      <c r="E2094" s="701" t="s">
        <v>9967</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7499</v>
      </c>
      <c r="C2095" s="566">
        <f t="shared" si="32"/>
        <v>2789</v>
      </c>
      <c r="D2095" s="700" t="s">
        <v>2247</v>
      </c>
      <c r="E2095" s="701" t="s">
        <v>9968</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7500</v>
      </c>
      <c r="C2096" s="566">
        <f t="shared" si="32"/>
        <v>2790</v>
      </c>
      <c r="D2096" s="700" t="s">
        <v>2247</v>
      </c>
      <c r="E2096" s="701" t="s">
        <v>9969</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7501</v>
      </c>
      <c r="C2097" s="566">
        <f t="shared" si="32"/>
        <v>2791</v>
      </c>
      <c r="D2097" s="700" t="s">
        <v>2247</v>
      </c>
      <c r="E2097" s="701" t="s">
        <v>9970</v>
      </c>
      <c r="F2097" s="566">
        <v>1</v>
      </c>
      <c r="G2097" s="662">
        <v>0</v>
      </c>
      <c r="H2097" s="662">
        <v>0</v>
      </c>
      <c r="I2097" s="662">
        <v>31956.39030915378</v>
      </c>
      <c r="J2097" s="662">
        <v>32889.007903865349</v>
      </c>
      <c r="K2097" s="566" t="s">
        <v>4209</v>
      </c>
      <c r="L2097"/>
      <c r="M2097" s="540"/>
      <c r="O2097" s="540"/>
    </row>
    <row r="2098" spans="1:15">
      <c r="A2098" s="565">
        <v>2792</v>
      </c>
      <c r="B2098" s="696" t="s">
        <v>7502</v>
      </c>
      <c r="C2098" s="566">
        <f t="shared" si="32"/>
        <v>2792</v>
      </c>
      <c r="D2098" s="700" t="s">
        <v>2247</v>
      </c>
      <c r="E2098" s="701" t="s">
        <v>9971</v>
      </c>
      <c r="F2098" s="566">
        <v>1</v>
      </c>
      <c r="G2098" s="662">
        <v>17061.679618380633</v>
      </c>
      <c r="H2098" s="662">
        <v>0</v>
      </c>
      <c r="I2098" s="662">
        <v>0</v>
      </c>
      <c r="J2098" s="662">
        <v>0</v>
      </c>
      <c r="K2098" s="566" t="s">
        <v>5365</v>
      </c>
      <c r="L2098"/>
      <c r="M2098" s="540"/>
      <c r="O2098" s="540"/>
    </row>
    <row r="2099" spans="1:15">
      <c r="A2099" s="565">
        <v>2793</v>
      </c>
      <c r="B2099" s="696" t="s">
        <v>7503</v>
      </c>
      <c r="C2099" s="566">
        <f t="shared" si="32"/>
        <v>2793</v>
      </c>
      <c r="D2099" s="700" t="s">
        <v>2247</v>
      </c>
      <c r="E2099" s="701" t="s">
        <v>9972</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7504</v>
      </c>
      <c r="C2100" s="566">
        <f t="shared" si="32"/>
        <v>2794</v>
      </c>
      <c r="D2100" s="700" t="s">
        <v>2247</v>
      </c>
      <c r="E2100" s="701" t="s">
        <v>9973</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7505</v>
      </c>
      <c r="C2101" s="566">
        <f t="shared" si="32"/>
        <v>2795</v>
      </c>
      <c r="D2101" s="700" t="s">
        <v>2247</v>
      </c>
      <c r="E2101" s="701" t="s">
        <v>9974</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7506</v>
      </c>
      <c r="C2102" s="566">
        <f t="shared" si="32"/>
        <v>2796</v>
      </c>
      <c r="D2102" s="700" t="s">
        <v>2247</v>
      </c>
      <c r="E2102" s="701" t="s">
        <v>9975</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7507</v>
      </c>
      <c r="C2103" s="566">
        <f t="shared" si="32"/>
        <v>2797</v>
      </c>
      <c r="D2103" s="700" t="s">
        <v>2247</v>
      </c>
      <c r="E2103" s="701" t="s">
        <v>9976</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7508</v>
      </c>
      <c r="C2104" s="566">
        <f t="shared" si="32"/>
        <v>2798</v>
      </c>
      <c r="D2104" s="700" t="s">
        <v>2247</v>
      </c>
      <c r="E2104" s="701" t="s">
        <v>9977</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7509</v>
      </c>
      <c r="C2105" s="566">
        <f t="shared" si="32"/>
        <v>2799</v>
      </c>
      <c r="D2105" s="700" t="s">
        <v>2247</v>
      </c>
      <c r="E2105" s="701" t="s">
        <v>9978</v>
      </c>
      <c r="F2105" s="566">
        <v>1</v>
      </c>
      <c r="G2105" s="662">
        <v>0</v>
      </c>
      <c r="H2105" s="662">
        <v>0</v>
      </c>
      <c r="I2105" s="662">
        <v>0</v>
      </c>
      <c r="J2105" s="662">
        <v>27915.485348127888</v>
      </c>
      <c r="K2105" s="566" t="s">
        <v>4959</v>
      </c>
      <c r="L2105"/>
      <c r="M2105" s="540"/>
      <c r="O2105" s="540"/>
    </row>
    <row r="2106" spans="1:15">
      <c r="A2106" s="565">
        <v>2800</v>
      </c>
      <c r="B2106" s="696" t="s">
        <v>7510</v>
      </c>
      <c r="C2106" s="566">
        <f t="shared" si="32"/>
        <v>2800</v>
      </c>
      <c r="D2106" s="700" t="s">
        <v>2247</v>
      </c>
      <c r="E2106" s="701" t="s">
        <v>9979</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7511</v>
      </c>
      <c r="C2107" s="566">
        <f t="shared" si="32"/>
        <v>2801</v>
      </c>
      <c r="D2107" s="699" t="s">
        <v>2247</v>
      </c>
      <c r="E2107" s="701" t="s">
        <v>9980</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7512</v>
      </c>
      <c r="C2108" s="566">
        <f t="shared" si="32"/>
        <v>2802</v>
      </c>
      <c r="D2108" s="700" t="s">
        <v>2247</v>
      </c>
      <c r="E2108" s="701" t="s">
        <v>9981</v>
      </c>
      <c r="F2108" s="566">
        <v>1</v>
      </c>
      <c r="G2108" s="662">
        <v>0</v>
      </c>
      <c r="H2108" s="662">
        <v>0</v>
      </c>
      <c r="I2108" s="662">
        <v>0</v>
      </c>
      <c r="J2108" s="662">
        <v>31172.419428359452</v>
      </c>
      <c r="K2108" s="566" t="s">
        <v>4960</v>
      </c>
      <c r="L2108"/>
      <c r="M2108" s="540"/>
      <c r="O2108" s="540"/>
    </row>
    <row r="2109" spans="1:15">
      <c r="A2109" s="565">
        <v>2803</v>
      </c>
      <c r="B2109" s="696" t="s">
        <v>7513</v>
      </c>
      <c r="C2109" s="566">
        <f t="shared" si="32"/>
        <v>2803</v>
      </c>
      <c r="D2109" s="700" t="s">
        <v>2247</v>
      </c>
      <c r="E2109" s="701" t="s">
        <v>9982</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7514</v>
      </c>
      <c r="C2110" s="566">
        <f t="shared" si="32"/>
        <v>2804</v>
      </c>
      <c r="D2110" s="700" t="s">
        <v>2247</v>
      </c>
      <c r="E2110" s="701" t="s">
        <v>9983</v>
      </c>
      <c r="F2110" s="566">
        <v>2</v>
      </c>
      <c r="G2110" s="662">
        <v>0</v>
      </c>
      <c r="H2110" s="662">
        <v>0</v>
      </c>
      <c r="I2110" s="662">
        <v>18804.593060627845</v>
      </c>
      <c r="J2110" s="662">
        <v>19454.278352198613</v>
      </c>
      <c r="K2110" s="566" t="s">
        <v>4210</v>
      </c>
      <c r="L2110"/>
      <c r="M2110" s="540"/>
      <c r="O2110" s="540"/>
    </row>
    <row r="2111" spans="1:15">
      <c r="A2111" s="565">
        <v>2805</v>
      </c>
      <c r="B2111" s="696" t="s">
        <v>7515</v>
      </c>
      <c r="C2111" s="566">
        <f t="shared" si="32"/>
        <v>2805</v>
      </c>
      <c r="D2111" s="700" t="s">
        <v>2247</v>
      </c>
      <c r="E2111" s="701" t="s">
        <v>9984</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7516</v>
      </c>
      <c r="C2112" s="566">
        <f t="shared" si="32"/>
        <v>2806</v>
      </c>
      <c r="D2112" s="700" t="s">
        <v>2247</v>
      </c>
      <c r="E2112" s="701" t="s">
        <v>9985</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7517</v>
      </c>
      <c r="C2113" s="566">
        <f t="shared" si="32"/>
        <v>2807</v>
      </c>
      <c r="D2113" s="700" t="s">
        <v>2247</v>
      </c>
      <c r="E2113" s="701" t="s">
        <v>9986</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7518</v>
      </c>
      <c r="C2114" s="566">
        <f t="shared" si="32"/>
        <v>2808</v>
      </c>
      <c r="D2114" s="699" t="s">
        <v>2247</v>
      </c>
      <c r="E2114" s="701" t="s">
        <v>9987</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7519</v>
      </c>
      <c r="C2115" s="566">
        <f t="shared" si="32"/>
        <v>2809</v>
      </c>
      <c r="D2115" s="699" t="s">
        <v>2247</v>
      </c>
      <c r="E2115" s="701" t="s">
        <v>9988</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7520</v>
      </c>
      <c r="C2116" s="566">
        <f t="shared" si="32"/>
        <v>2810</v>
      </c>
      <c r="D2116" s="699" t="s">
        <v>2247</v>
      </c>
      <c r="E2116" s="701" t="s">
        <v>9989</v>
      </c>
      <c r="F2116" s="567">
        <v>1</v>
      </c>
      <c r="G2116" s="662">
        <v>0</v>
      </c>
      <c r="H2116" s="662">
        <v>0</v>
      </c>
      <c r="I2116" s="662">
        <v>17223.331984142122</v>
      </c>
      <c r="J2116" s="662">
        <v>17701.48345093941</v>
      </c>
      <c r="K2116" s="568" t="s">
        <v>4961</v>
      </c>
      <c r="L2116"/>
      <c r="M2116" s="540"/>
      <c r="O2116" s="540"/>
    </row>
    <row r="2117" spans="1:15">
      <c r="A2117" s="565">
        <v>2811</v>
      </c>
      <c r="B2117" s="696" t="s">
        <v>7521</v>
      </c>
      <c r="C2117" s="566">
        <f t="shared" si="32"/>
        <v>2811</v>
      </c>
      <c r="D2117" s="700" t="s">
        <v>2247</v>
      </c>
      <c r="E2117" s="701" t="s">
        <v>9990</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7522</v>
      </c>
      <c r="C2118" s="566">
        <f t="shared" si="32"/>
        <v>2812</v>
      </c>
      <c r="D2118" s="700" t="s">
        <v>2247</v>
      </c>
      <c r="E2118" s="701" t="s">
        <v>9991</v>
      </c>
      <c r="F2118" s="566">
        <v>1</v>
      </c>
      <c r="G2118" s="662">
        <v>16009.277212324227</v>
      </c>
      <c r="H2118" s="662">
        <v>16458.062328849697</v>
      </c>
      <c r="I2118" s="662">
        <v>0</v>
      </c>
      <c r="J2118" s="662">
        <v>0</v>
      </c>
      <c r="K2118" s="566" t="s">
        <v>1462</v>
      </c>
      <c r="L2118"/>
      <c r="M2118" s="540"/>
      <c r="O2118" s="540"/>
    </row>
    <row r="2119" spans="1:15">
      <c r="A2119" s="565">
        <v>2813</v>
      </c>
      <c r="B2119" s="697" t="s">
        <v>7523</v>
      </c>
      <c r="C2119" s="566">
        <f t="shared" si="32"/>
        <v>2813</v>
      </c>
      <c r="D2119" s="699" t="s">
        <v>2247</v>
      </c>
      <c r="E2119" s="701" t="s">
        <v>9992</v>
      </c>
      <c r="F2119" s="567">
        <v>1</v>
      </c>
      <c r="G2119" s="662">
        <v>15922.161812443024</v>
      </c>
      <c r="H2119" s="662">
        <v>16370.652665086182</v>
      </c>
      <c r="I2119" s="662">
        <v>0</v>
      </c>
      <c r="J2119" s="662">
        <v>0</v>
      </c>
      <c r="K2119" s="568" t="s">
        <v>1463</v>
      </c>
      <c r="L2119"/>
      <c r="M2119" s="540"/>
      <c r="O2119" s="540"/>
    </row>
    <row r="2120" spans="1:15">
      <c r="A2120" s="565">
        <v>2814</v>
      </c>
      <c r="B2120" s="696" t="s">
        <v>7524</v>
      </c>
      <c r="C2120" s="566">
        <f t="shared" si="32"/>
        <v>2814</v>
      </c>
      <c r="D2120" s="700" t="s">
        <v>2247</v>
      </c>
      <c r="E2120" s="701" t="s">
        <v>9993</v>
      </c>
      <c r="F2120" s="566">
        <v>1</v>
      </c>
      <c r="G2120" s="662">
        <v>18489.713255135015</v>
      </c>
      <c r="H2120" s="662">
        <v>19022.657842004115</v>
      </c>
      <c r="I2120" s="662">
        <v>0</v>
      </c>
      <c r="J2120" s="662">
        <v>0</v>
      </c>
      <c r="K2120" s="566" t="s">
        <v>1464</v>
      </c>
      <c r="L2120"/>
      <c r="M2120" s="540"/>
      <c r="O2120" s="540"/>
    </row>
    <row r="2121" spans="1:15">
      <c r="A2121" s="565">
        <v>2815</v>
      </c>
      <c r="B2121" s="696" t="s">
        <v>7525</v>
      </c>
      <c r="C2121" s="566">
        <f t="shared" ref="C2121:C2184" si="33">A2121</f>
        <v>2815</v>
      </c>
      <c r="D2121" s="700" t="s">
        <v>2247</v>
      </c>
      <c r="E2121" s="701" t="s">
        <v>9994</v>
      </c>
      <c r="F2121" s="566">
        <v>1</v>
      </c>
      <c r="G2121" s="662">
        <v>0</v>
      </c>
      <c r="H2121" s="662">
        <v>0</v>
      </c>
      <c r="I2121" s="662">
        <v>19277.189838753009</v>
      </c>
      <c r="J2121" s="662">
        <v>19813.665592209945</v>
      </c>
      <c r="K2121" s="566" t="s">
        <v>4211</v>
      </c>
      <c r="L2121"/>
      <c r="M2121" s="540"/>
      <c r="O2121" s="540"/>
    </row>
    <row r="2122" spans="1:15">
      <c r="A2122" s="565">
        <v>2816</v>
      </c>
      <c r="B2122" s="696" t="s">
        <v>7526</v>
      </c>
      <c r="C2122" s="566">
        <f t="shared" si="33"/>
        <v>2816</v>
      </c>
      <c r="D2122" s="700" t="s">
        <v>2247</v>
      </c>
      <c r="E2122" s="701" t="s">
        <v>9995</v>
      </c>
      <c r="F2122" s="566">
        <v>1</v>
      </c>
      <c r="G2122" s="662">
        <v>0</v>
      </c>
      <c r="H2122" s="662">
        <v>0</v>
      </c>
      <c r="I2122" s="662">
        <v>23421.768169476523</v>
      </c>
      <c r="J2122" s="662">
        <v>24089.12595859218</v>
      </c>
      <c r="K2122" s="566" t="s">
        <v>4212</v>
      </c>
      <c r="L2122"/>
      <c r="M2122" s="540"/>
      <c r="O2122" s="540"/>
    </row>
    <row r="2123" spans="1:15">
      <c r="A2123" s="565">
        <v>2817</v>
      </c>
      <c r="B2123" s="696" t="s">
        <v>7527</v>
      </c>
      <c r="C2123" s="566">
        <f t="shared" si="33"/>
        <v>2817</v>
      </c>
      <c r="D2123" s="700" t="s">
        <v>2247</v>
      </c>
      <c r="E2123" s="701" t="s">
        <v>9996</v>
      </c>
      <c r="F2123" s="566">
        <v>1</v>
      </c>
      <c r="G2123" s="662">
        <v>0</v>
      </c>
      <c r="H2123" s="662">
        <v>0</v>
      </c>
      <c r="I2123" s="662">
        <v>24996.217452508779</v>
      </c>
      <c r="J2123" s="662">
        <v>25713.305837736574</v>
      </c>
      <c r="K2123" s="566" t="s">
        <v>4213</v>
      </c>
      <c r="L2123"/>
      <c r="M2123" s="540"/>
      <c r="O2123" s="540"/>
    </row>
    <row r="2124" spans="1:15">
      <c r="A2124" s="565">
        <v>2818</v>
      </c>
      <c r="B2124" s="696" t="s">
        <v>7528</v>
      </c>
      <c r="C2124" s="566">
        <f t="shared" si="33"/>
        <v>2818</v>
      </c>
      <c r="D2124" s="700" t="s">
        <v>2247</v>
      </c>
      <c r="E2124" s="701" t="s">
        <v>9997</v>
      </c>
      <c r="F2124" s="566">
        <v>1</v>
      </c>
      <c r="G2124" s="662">
        <v>19986.004135830084</v>
      </c>
      <c r="H2124" s="662">
        <v>20568.156183020528</v>
      </c>
      <c r="I2124" s="662">
        <v>0</v>
      </c>
      <c r="J2124" s="662">
        <v>0</v>
      </c>
      <c r="K2124" s="566" t="s">
        <v>1465</v>
      </c>
      <c r="L2124"/>
      <c r="M2124" s="540"/>
      <c r="O2124" s="540"/>
    </row>
    <row r="2125" spans="1:15">
      <c r="A2125" s="565">
        <v>2819</v>
      </c>
      <c r="B2125" s="696" t="s">
        <v>7529</v>
      </c>
      <c r="C2125" s="566">
        <f t="shared" si="33"/>
        <v>2819</v>
      </c>
      <c r="D2125" s="700" t="s">
        <v>2247</v>
      </c>
      <c r="E2125" s="701" t="s">
        <v>9998</v>
      </c>
      <c r="F2125" s="566">
        <v>1</v>
      </c>
      <c r="G2125" s="662">
        <v>0</v>
      </c>
      <c r="H2125" s="662">
        <v>0</v>
      </c>
      <c r="I2125" s="662">
        <v>21028.212873153359</v>
      </c>
      <c r="J2125" s="662">
        <v>21619.977540499603</v>
      </c>
      <c r="K2125" s="566" t="s">
        <v>4214</v>
      </c>
      <c r="L2125"/>
      <c r="M2125" s="540"/>
      <c r="O2125" s="540"/>
    </row>
    <row r="2126" spans="1:15">
      <c r="A2126" s="565">
        <v>2820</v>
      </c>
      <c r="B2126" s="696" t="s">
        <v>7530</v>
      </c>
      <c r="C2126" s="566">
        <f t="shared" si="33"/>
        <v>2820</v>
      </c>
      <c r="D2126" s="700" t="s">
        <v>2247</v>
      </c>
      <c r="E2126" s="701" t="s">
        <v>9999</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7531</v>
      </c>
      <c r="C2127" s="566">
        <f t="shared" si="33"/>
        <v>2821</v>
      </c>
      <c r="D2127" s="700" t="s">
        <v>2247</v>
      </c>
      <c r="E2127" s="701" t="s">
        <v>10000</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7532</v>
      </c>
      <c r="C2128" s="566">
        <f t="shared" si="33"/>
        <v>2822</v>
      </c>
      <c r="D2128" s="700" t="s">
        <v>2247</v>
      </c>
      <c r="E2128" s="701" t="s">
        <v>10001</v>
      </c>
      <c r="F2128" s="566">
        <v>1</v>
      </c>
      <c r="G2128" s="662">
        <v>28095.044004993393</v>
      </c>
      <c r="H2128" s="662">
        <v>0</v>
      </c>
      <c r="I2128" s="662">
        <v>0</v>
      </c>
      <c r="J2128" s="662">
        <v>0</v>
      </c>
      <c r="K2128" s="566" t="s">
        <v>5366</v>
      </c>
      <c r="L2128"/>
      <c r="M2128" s="540"/>
      <c r="O2128" s="540"/>
    </row>
    <row r="2129" spans="1:15">
      <c r="A2129" s="565">
        <v>2823</v>
      </c>
      <c r="B2129" s="696" t="s">
        <v>7533</v>
      </c>
      <c r="C2129" s="566">
        <f t="shared" si="33"/>
        <v>2823</v>
      </c>
      <c r="D2129" s="700" t="s">
        <v>2247</v>
      </c>
      <c r="E2129" s="701" t="s">
        <v>10002</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7534</v>
      </c>
      <c r="C2130" s="566">
        <f t="shared" si="33"/>
        <v>2824</v>
      </c>
      <c r="D2130" s="699" t="s">
        <v>2247</v>
      </c>
      <c r="E2130" s="701" t="s">
        <v>10003</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7535</v>
      </c>
      <c r="C2131" s="566">
        <f t="shared" si="33"/>
        <v>2825</v>
      </c>
      <c r="D2131" s="700" t="s">
        <v>2247</v>
      </c>
      <c r="E2131" s="701" t="s">
        <v>10004</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7536</v>
      </c>
      <c r="C2132" s="566">
        <f t="shared" si="33"/>
        <v>2826</v>
      </c>
      <c r="D2132" s="699" t="s">
        <v>2247</v>
      </c>
      <c r="E2132" s="701" t="s">
        <v>10005</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7537</v>
      </c>
      <c r="C2133" s="566">
        <f t="shared" si="33"/>
        <v>2827</v>
      </c>
      <c r="D2133" s="699" t="s">
        <v>2247</v>
      </c>
      <c r="E2133" s="701" t="s">
        <v>10006</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7538</v>
      </c>
      <c r="C2134" s="566">
        <f t="shared" si="33"/>
        <v>2828</v>
      </c>
      <c r="D2134" s="700" t="s">
        <v>2247</v>
      </c>
      <c r="E2134" s="701" t="s">
        <v>10007</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7539</v>
      </c>
      <c r="C2135" s="566">
        <f t="shared" si="33"/>
        <v>2829</v>
      </c>
      <c r="D2135" s="700" t="s">
        <v>2247</v>
      </c>
      <c r="E2135" s="701" t="s">
        <v>10008</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7540</v>
      </c>
      <c r="C2136" s="566">
        <f t="shared" si="33"/>
        <v>2830</v>
      </c>
      <c r="D2136" s="700" t="s">
        <v>2247</v>
      </c>
      <c r="E2136" s="701" t="s">
        <v>10009</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7541</v>
      </c>
      <c r="C2137" s="566">
        <f t="shared" si="33"/>
        <v>2831</v>
      </c>
      <c r="D2137" s="700" t="s">
        <v>2247</v>
      </c>
      <c r="E2137" s="701" t="s">
        <v>10010</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7542</v>
      </c>
      <c r="C2138" s="566">
        <f t="shared" si="33"/>
        <v>2832</v>
      </c>
      <c r="D2138" s="700" t="s">
        <v>2247</v>
      </c>
      <c r="E2138" s="701" t="s">
        <v>10011</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7543</v>
      </c>
      <c r="C2139" s="566">
        <f t="shared" si="33"/>
        <v>2833</v>
      </c>
      <c r="D2139" s="700" t="s">
        <v>2247</v>
      </c>
      <c r="E2139" s="701" t="s">
        <v>10012</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7544</v>
      </c>
      <c r="C2140" s="566">
        <f t="shared" si="33"/>
        <v>2834</v>
      </c>
      <c r="D2140" s="700" t="s">
        <v>2247</v>
      </c>
      <c r="E2140" s="701" t="s">
        <v>10013</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7545</v>
      </c>
      <c r="C2141" s="566">
        <f t="shared" si="33"/>
        <v>2835</v>
      </c>
      <c r="D2141" s="700" t="s">
        <v>2247</v>
      </c>
      <c r="E2141" s="701" t="s">
        <v>10014</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7546</v>
      </c>
      <c r="C2142" s="566">
        <f t="shared" si="33"/>
        <v>2836</v>
      </c>
      <c r="D2142" s="700" t="s">
        <v>2247</v>
      </c>
      <c r="E2142" s="701" t="s">
        <v>10015</v>
      </c>
      <c r="F2142" s="566">
        <v>1</v>
      </c>
      <c r="G2142" s="662">
        <v>0</v>
      </c>
      <c r="H2142" s="662">
        <v>0</v>
      </c>
      <c r="I2142" s="662">
        <v>0</v>
      </c>
      <c r="J2142" s="662">
        <v>10486.381134023792</v>
      </c>
      <c r="K2142" s="566" t="s">
        <v>4962</v>
      </c>
      <c r="L2142"/>
      <c r="M2142" s="540"/>
      <c r="O2142" s="540"/>
    </row>
    <row r="2143" spans="1:15">
      <c r="A2143" s="565">
        <v>2837</v>
      </c>
      <c r="B2143" s="696" t="s">
        <v>7547</v>
      </c>
      <c r="C2143" s="566">
        <f t="shared" si="33"/>
        <v>2837</v>
      </c>
      <c r="D2143" s="700" t="s">
        <v>2247</v>
      </c>
      <c r="E2143" s="701" t="s">
        <v>10016</v>
      </c>
      <c r="F2143" s="566">
        <v>1</v>
      </c>
      <c r="G2143" s="662">
        <v>0</v>
      </c>
      <c r="H2143" s="662">
        <v>0</v>
      </c>
      <c r="I2143" s="662">
        <v>0</v>
      </c>
      <c r="J2143" s="662">
        <v>9611.4440117178128</v>
      </c>
      <c r="K2143" s="566" t="s">
        <v>4963</v>
      </c>
      <c r="L2143"/>
      <c r="M2143" s="540"/>
      <c r="O2143" s="540"/>
    </row>
    <row r="2144" spans="1:15">
      <c r="A2144" s="565">
        <v>2838</v>
      </c>
      <c r="B2144" s="696" t="s">
        <v>7548</v>
      </c>
      <c r="C2144" s="566">
        <f t="shared" si="33"/>
        <v>2838</v>
      </c>
      <c r="D2144" s="700" t="s">
        <v>2247</v>
      </c>
      <c r="E2144" s="701" t="s">
        <v>10017</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7549</v>
      </c>
      <c r="C2145" s="566">
        <f t="shared" si="33"/>
        <v>2839</v>
      </c>
      <c r="D2145" s="700" t="s">
        <v>2247</v>
      </c>
      <c r="E2145" s="701" t="s">
        <v>10018</v>
      </c>
      <c r="F2145" s="566">
        <v>1</v>
      </c>
      <c r="G2145" s="662">
        <v>0</v>
      </c>
      <c r="H2145" s="662">
        <v>0</v>
      </c>
      <c r="I2145" s="662">
        <v>0</v>
      </c>
      <c r="J2145" s="662">
        <v>10328.032924264848</v>
      </c>
      <c r="K2145" s="566" t="s">
        <v>4964</v>
      </c>
      <c r="L2145"/>
      <c r="M2145" s="540"/>
      <c r="O2145" s="540"/>
    </row>
    <row r="2146" spans="1:15">
      <c r="A2146" s="565">
        <v>2840</v>
      </c>
      <c r="B2146" s="696" t="s">
        <v>7550</v>
      </c>
      <c r="C2146" s="566">
        <f t="shared" si="33"/>
        <v>2840</v>
      </c>
      <c r="D2146" s="700" t="s">
        <v>2247</v>
      </c>
      <c r="E2146" s="701" t="s">
        <v>10019</v>
      </c>
      <c r="F2146" s="566">
        <v>1</v>
      </c>
      <c r="G2146" s="662">
        <v>10222.225570389139</v>
      </c>
      <c r="H2146" s="662">
        <v>0</v>
      </c>
      <c r="I2146" s="662">
        <v>0</v>
      </c>
      <c r="J2146" s="662">
        <v>0</v>
      </c>
      <c r="K2146" s="566" t="s">
        <v>5367</v>
      </c>
      <c r="L2146"/>
      <c r="M2146" s="540"/>
      <c r="O2146" s="540"/>
    </row>
    <row r="2147" spans="1:15">
      <c r="A2147" s="565">
        <v>2841</v>
      </c>
      <c r="B2147" s="696" t="s">
        <v>7551</v>
      </c>
      <c r="C2147" s="566">
        <f t="shared" si="33"/>
        <v>2841</v>
      </c>
      <c r="D2147" s="700" t="s">
        <v>2247</v>
      </c>
      <c r="E2147" s="701" t="s">
        <v>10020</v>
      </c>
      <c r="F2147" s="566">
        <v>1</v>
      </c>
      <c r="G2147" s="662">
        <v>0</v>
      </c>
      <c r="H2147" s="662">
        <v>0</v>
      </c>
      <c r="I2147" s="662">
        <v>0</v>
      </c>
      <c r="J2147" s="662">
        <v>11597.463594002746</v>
      </c>
      <c r="K2147" s="566" t="s">
        <v>4965</v>
      </c>
      <c r="L2147"/>
      <c r="M2147" s="540"/>
      <c r="O2147" s="540"/>
    </row>
    <row r="2148" spans="1:15">
      <c r="A2148" s="565">
        <v>2842</v>
      </c>
      <c r="B2148" s="696" t="s">
        <v>7552</v>
      </c>
      <c r="C2148" s="566">
        <f t="shared" si="33"/>
        <v>2842</v>
      </c>
      <c r="D2148" s="700" t="s">
        <v>2247</v>
      </c>
      <c r="E2148" s="701" t="s">
        <v>10021</v>
      </c>
      <c r="F2148" s="566">
        <v>1</v>
      </c>
      <c r="G2148" s="662">
        <v>9725.9557471002609</v>
      </c>
      <c r="H2148" s="662">
        <v>0</v>
      </c>
      <c r="I2148" s="662">
        <v>0</v>
      </c>
      <c r="J2148" s="662">
        <v>0</v>
      </c>
      <c r="K2148" s="566" t="s">
        <v>5368</v>
      </c>
      <c r="L2148"/>
      <c r="M2148" s="540"/>
      <c r="O2148" s="540"/>
    </row>
    <row r="2149" spans="1:15">
      <c r="A2149" s="565">
        <v>2843</v>
      </c>
      <c r="B2149" s="696" t="s">
        <v>7553</v>
      </c>
      <c r="C2149" s="566">
        <f t="shared" si="33"/>
        <v>2843</v>
      </c>
      <c r="D2149" s="700" t="s">
        <v>2247</v>
      </c>
      <c r="E2149" s="701" t="s">
        <v>10022</v>
      </c>
      <c r="F2149" s="566">
        <v>1</v>
      </c>
      <c r="G2149" s="662">
        <v>0</v>
      </c>
      <c r="H2149" s="662">
        <v>0</v>
      </c>
      <c r="I2149" s="662">
        <v>0</v>
      </c>
      <c r="J2149" s="662">
        <v>11094.440087357272</v>
      </c>
      <c r="K2149" s="566" t="s">
        <v>4966</v>
      </c>
      <c r="L2149"/>
      <c r="M2149" s="540"/>
      <c r="O2149" s="540"/>
    </row>
    <row r="2150" spans="1:15">
      <c r="A2150" s="565">
        <v>2844</v>
      </c>
      <c r="B2150" s="696" t="s">
        <v>7554</v>
      </c>
      <c r="C2150" s="566">
        <f t="shared" si="33"/>
        <v>2844</v>
      </c>
      <c r="D2150" s="700" t="s">
        <v>2247</v>
      </c>
      <c r="E2150" s="701" t="s">
        <v>10023</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7555</v>
      </c>
      <c r="C2151" s="566">
        <f t="shared" si="33"/>
        <v>2845</v>
      </c>
      <c r="D2151" s="700" t="s">
        <v>2247</v>
      </c>
      <c r="E2151" s="701" t="s">
        <v>10024</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7556</v>
      </c>
      <c r="C2152" s="566">
        <f t="shared" si="33"/>
        <v>2846</v>
      </c>
      <c r="D2152" s="700" t="s">
        <v>2248</v>
      </c>
      <c r="E2152" s="701" t="s">
        <v>10025</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7557</v>
      </c>
      <c r="C2153" s="566">
        <f t="shared" si="33"/>
        <v>2847</v>
      </c>
      <c r="D2153" s="700" t="s">
        <v>2248</v>
      </c>
      <c r="E2153" s="701" t="s">
        <v>10026</v>
      </c>
      <c r="F2153" s="566">
        <v>2</v>
      </c>
      <c r="G2153" s="662">
        <v>0</v>
      </c>
      <c r="H2153" s="662">
        <v>0</v>
      </c>
      <c r="I2153" s="662">
        <v>29496.963956518674</v>
      </c>
      <c r="J2153" s="662">
        <v>30517.772511126226</v>
      </c>
      <c r="K2153" s="566" t="s">
        <v>4967</v>
      </c>
      <c r="L2153"/>
      <c r="M2153" s="540"/>
      <c r="O2153" s="540"/>
    </row>
    <row r="2154" spans="1:15">
      <c r="A2154" s="565">
        <v>2848</v>
      </c>
      <c r="B2154" s="696" t="s">
        <v>7558</v>
      </c>
      <c r="C2154" s="566">
        <f t="shared" si="33"/>
        <v>2848</v>
      </c>
      <c r="D2154" s="700" t="s">
        <v>2248</v>
      </c>
      <c r="E2154" s="701" t="s">
        <v>10027</v>
      </c>
      <c r="F2154" s="566">
        <v>2</v>
      </c>
      <c r="G2154" s="662">
        <v>0</v>
      </c>
      <c r="H2154" s="662">
        <v>27657.058926885824</v>
      </c>
      <c r="I2154" s="662">
        <v>28592.781002845411</v>
      </c>
      <c r="J2154" s="662">
        <v>29577.778749941193</v>
      </c>
      <c r="K2154" s="566" t="s">
        <v>4968</v>
      </c>
      <c r="L2154"/>
      <c r="M2154" s="540"/>
      <c r="O2154" s="540"/>
    </row>
    <row r="2155" spans="1:15">
      <c r="A2155" s="565">
        <v>2849</v>
      </c>
      <c r="B2155" s="696" t="s">
        <v>7559</v>
      </c>
      <c r="C2155" s="566">
        <f t="shared" si="33"/>
        <v>2849</v>
      </c>
      <c r="D2155" s="700" t="s">
        <v>2248</v>
      </c>
      <c r="E2155" s="701" t="s">
        <v>10028</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7560</v>
      </c>
      <c r="C2156" s="566">
        <f t="shared" si="33"/>
        <v>2850</v>
      </c>
      <c r="D2156" s="700" t="s">
        <v>2248</v>
      </c>
      <c r="E2156" s="701" t="s">
        <v>10029</v>
      </c>
      <c r="F2156" s="566">
        <v>2</v>
      </c>
      <c r="G2156" s="662">
        <v>0</v>
      </c>
      <c r="H2156" s="662">
        <v>30970.884822886026</v>
      </c>
      <c r="I2156" s="662">
        <v>32036.270670684236</v>
      </c>
      <c r="J2156" s="662">
        <v>33157.750567368879</v>
      </c>
      <c r="K2156" s="566" t="s">
        <v>4969</v>
      </c>
      <c r="L2156"/>
      <c r="M2156" s="540"/>
      <c r="O2156" s="540"/>
    </row>
    <row r="2157" spans="1:15">
      <c r="A2157" s="565">
        <v>2851</v>
      </c>
      <c r="B2157" s="696" t="s">
        <v>7561</v>
      </c>
      <c r="C2157" s="566">
        <f t="shared" si="33"/>
        <v>2851</v>
      </c>
      <c r="D2157" s="700" t="s">
        <v>2248</v>
      </c>
      <c r="E2157" s="701" t="s">
        <v>10030</v>
      </c>
      <c r="F2157" s="566">
        <v>2</v>
      </c>
      <c r="G2157" s="662">
        <v>0</v>
      </c>
      <c r="H2157" s="662">
        <v>30100.959095386603</v>
      </c>
      <c r="I2157" s="662">
        <v>31132.310351725617</v>
      </c>
      <c r="J2157" s="662">
        <v>32217.922143606476</v>
      </c>
      <c r="K2157" s="566" t="s">
        <v>4970</v>
      </c>
      <c r="L2157"/>
      <c r="M2157" s="540"/>
      <c r="O2157" s="540"/>
    </row>
    <row r="2158" spans="1:15">
      <c r="A2158" s="565">
        <v>2852</v>
      </c>
      <c r="B2158" s="696" t="s">
        <v>7562</v>
      </c>
      <c r="C2158" s="566">
        <f t="shared" si="33"/>
        <v>2852</v>
      </c>
      <c r="D2158" s="700" t="s">
        <v>2248</v>
      </c>
      <c r="E2158" s="701" t="s">
        <v>10031</v>
      </c>
      <c r="F2158" s="566">
        <v>2</v>
      </c>
      <c r="G2158" s="662">
        <v>0</v>
      </c>
      <c r="H2158" s="662">
        <v>0</v>
      </c>
      <c r="I2158" s="662">
        <v>22804.98230408844</v>
      </c>
      <c r="J2158" s="662">
        <v>24357.567025922803</v>
      </c>
      <c r="K2158" s="566" t="s">
        <v>4971</v>
      </c>
      <c r="L2158"/>
      <c r="M2158" s="540"/>
      <c r="O2158" s="540"/>
    </row>
    <row r="2159" spans="1:15">
      <c r="A2159" s="565">
        <v>2853</v>
      </c>
      <c r="B2159" s="696" t="s">
        <v>7563</v>
      </c>
      <c r="C2159" s="566">
        <f t="shared" si="33"/>
        <v>2853</v>
      </c>
      <c r="D2159" s="700" t="s">
        <v>2248</v>
      </c>
      <c r="E2159" s="701" t="s">
        <v>10032</v>
      </c>
      <c r="F2159" s="566">
        <v>2</v>
      </c>
      <c r="G2159" s="662">
        <v>0</v>
      </c>
      <c r="H2159" s="662">
        <v>0</v>
      </c>
      <c r="I2159" s="662">
        <v>0</v>
      </c>
      <c r="J2159" s="662">
        <v>28123.68038277977</v>
      </c>
      <c r="K2159" s="566" t="s">
        <v>4972</v>
      </c>
      <c r="L2159"/>
      <c r="M2159" s="540"/>
      <c r="O2159" s="540"/>
    </row>
    <row r="2160" spans="1:15">
      <c r="A2160" s="565">
        <v>2854</v>
      </c>
      <c r="B2160" s="696" t="s">
        <v>7564</v>
      </c>
      <c r="C2160" s="566">
        <f t="shared" si="33"/>
        <v>2854</v>
      </c>
      <c r="D2160" s="700" t="s">
        <v>2248</v>
      </c>
      <c r="E2160" s="701" t="s">
        <v>10033</v>
      </c>
      <c r="F2160" s="566">
        <v>2</v>
      </c>
      <c r="G2160" s="662">
        <v>0</v>
      </c>
      <c r="H2160" s="662">
        <v>0</v>
      </c>
      <c r="I2160" s="662">
        <v>0</v>
      </c>
      <c r="J2160" s="662">
        <v>31275.214767512756</v>
      </c>
      <c r="K2160" s="566" t="s">
        <v>4973</v>
      </c>
      <c r="L2160"/>
      <c r="M2160" s="540"/>
      <c r="O2160" s="540"/>
    </row>
    <row r="2161" spans="1:15">
      <c r="A2161" s="565">
        <v>2855</v>
      </c>
      <c r="B2161" s="696" t="s">
        <v>7565</v>
      </c>
      <c r="C2161" s="566">
        <f t="shared" si="33"/>
        <v>2855</v>
      </c>
      <c r="D2161" s="700" t="s">
        <v>2248</v>
      </c>
      <c r="E2161" s="701" t="s">
        <v>10034</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7566</v>
      </c>
      <c r="C2162" s="566">
        <f t="shared" si="33"/>
        <v>2856</v>
      </c>
      <c r="D2162" s="700" t="s">
        <v>2248</v>
      </c>
      <c r="E2162" s="701" t="s">
        <v>10035</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7567</v>
      </c>
      <c r="C2163" s="566">
        <f t="shared" si="33"/>
        <v>2857</v>
      </c>
      <c r="D2163" s="700" t="s">
        <v>2248</v>
      </c>
      <c r="E2163" s="701" t="s">
        <v>10036</v>
      </c>
      <c r="F2163" s="566">
        <v>2</v>
      </c>
      <c r="G2163" s="662">
        <v>0</v>
      </c>
      <c r="H2163" s="662">
        <v>0</v>
      </c>
      <c r="I2163" s="662">
        <v>42023.291500472296</v>
      </c>
      <c r="J2163" s="662">
        <v>43540.52379313104</v>
      </c>
      <c r="K2163" s="566" t="s">
        <v>4215</v>
      </c>
      <c r="L2163"/>
      <c r="M2163" s="540"/>
      <c r="O2163" s="540"/>
    </row>
    <row r="2164" spans="1:15">
      <c r="A2164" s="565">
        <v>2858</v>
      </c>
      <c r="B2164" s="696" t="s">
        <v>7568</v>
      </c>
      <c r="C2164" s="566">
        <f t="shared" si="33"/>
        <v>2858</v>
      </c>
      <c r="D2164" s="700" t="s">
        <v>2248</v>
      </c>
      <c r="E2164" s="701" t="s">
        <v>10037</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7569</v>
      </c>
      <c r="C2165" s="566">
        <f t="shared" si="33"/>
        <v>2859</v>
      </c>
      <c r="D2165" s="700" t="s">
        <v>2248</v>
      </c>
      <c r="E2165" s="701" t="s">
        <v>10038</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7570</v>
      </c>
      <c r="C2166" s="566">
        <f t="shared" si="33"/>
        <v>2860</v>
      </c>
      <c r="D2166" s="700" t="s">
        <v>2248</v>
      </c>
      <c r="E2166" s="701" t="s">
        <v>10039</v>
      </c>
      <c r="F2166" s="566">
        <v>2</v>
      </c>
      <c r="G2166" s="662">
        <v>0</v>
      </c>
      <c r="H2166" s="662">
        <v>0</v>
      </c>
      <c r="I2166" s="662">
        <v>31721.254195895632</v>
      </c>
      <c r="J2166" s="662">
        <v>0</v>
      </c>
      <c r="K2166" s="566" t="s">
        <v>4216</v>
      </c>
      <c r="L2166"/>
      <c r="M2166" s="540"/>
      <c r="O2166" s="540"/>
    </row>
    <row r="2167" spans="1:15">
      <c r="A2167" s="565">
        <v>2861</v>
      </c>
      <c r="B2167" s="696" t="s">
        <v>7571</v>
      </c>
      <c r="C2167" s="566">
        <f t="shared" si="33"/>
        <v>2861</v>
      </c>
      <c r="D2167" s="700" t="s">
        <v>2248</v>
      </c>
      <c r="E2167" s="701" t="s">
        <v>10040</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7572</v>
      </c>
      <c r="C2168" s="566">
        <f t="shared" si="33"/>
        <v>2862</v>
      </c>
      <c r="D2168" s="700" t="s">
        <v>2248</v>
      </c>
      <c r="E2168" s="701" t="s">
        <v>10041</v>
      </c>
      <c r="F2168" s="566">
        <v>1</v>
      </c>
      <c r="G2168" s="662">
        <v>0</v>
      </c>
      <c r="H2168" s="662">
        <v>0</v>
      </c>
      <c r="I2168" s="662">
        <v>24267.187054787744</v>
      </c>
      <c r="J2168" s="662">
        <v>25012.498774729025</v>
      </c>
      <c r="K2168" s="566" t="s">
        <v>4217</v>
      </c>
      <c r="L2168"/>
      <c r="M2168" s="540"/>
      <c r="O2168" s="540"/>
    </row>
    <row r="2169" spans="1:15">
      <c r="A2169" s="565">
        <v>2863</v>
      </c>
      <c r="B2169" s="696" t="s">
        <v>7573</v>
      </c>
      <c r="C2169" s="566">
        <f t="shared" si="33"/>
        <v>2863</v>
      </c>
      <c r="D2169" s="700" t="s">
        <v>2248</v>
      </c>
      <c r="E2169" s="701" t="s">
        <v>10042</v>
      </c>
      <c r="F2169" s="566">
        <v>1</v>
      </c>
      <c r="G2169" s="662">
        <v>0</v>
      </c>
      <c r="H2169" s="662">
        <v>0</v>
      </c>
      <c r="I2169" s="662">
        <v>23070.265283083492</v>
      </c>
      <c r="J2169" s="662">
        <v>23775.075088837391</v>
      </c>
      <c r="K2169" s="566" t="s">
        <v>4218</v>
      </c>
      <c r="L2169"/>
      <c r="M2169" s="540"/>
      <c r="O2169" s="540"/>
    </row>
    <row r="2170" spans="1:15">
      <c r="A2170" s="565">
        <v>2864</v>
      </c>
      <c r="B2170" s="696" t="s">
        <v>7574</v>
      </c>
      <c r="C2170" s="566">
        <f t="shared" si="33"/>
        <v>2864</v>
      </c>
      <c r="D2170" s="700" t="s">
        <v>2248</v>
      </c>
      <c r="E2170" s="701" t="s">
        <v>10043</v>
      </c>
      <c r="F2170" s="566">
        <v>1</v>
      </c>
      <c r="G2170" s="662">
        <v>0</v>
      </c>
      <c r="H2170" s="662">
        <v>0</v>
      </c>
      <c r="I2170" s="662">
        <v>18597.989102014944</v>
      </c>
      <c r="J2170" s="662">
        <v>19151.416097343412</v>
      </c>
      <c r="K2170" s="566" t="s">
        <v>4219</v>
      </c>
      <c r="L2170"/>
      <c r="M2170" s="540"/>
      <c r="O2170" s="540"/>
    </row>
    <row r="2171" spans="1:15">
      <c r="A2171" s="565">
        <v>2865</v>
      </c>
      <c r="B2171" s="696" t="s">
        <v>7575</v>
      </c>
      <c r="C2171" s="566">
        <f t="shared" si="33"/>
        <v>2865</v>
      </c>
      <c r="D2171" s="700" t="s">
        <v>2248</v>
      </c>
      <c r="E2171" s="701" t="s">
        <v>10044</v>
      </c>
      <c r="F2171" s="566">
        <v>1</v>
      </c>
      <c r="G2171" s="662">
        <v>0</v>
      </c>
      <c r="H2171" s="662">
        <v>16345.659114466343</v>
      </c>
      <c r="I2171" s="662">
        <v>16814.044839816914</v>
      </c>
      <c r="J2171" s="662">
        <v>17307.08020863932</v>
      </c>
      <c r="K2171" s="566" t="s">
        <v>4221</v>
      </c>
      <c r="L2171"/>
      <c r="M2171" s="540"/>
      <c r="O2171" s="540"/>
    </row>
    <row r="2172" spans="1:15">
      <c r="A2172" s="565">
        <v>2866</v>
      </c>
      <c r="B2172" s="696" t="s">
        <v>7576</v>
      </c>
      <c r="C2172" s="566">
        <f t="shared" si="33"/>
        <v>2866</v>
      </c>
      <c r="D2172" s="700" t="s">
        <v>2248</v>
      </c>
      <c r="E2172" s="701" t="s">
        <v>10045</v>
      </c>
      <c r="F2172" s="566">
        <v>1</v>
      </c>
      <c r="G2172" s="662">
        <v>0</v>
      </c>
      <c r="H2172" s="662">
        <v>0</v>
      </c>
      <c r="I2172" s="662">
        <v>17527.431368591628</v>
      </c>
      <c r="J2172" s="662">
        <v>18044.606388262346</v>
      </c>
      <c r="K2172" s="566" t="s">
        <v>4220</v>
      </c>
      <c r="L2172"/>
      <c r="M2172" s="540"/>
      <c r="O2172" s="540"/>
    </row>
    <row r="2173" spans="1:15">
      <c r="A2173" s="565">
        <v>2867</v>
      </c>
      <c r="B2173" s="696" t="s">
        <v>7577</v>
      </c>
      <c r="C2173" s="566">
        <f t="shared" si="33"/>
        <v>2867</v>
      </c>
      <c r="D2173" s="700" t="s">
        <v>2248</v>
      </c>
      <c r="E2173" s="701" t="s">
        <v>10046</v>
      </c>
      <c r="F2173" s="566">
        <v>1</v>
      </c>
      <c r="G2173" s="662">
        <v>0</v>
      </c>
      <c r="H2173" s="662">
        <v>0</v>
      </c>
      <c r="I2173" s="662">
        <v>18971.218672664887</v>
      </c>
      <c r="J2173" s="662">
        <v>19537.267985426359</v>
      </c>
      <c r="K2173" s="566" t="s">
        <v>4224</v>
      </c>
      <c r="L2173"/>
      <c r="M2173" s="540"/>
      <c r="O2173" s="540"/>
    </row>
    <row r="2174" spans="1:15">
      <c r="A2174" s="565">
        <v>2868</v>
      </c>
      <c r="B2174" s="696" t="s">
        <v>7578</v>
      </c>
      <c r="C2174" s="566">
        <f t="shared" si="33"/>
        <v>2868</v>
      </c>
      <c r="D2174" s="700" t="s">
        <v>2248</v>
      </c>
      <c r="E2174" s="701" t="s">
        <v>10047</v>
      </c>
      <c r="F2174" s="566">
        <v>1</v>
      </c>
      <c r="G2174" s="662">
        <v>0</v>
      </c>
      <c r="H2174" s="662">
        <v>0</v>
      </c>
      <c r="I2174" s="662">
        <v>22019.334441439609</v>
      </c>
      <c r="J2174" s="662">
        <v>22688.572261700505</v>
      </c>
      <c r="K2174" s="566" t="s">
        <v>4222</v>
      </c>
      <c r="L2174"/>
      <c r="M2174" s="540"/>
      <c r="O2174" s="540"/>
    </row>
    <row r="2175" spans="1:15">
      <c r="A2175" s="565">
        <v>2869</v>
      </c>
      <c r="B2175" s="696" t="s">
        <v>7579</v>
      </c>
      <c r="C2175" s="566">
        <f t="shared" si="33"/>
        <v>2869</v>
      </c>
      <c r="D2175" s="700" t="s">
        <v>2248</v>
      </c>
      <c r="E2175" s="701" t="s">
        <v>10048</v>
      </c>
      <c r="F2175" s="566">
        <v>1</v>
      </c>
      <c r="G2175" s="662">
        <v>0</v>
      </c>
      <c r="H2175" s="662">
        <v>0</v>
      </c>
      <c r="I2175" s="662">
        <v>20948.776708016292</v>
      </c>
      <c r="J2175" s="662">
        <v>21581.762552619435</v>
      </c>
      <c r="K2175" s="566" t="s">
        <v>4223</v>
      </c>
      <c r="L2175"/>
      <c r="M2175" s="540"/>
      <c r="O2175" s="540"/>
    </row>
    <row r="2176" spans="1:15">
      <c r="A2176" s="565">
        <v>2870</v>
      </c>
      <c r="B2176" s="696" t="s">
        <v>7580</v>
      </c>
      <c r="C2176" s="566">
        <f t="shared" si="33"/>
        <v>2870</v>
      </c>
      <c r="D2176" s="700" t="s">
        <v>2248</v>
      </c>
      <c r="E2176" s="701" t="s">
        <v>10049</v>
      </c>
      <c r="F2176" s="566">
        <v>1</v>
      </c>
      <c r="G2176" s="662">
        <v>0</v>
      </c>
      <c r="H2176" s="662">
        <v>0</v>
      </c>
      <c r="I2176" s="662">
        <v>22740.771402907656</v>
      </c>
      <c r="J2176" s="662">
        <v>23434.403870328621</v>
      </c>
      <c r="K2176" s="566" t="s">
        <v>4226</v>
      </c>
      <c r="L2176"/>
      <c r="M2176" s="540"/>
      <c r="O2176" s="540"/>
    </row>
    <row r="2177" spans="1:15">
      <c r="A2177" s="565">
        <v>2871</v>
      </c>
      <c r="B2177" s="696" t="s">
        <v>7581</v>
      </c>
      <c r="C2177" s="566">
        <f t="shared" si="33"/>
        <v>2871</v>
      </c>
      <c r="D2177" s="700" t="s">
        <v>2248</v>
      </c>
      <c r="E2177" s="701" t="s">
        <v>10050</v>
      </c>
      <c r="F2177" s="566">
        <v>1</v>
      </c>
      <c r="G2177" s="662">
        <v>0</v>
      </c>
      <c r="H2177" s="662">
        <v>0</v>
      </c>
      <c r="I2177" s="662">
        <v>24718.32943825905</v>
      </c>
      <c r="J2177" s="662">
        <v>25478.898437521701</v>
      </c>
      <c r="K2177" s="566" t="s">
        <v>4225</v>
      </c>
      <c r="L2177"/>
      <c r="M2177" s="540"/>
      <c r="O2177" s="540"/>
    </row>
    <row r="2178" spans="1:15">
      <c r="A2178" s="565">
        <v>2872</v>
      </c>
      <c r="B2178" s="696" t="s">
        <v>7582</v>
      </c>
      <c r="C2178" s="566">
        <f t="shared" si="33"/>
        <v>2872</v>
      </c>
      <c r="D2178" s="700" t="s">
        <v>2248</v>
      </c>
      <c r="E2178" s="701" t="s">
        <v>10051</v>
      </c>
      <c r="F2178" s="566">
        <v>1</v>
      </c>
      <c r="G2178" s="662">
        <v>0</v>
      </c>
      <c r="H2178" s="662">
        <v>0</v>
      </c>
      <c r="I2178" s="662">
        <v>25875.126544652579</v>
      </c>
      <c r="J2178" s="662">
        <v>26674.87997715842</v>
      </c>
      <c r="K2178" s="566" t="s">
        <v>4227</v>
      </c>
      <c r="L2178"/>
      <c r="M2178" s="540"/>
      <c r="O2178" s="540"/>
    </row>
    <row r="2179" spans="1:15">
      <c r="A2179" s="565">
        <v>2873</v>
      </c>
      <c r="B2179" s="696" t="s">
        <v>7583</v>
      </c>
      <c r="C2179" s="566">
        <f t="shared" si="33"/>
        <v>2873</v>
      </c>
      <c r="D2179" s="700" t="s">
        <v>2248</v>
      </c>
      <c r="E2179" s="701" t="s">
        <v>10052</v>
      </c>
      <c r="F2179" s="566">
        <v>1</v>
      </c>
      <c r="G2179" s="662">
        <v>0</v>
      </c>
      <c r="H2179" s="662">
        <v>0</v>
      </c>
      <c r="I2179" s="662">
        <v>20582.40806146698</v>
      </c>
      <c r="J2179" s="662">
        <v>21202.984085563603</v>
      </c>
      <c r="K2179" s="566" t="s">
        <v>4228</v>
      </c>
      <c r="L2179"/>
      <c r="M2179" s="540"/>
      <c r="O2179" s="540"/>
    </row>
    <row r="2180" spans="1:15">
      <c r="A2180" s="565">
        <v>2874</v>
      </c>
      <c r="B2180" s="696" t="s">
        <v>7584</v>
      </c>
      <c r="C2180" s="566">
        <f t="shared" si="33"/>
        <v>2874</v>
      </c>
      <c r="D2180" s="700" t="s">
        <v>2248</v>
      </c>
      <c r="E2180" s="701" t="s">
        <v>10053</v>
      </c>
      <c r="F2180" s="566">
        <v>1</v>
      </c>
      <c r="G2180" s="662">
        <v>0</v>
      </c>
      <c r="H2180" s="662">
        <v>0</v>
      </c>
      <c r="I2180" s="662">
        <v>19511.85032804366</v>
      </c>
      <c r="J2180" s="662">
        <v>20096.216875867842</v>
      </c>
      <c r="K2180" s="566" t="s">
        <v>4229</v>
      </c>
      <c r="L2180"/>
      <c r="M2180" s="540"/>
      <c r="O2180" s="540"/>
    </row>
    <row r="2181" spans="1:15">
      <c r="A2181" s="565">
        <v>2875</v>
      </c>
      <c r="B2181" s="696" t="s">
        <v>7585</v>
      </c>
      <c r="C2181" s="566">
        <f t="shared" si="33"/>
        <v>2875</v>
      </c>
      <c r="D2181" s="700" t="s">
        <v>2248</v>
      </c>
      <c r="E2181" s="701" t="s">
        <v>10054</v>
      </c>
      <c r="F2181" s="566">
        <v>1</v>
      </c>
      <c r="G2181" s="662">
        <v>0</v>
      </c>
      <c r="H2181" s="662">
        <v>0</v>
      </c>
      <c r="I2181" s="662">
        <v>21525.433473999528</v>
      </c>
      <c r="J2181" s="662">
        <v>22177.92653645368</v>
      </c>
      <c r="K2181" s="566" t="s">
        <v>4230</v>
      </c>
      <c r="L2181"/>
      <c r="M2181" s="540"/>
      <c r="O2181" s="540"/>
    </row>
    <row r="2182" spans="1:15">
      <c r="A2182" s="565">
        <v>2876</v>
      </c>
      <c r="B2182" s="696" t="s">
        <v>7586</v>
      </c>
      <c r="C2182" s="566">
        <f t="shared" si="33"/>
        <v>2876</v>
      </c>
      <c r="D2182" s="700" t="s">
        <v>2248</v>
      </c>
      <c r="E2182" s="701" t="s">
        <v>10055</v>
      </c>
      <c r="F2182" s="566">
        <v>1</v>
      </c>
      <c r="G2182" s="662">
        <v>0</v>
      </c>
      <c r="H2182" s="662">
        <v>0</v>
      </c>
      <c r="I2182" s="662">
        <v>20454.875740576219</v>
      </c>
      <c r="J2182" s="662">
        <v>21071.159326757912</v>
      </c>
      <c r="K2182" s="566" t="s">
        <v>4231</v>
      </c>
      <c r="L2182"/>
      <c r="M2182" s="540"/>
      <c r="O2182" s="540"/>
    </row>
    <row r="2183" spans="1:15">
      <c r="A2183" s="565">
        <v>2877</v>
      </c>
      <c r="B2183" s="696" t="s">
        <v>7587</v>
      </c>
      <c r="C2183" s="566">
        <f t="shared" si="33"/>
        <v>2877</v>
      </c>
      <c r="D2183" s="700" t="s">
        <v>2248</v>
      </c>
      <c r="E2183" s="701" t="s">
        <v>10056</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7588</v>
      </c>
      <c r="C2184" s="566">
        <f t="shared" si="33"/>
        <v>2878</v>
      </c>
      <c r="D2184" s="700" t="s">
        <v>2248</v>
      </c>
      <c r="E2184" s="701" t="s">
        <v>10057</v>
      </c>
      <c r="F2184" s="566">
        <v>1</v>
      </c>
      <c r="G2184" s="662">
        <v>0</v>
      </c>
      <c r="H2184" s="662">
        <v>19901.074539326793</v>
      </c>
      <c r="I2184" s="662">
        <v>0</v>
      </c>
      <c r="J2184" s="662">
        <v>0</v>
      </c>
      <c r="K2184" s="566" t="s">
        <v>3226</v>
      </c>
      <c r="L2184"/>
      <c r="M2184" s="540"/>
      <c r="O2184" s="540"/>
    </row>
    <row r="2185" spans="1:15">
      <c r="A2185" s="565">
        <v>2879</v>
      </c>
      <c r="B2185" s="696" t="s">
        <v>7589</v>
      </c>
      <c r="C2185" s="566">
        <f t="shared" ref="C2185:C2248" si="34">A2185</f>
        <v>2879</v>
      </c>
      <c r="D2185" s="700" t="s">
        <v>2248</v>
      </c>
      <c r="E2185" s="701" t="s">
        <v>10058</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7590</v>
      </c>
      <c r="C2186" s="566">
        <f t="shared" si="34"/>
        <v>2880</v>
      </c>
      <c r="D2186" s="699" t="s">
        <v>2248</v>
      </c>
      <c r="E2186" s="701" t="s">
        <v>10059</v>
      </c>
      <c r="F2186" s="567">
        <v>1</v>
      </c>
      <c r="G2186" s="662">
        <v>0</v>
      </c>
      <c r="H2186" s="662">
        <v>17983.395511801864</v>
      </c>
      <c r="I2186" s="662">
        <v>0</v>
      </c>
      <c r="J2186" s="662">
        <v>0</v>
      </c>
      <c r="K2186" s="568" t="s">
        <v>3228</v>
      </c>
      <c r="L2186"/>
      <c r="M2186" s="540"/>
      <c r="O2186" s="540"/>
    </row>
    <row r="2187" spans="1:15">
      <c r="A2187" s="565">
        <v>2881</v>
      </c>
      <c r="B2187" s="696" t="s">
        <v>7591</v>
      </c>
      <c r="C2187" s="566">
        <f t="shared" si="34"/>
        <v>2881</v>
      </c>
      <c r="D2187" s="700" t="s">
        <v>2248</v>
      </c>
      <c r="E2187" s="701" t="s">
        <v>10060</v>
      </c>
      <c r="F2187" s="566">
        <v>1</v>
      </c>
      <c r="G2187" s="662">
        <v>0</v>
      </c>
      <c r="H2187" s="662">
        <v>22521.646920379564</v>
      </c>
      <c r="I2187" s="662">
        <v>0</v>
      </c>
      <c r="J2187" s="662">
        <v>0</v>
      </c>
      <c r="K2187" s="566" t="s">
        <v>3229</v>
      </c>
      <c r="L2187"/>
      <c r="M2187" s="540"/>
      <c r="O2187" s="540"/>
    </row>
    <row r="2188" spans="1:15">
      <c r="A2188" s="565">
        <v>2882</v>
      </c>
      <c r="B2188" s="696" t="s">
        <v>7592</v>
      </c>
      <c r="C2188" s="566">
        <f t="shared" si="34"/>
        <v>2882</v>
      </c>
      <c r="D2188" s="700" t="s">
        <v>2248</v>
      </c>
      <c r="E2188" s="701" t="s">
        <v>10061</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7593</v>
      </c>
      <c r="C2189" s="566">
        <f t="shared" si="34"/>
        <v>2883</v>
      </c>
      <c r="D2189" s="699" t="s">
        <v>2248</v>
      </c>
      <c r="E2189" s="701" t="s">
        <v>10062</v>
      </c>
      <c r="F2189" s="567">
        <v>1</v>
      </c>
      <c r="G2189" s="662">
        <v>0</v>
      </c>
      <c r="H2189" s="662">
        <v>24790.485884221442</v>
      </c>
      <c r="I2189" s="662">
        <v>0</v>
      </c>
      <c r="J2189" s="662">
        <v>0</v>
      </c>
      <c r="K2189" s="568" t="s">
        <v>3231</v>
      </c>
      <c r="L2189"/>
      <c r="M2189" s="540"/>
      <c r="O2189" s="540"/>
    </row>
    <row r="2190" spans="1:15">
      <c r="A2190" s="565">
        <v>2884</v>
      </c>
      <c r="B2190" s="696" t="s">
        <v>7594</v>
      </c>
      <c r="C2190" s="566">
        <f t="shared" si="34"/>
        <v>2884</v>
      </c>
      <c r="D2190" s="700" t="s">
        <v>2248</v>
      </c>
      <c r="E2190" s="701" t="s">
        <v>10063</v>
      </c>
      <c r="F2190" s="566">
        <v>1</v>
      </c>
      <c r="G2190" s="662">
        <v>20524.879277059259</v>
      </c>
      <c r="H2190" s="662">
        <v>0</v>
      </c>
      <c r="I2190" s="662">
        <v>0</v>
      </c>
      <c r="J2190" s="662">
        <v>0</v>
      </c>
      <c r="K2190" s="566" t="s">
        <v>5369</v>
      </c>
      <c r="L2190"/>
      <c r="M2190" s="540"/>
      <c r="O2190" s="540"/>
    </row>
    <row r="2191" spans="1:15">
      <c r="A2191" s="565">
        <v>2885</v>
      </c>
      <c r="B2191" s="696" t="s">
        <v>7595</v>
      </c>
      <c r="C2191" s="566">
        <f t="shared" si="34"/>
        <v>2885</v>
      </c>
      <c r="D2191" s="700" t="s">
        <v>2248</v>
      </c>
      <c r="E2191" s="701" t="s">
        <v>10064</v>
      </c>
      <c r="F2191" s="566">
        <v>2</v>
      </c>
      <c r="G2191" s="662">
        <v>0</v>
      </c>
      <c r="H2191" s="662">
        <v>0</v>
      </c>
      <c r="I2191" s="662">
        <v>0</v>
      </c>
      <c r="J2191" s="662">
        <v>17821.296736503173</v>
      </c>
      <c r="K2191" s="566" t="s">
        <v>4974</v>
      </c>
      <c r="L2191"/>
      <c r="M2191" s="540"/>
      <c r="O2191" s="540"/>
    </row>
    <row r="2192" spans="1:15">
      <c r="A2192" s="565">
        <v>2886</v>
      </c>
      <c r="B2192" s="696" t="s">
        <v>7596</v>
      </c>
      <c r="C2192" s="566">
        <f t="shared" si="34"/>
        <v>2886</v>
      </c>
      <c r="D2192" s="700" t="s">
        <v>2248</v>
      </c>
      <c r="E2192" s="701" t="s">
        <v>10065</v>
      </c>
      <c r="F2192" s="566">
        <v>2</v>
      </c>
      <c r="G2192" s="662">
        <v>0</v>
      </c>
      <c r="H2192" s="662">
        <v>0</v>
      </c>
      <c r="I2192" s="662">
        <v>0</v>
      </c>
      <c r="J2192" s="662">
        <v>16431.499475391687</v>
      </c>
      <c r="K2192" s="566" t="s">
        <v>4975</v>
      </c>
      <c r="L2192"/>
      <c r="M2192" s="540"/>
      <c r="O2192" s="540"/>
    </row>
    <row r="2193" spans="1:15">
      <c r="A2193" s="565">
        <v>2887</v>
      </c>
      <c r="B2193" s="696" t="s">
        <v>7597</v>
      </c>
      <c r="C2193" s="566">
        <f t="shared" si="34"/>
        <v>2887</v>
      </c>
      <c r="D2193" s="700" t="s">
        <v>2248</v>
      </c>
      <c r="E2193" s="701" t="s">
        <v>10066</v>
      </c>
      <c r="F2193" s="566">
        <v>1</v>
      </c>
      <c r="G2193" s="662">
        <v>0</v>
      </c>
      <c r="H2193" s="662">
        <v>0</v>
      </c>
      <c r="I2193" s="662">
        <v>34442.021090800044</v>
      </c>
      <c r="J2193" s="662">
        <v>35650.730037314395</v>
      </c>
      <c r="K2193" s="566" t="s">
        <v>4232</v>
      </c>
      <c r="L2193"/>
      <c r="M2193" s="540"/>
      <c r="O2193" s="540"/>
    </row>
    <row r="2194" spans="1:15">
      <c r="A2194" s="565">
        <v>2888</v>
      </c>
      <c r="B2194" s="696" t="s">
        <v>7598</v>
      </c>
      <c r="C2194" s="566">
        <f t="shared" si="34"/>
        <v>2888</v>
      </c>
      <c r="D2194" s="700" t="s">
        <v>2248</v>
      </c>
      <c r="E2194" s="701" t="s">
        <v>10067</v>
      </c>
      <c r="F2194" s="566">
        <v>1</v>
      </c>
      <c r="G2194" s="662">
        <v>0</v>
      </c>
      <c r="H2194" s="662">
        <v>0</v>
      </c>
      <c r="I2194" s="662">
        <v>36830.458831944539</v>
      </c>
      <c r="J2194" s="662">
        <v>38128.950790605842</v>
      </c>
      <c r="K2194" s="566" t="s">
        <v>4233</v>
      </c>
      <c r="L2194"/>
      <c r="M2194" s="540"/>
      <c r="O2194" s="540"/>
    </row>
    <row r="2195" spans="1:15">
      <c r="A2195" s="565">
        <v>2889</v>
      </c>
      <c r="B2195" s="696" t="s">
        <v>7599</v>
      </c>
      <c r="C2195" s="566">
        <f t="shared" si="34"/>
        <v>2889</v>
      </c>
      <c r="D2195" s="700" t="s">
        <v>2248</v>
      </c>
      <c r="E2195" s="701" t="s">
        <v>10068</v>
      </c>
      <c r="F2195" s="566">
        <v>1</v>
      </c>
      <c r="G2195" s="662">
        <v>0</v>
      </c>
      <c r="H2195" s="662">
        <v>0</v>
      </c>
      <c r="I2195" s="662">
        <v>30061.681604145084</v>
      </c>
      <c r="J2195" s="662">
        <v>31105.689263475939</v>
      </c>
      <c r="K2195" s="566" t="s">
        <v>4234</v>
      </c>
      <c r="L2195"/>
      <c r="M2195" s="540"/>
      <c r="O2195" s="540"/>
    </row>
    <row r="2196" spans="1:15">
      <c r="A2196" s="565">
        <v>2890</v>
      </c>
      <c r="B2196" s="696" t="s">
        <v>7600</v>
      </c>
      <c r="C2196" s="566">
        <f t="shared" si="34"/>
        <v>2890</v>
      </c>
      <c r="D2196" s="700" t="s">
        <v>2248</v>
      </c>
      <c r="E2196" s="701" t="s">
        <v>10069</v>
      </c>
      <c r="F2196" s="566">
        <v>1</v>
      </c>
      <c r="G2196" s="662">
        <v>0</v>
      </c>
      <c r="H2196" s="662">
        <v>0</v>
      </c>
      <c r="I2196" s="662">
        <v>32450.119345289579</v>
      </c>
      <c r="J2196" s="662">
        <v>33583.955754420036</v>
      </c>
      <c r="K2196" s="566" t="s">
        <v>4235</v>
      </c>
      <c r="L2196"/>
      <c r="M2196" s="540"/>
      <c r="O2196" s="540"/>
    </row>
    <row r="2197" spans="1:15">
      <c r="A2197" s="565">
        <v>2891</v>
      </c>
      <c r="B2197" s="696" t="s">
        <v>7601</v>
      </c>
      <c r="C2197" s="566">
        <f t="shared" si="34"/>
        <v>2891</v>
      </c>
      <c r="D2197" s="700" t="s">
        <v>2248</v>
      </c>
      <c r="E2197" s="701" t="s">
        <v>10070</v>
      </c>
      <c r="F2197" s="566">
        <v>1</v>
      </c>
      <c r="G2197" s="662">
        <v>0</v>
      </c>
      <c r="H2197" s="662">
        <v>0</v>
      </c>
      <c r="I2197" s="662">
        <v>0</v>
      </c>
      <c r="J2197" s="662">
        <v>29383.616168747682</v>
      </c>
      <c r="K2197" s="566" t="s">
        <v>4976</v>
      </c>
      <c r="L2197"/>
      <c r="M2197" s="540"/>
      <c r="O2197" s="540"/>
    </row>
    <row r="2198" spans="1:15">
      <c r="A2198" s="565">
        <v>2892</v>
      </c>
      <c r="B2198" s="696" t="s">
        <v>7602</v>
      </c>
      <c r="C2198" s="566">
        <f t="shared" si="34"/>
        <v>2892</v>
      </c>
      <c r="D2198" s="700" t="s">
        <v>2248</v>
      </c>
      <c r="E2198" s="701" t="s">
        <v>10071</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7603</v>
      </c>
      <c r="C2199" s="566">
        <f t="shared" si="34"/>
        <v>2893</v>
      </c>
      <c r="D2199" s="700" t="s">
        <v>2248</v>
      </c>
      <c r="E2199" s="701" t="s">
        <v>10072</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7604</v>
      </c>
      <c r="C2200" s="566">
        <f t="shared" si="34"/>
        <v>2894</v>
      </c>
      <c r="D2200" s="699" t="s">
        <v>2248</v>
      </c>
      <c r="E2200" s="701" t="s">
        <v>10073</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7605</v>
      </c>
      <c r="C2201" s="566">
        <f t="shared" si="34"/>
        <v>2895</v>
      </c>
      <c r="D2201" s="699" t="s">
        <v>2248</v>
      </c>
      <c r="E2201" s="701" t="s">
        <v>10074</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7606</v>
      </c>
      <c r="C2202" s="566">
        <f t="shared" si="34"/>
        <v>2896</v>
      </c>
      <c r="D2202" s="700" t="s">
        <v>2248</v>
      </c>
      <c r="E2202" s="701" t="s">
        <v>10075</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7607</v>
      </c>
      <c r="C2203" s="566">
        <f t="shared" si="34"/>
        <v>2897</v>
      </c>
      <c r="D2203" s="700" t="s">
        <v>2248</v>
      </c>
      <c r="E2203" s="701" t="s">
        <v>10076</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7608</v>
      </c>
      <c r="C2204" s="566">
        <f t="shared" si="34"/>
        <v>2898</v>
      </c>
      <c r="D2204" s="700" t="s">
        <v>2248</v>
      </c>
      <c r="E2204" s="701" t="s">
        <v>10077</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7609</v>
      </c>
      <c r="C2205" s="566">
        <f t="shared" si="34"/>
        <v>2899</v>
      </c>
      <c r="D2205" s="700" t="s">
        <v>2248</v>
      </c>
      <c r="E2205" s="701" t="s">
        <v>10078</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7610</v>
      </c>
      <c r="C2206" s="566">
        <f t="shared" si="34"/>
        <v>2900</v>
      </c>
      <c r="D2206" s="700" t="s">
        <v>2248</v>
      </c>
      <c r="E2206" s="701" t="s">
        <v>10079</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7611</v>
      </c>
      <c r="C2207" s="566">
        <f t="shared" si="34"/>
        <v>2901</v>
      </c>
      <c r="D2207" s="700" t="s">
        <v>2248</v>
      </c>
      <c r="E2207" s="701" t="s">
        <v>10080</v>
      </c>
      <c r="F2207" s="566">
        <v>1</v>
      </c>
      <c r="G2207" s="662">
        <v>13713.859014047957</v>
      </c>
      <c r="H2207" s="662">
        <v>14103.038492285994</v>
      </c>
      <c r="I2207" s="662">
        <v>0</v>
      </c>
      <c r="J2207" s="662">
        <v>0</v>
      </c>
      <c r="K2207" s="566" t="s">
        <v>1497</v>
      </c>
      <c r="L2207"/>
      <c r="M2207" s="540"/>
      <c r="O2207" s="540"/>
    </row>
    <row r="2208" spans="1:15">
      <c r="A2208" s="565">
        <v>2902</v>
      </c>
      <c r="B2208" s="696" t="s">
        <v>7612</v>
      </c>
      <c r="C2208" s="566">
        <f t="shared" si="34"/>
        <v>2902</v>
      </c>
      <c r="D2208" s="700" t="s">
        <v>2248</v>
      </c>
      <c r="E2208" s="701" t="s">
        <v>10081</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7613</v>
      </c>
      <c r="C2209" s="566">
        <f t="shared" si="34"/>
        <v>2903</v>
      </c>
      <c r="D2209" s="700" t="s">
        <v>2248</v>
      </c>
      <c r="E2209" s="701" t="s">
        <v>10082</v>
      </c>
      <c r="F2209" s="566">
        <v>1</v>
      </c>
      <c r="G2209" s="662">
        <v>0</v>
      </c>
      <c r="H2209" s="662">
        <v>14500.588905495262</v>
      </c>
      <c r="I2209" s="662">
        <v>0</v>
      </c>
      <c r="J2209" s="662">
        <v>0</v>
      </c>
      <c r="K2209" s="566" t="s">
        <v>3234</v>
      </c>
      <c r="L2209"/>
      <c r="M2209" s="540"/>
      <c r="O2209" s="540"/>
    </row>
    <row r="2210" spans="1:15">
      <c r="A2210" s="565">
        <v>2904</v>
      </c>
      <c r="B2210" s="696" t="s">
        <v>7614</v>
      </c>
      <c r="C2210" s="566">
        <f t="shared" si="34"/>
        <v>2904</v>
      </c>
      <c r="D2210" s="700" t="s">
        <v>2248</v>
      </c>
      <c r="E2210" s="701" t="s">
        <v>10083</v>
      </c>
      <c r="F2210" s="566">
        <v>1</v>
      </c>
      <c r="G2210" s="662">
        <v>15094.257549760037</v>
      </c>
      <c r="H2210" s="662">
        <v>15528.636455107504</v>
      </c>
      <c r="I2210" s="662">
        <v>0</v>
      </c>
      <c r="J2210" s="662">
        <v>0</v>
      </c>
      <c r="K2210" s="566" t="s">
        <v>1498</v>
      </c>
      <c r="L2210"/>
      <c r="M2210" s="540"/>
      <c r="O2210" s="540"/>
    </row>
    <row r="2211" spans="1:15">
      <c r="A2211" s="565">
        <v>2905</v>
      </c>
      <c r="B2211" s="696" t="s">
        <v>7615</v>
      </c>
      <c r="C2211" s="566">
        <f t="shared" si="34"/>
        <v>2905</v>
      </c>
      <c r="D2211" s="700" t="s">
        <v>2248</v>
      </c>
      <c r="E2211" s="701" t="s">
        <v>10084</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7616</v>
      </c>
      <c r="C2212" s="566">
        <f t="shared" si="34"/>
        <v>2906</v>
      </c>
      <c r="D2212" s="700" t="s">
        <v>2248</v>
      </c>
      <c r="E2212" s="701" t="s">
        <v>10085</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7617</v>
      </c>
      <c r="C2213" s="566">
        <f t="shared" si="34"/>
        <v>2907</v>
      </c>
      <c r="D2213" s="700" t="s">
        <v>2248</v>
      </c>
      <c r="E2213" s="701" t="s">
        <v>10086</v>
      </c>
      <c r="F2213" s="566">
        <v>1</v>
      </c>
      <c r="G2213" s="662">
        <v>0</v>
      </c>
      <c r="H2213" s="662">
        <v>14074.620380119015</v>
      </c>
      <c r="I2213" s="662">
        <v>0</v>
      </c>
      <c r="J2213" s="662">
        <v>0</v>
      </c>
      <c r="K2213" s="566" t="s">
        <v>3236</v>
      </c>
      <c r="L2213"/>
      <c r="M2213" s="540"/>
      <c r="O2213" s="540"/>
    </row>
    <row r="2214" spans="1:15">
      <c r="A2214" s="565">
        <v>2908</v>
      </c>
      <c r="B2214" s="695" t="s">
        <v>7618</v>
      </c>
      <c r="C2214" s="566">
        <f t="shared" si="34"/>
        <v>2908</v>
      </c>
      <c r="D2214" s="699" t="s">
        <v>2248</v>
      </c>
      <c r="E2214" s="701" t="s">
        <v>10087</v>
      </c>
      <c r="F2214" s="567">
        <v>1</v>
      </c>
      <c r="G2214" s="662">
        <v>0</v>
      </c>
      <c r="H2214" s="662">
        <v>14500.588905495262</v>
      </c>
      <c r="I2214" s="662">
        <v>0</v>
      </c>
      <c r="J2214" s="662">
        <v>0</v>
      </c>
      <c r="K2214" s="568" t="s">
        <v>3237</v>
      </c>
      <c r="L2214"/>
      <c r="M2214" s="540"/>
      <c r="O2214" s="540"/>
    </row>
    <row r="2215" spans="1:15">
      <c r="A2215" s="565">
        <v>2909</v>
      </c>
      <c r="B2215" s="696" t="s">
        <v>7619</v>
      </c>
      <c r="C2215" s="566">
        <f t="shared" si="34"/>
        <v>2909</v>
      </c>
      <c r="D2215" s="700" t="s">
        <v>2248</v>
      </c>
      <c r="E2215" s="701" t="s">
        <v>10088</v>
      </c>
      <c r="F2215" s="566">
        <v>1</v>
      </c>
      <c r="G2215" s="662">
        <v>0</v>
      </c>
      <c r="H2215" s="662">
        <v>0</v>
      </c>
      <c r="I2215" s="662">
        <v>15872.214670120635</v>
      </c>
      <c r="J2215" s="662">
        <v>16308.7554612643</v>
      </c>
      <c r="K2215" s="566" t="s">
        <v>4236</v>
      </c>
      <c r="L2215"/>
      <c r="M2215" s="540"/>
      <c r="O2215" s="540"/>
    </row>
    <row r="2216" spans="1:15">
      <c r="A2216" s="565">
        <v>2910</v>
      </c>
      <c r="B2216" s="696" t="s">
        <v>7620</v>
      </c>
      <c r="C2216" s="566">
        <f t="shared" si="34"/>
        <v>2910</v>
      </c>
      <c r="D2216" s="700" t="s">
        <v>2248</v>
      </c>
      <c r="E2216" s="701" t="s">
        <v>10089</v>
      </c>
      <c r="F2216" s="566">
        <v>1</v>
      </c>
      <c r="G2216" s="662">
        <v>0</v>
      </c>
      <c r="H2216" s="662">
        <v>25190.617924510225</v>
      </c>
      <c r="I2216" s="662">
        <v>0</v>
      </c>
      <c r="J2216" s="662">
        <v>0</v>
      </c>
      <c r="K2216" s="566" t="s">
        <v>4977</v>
      </c>
      <c r="L2216"/>
      <c r="M2216" s="540"/>
      <c r="O2216" s="540"/>
    </row>
    <row r="2217" spans="1:15">
      <c r="A2217" s="565">
        <v>2911</v>
      </c>
      <c r="B2217" s="696" t="s">
        <v>7621</v>
      </c>
      <c r="C2217" s="566">
        <f t="shared" si="34"/>
        <v>2911</v>
      </c>
      <c r="D2217" s="700" t="s">
        <v>2248</v>
      </c>
      <c r="E2217" s="701" t="s">
        <v>10090</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7622</v>
      </c>
      <c r="C2218" s="566">
        <f t="shared" si="34"/>
        <v>2912</v>
      </c>
      <c r="D2218" s="700" t="s">
        <v>2248</v>
      </c>
      <c r="E2218" s="701" t="s">
        <v>10091</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7623</v>
      </c>
      <c r="C2219" s="566">
        <f t="shared" si="34"/>
        <v>2913</v>
      </c>
      <c r="D2219" s="700" t="s">
        <v>2248</v>
      </c>
      <c r="E2219" s="701" t="s">
        <v>10092</v>
      </c>
      <c r="F2219" s="566">
        <v>1</v>
      </c>
      <c r="G2219" s="662">
        <v>9998.4047397259092</v>
      </c>
      <c r="H2219" s="662">
        <v>10236.852121962978</v>
      </c>
      <c r="I2219" s="662">
        <v>0</v>
      </c>
      <c r="J2219" s="662">
        <v>0</v>
      </c>
      <c r="K2219" s="566" t="s">
        <v>1502</v>
      </c>
      <c r="L2219"/>
      <c r="M2219" s="540"/>
      <c r="O2219" s="540"/>
    </row>
    <row r="2220" spans="1:15">
      <c r="A2220" s="565">
        <v>2914</v>
      </c>
      <c r="B2220" s="696" t="s">
        <v>7624</v>
      </c>
      <c r="C2220" s="566">
        <f t="shared" si="34"/>
        <v>2914</v>
      </c>
      <c r="D2220" s="700" t="s">
        <v>2248</v>
      </c>
      <c r="E2220" s="701" t="s">
        <v>10093</v>
      </c>
      <c r="F2220" s="566">
        <v>1</v>
      </c>
      <c r="G2220" s="662">
        <v>9551.9475287733603</v>
      </c>
      <c r="H2220" s="662">
        <v>9776.6064319506258</v>
      </c>
      <c r="I2220" s="662">
        <v>0</v>
      </c>
      <c r="J2220" s="662">
        <v>0</v>
      </c>
      <c r="K2220" s="566" t="s">
        <v>1503</v>
      </c>
      <c r="L2220"/>
      <c r="M2220" s="540"/>
      <c r="O2220" s="540"/>
    </row>
    <row r="2221" spans="1:15">
      <c r="A2221" s="565">
        <v>2915</v>
      </c>
      <c r="B2221" s="696" t="s">
        <v>7625</v>
      </c>
      <c r="C2221" s="566">
        <f t="shared" si="34"/>
        <v>2915</v>
      </c>
      <c r="D2221" s="700" t="s">
        <v>2248</v>
      </c>
      <c r="E2221" s="701" t="s">
        <v>10094</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7626</v>
      </c>
      <c r="C2222" s="566">
        <f t="shared" si="34"/>
        <v>2916</v>
      </c>
      <c r="D2222" s="700" t="s">
        <v>2248</v>
      </c>
      <c r="E2222" s="701" t="s">
        <v>10095</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7627</v>
      </c>
      <c r="C2223" s="566">
        <f t="shared" si="34"/>
        <v>2917</v>
      </c>
      <c r="D2223" s="700" t="s">
        <v>2248</v>
      </c>
      <c r="E2223" s="701" t="s">
        <v>10096</v>
      </c>
      <c r="F2223" s="566">
        <v>1</v>
      </c>
      <c r="G2223" s="662">
        <v>0</v>
      </c>
      <c r="H2223" s="662">
        <v>0</v>
      </c>
      <c r="I2223" s="662">
        <v>0</v>
      </c>
      <c r="J2223" s="662">
        <v>10696.967674905623</v>
      </c>
      <c r="K2223" s="566" t="s">
        <v>4978</v>
      </c>
      <c r="L2223"/>
      <c r="M2223" s="540"/>
      <c r="O2223" s="540"/>
    </row>
    <row r="2224" spans="1:15">
      <c r="A2224" s="565">
        <v>2918</v>
      </c>
      <c r="B2224" s="696" t="s">
        <v>7628</v>
      </c>
      <c r="C2224" s="566">
        <f t="shared" si="34"/>
        <v>2918</v>
      </c>
      <c r="D2224" s="700" t="s">
        <v>2248</v>
      </c>
      <c r="E2224" s="701" t="s">
        <v>10097</v>
      </c>
      <c r="F2224" s="566">
        <v>1</v>
      </c>
      <c r="G2224" s="662">
        <v>0</v>
      </c>
      <c r="H2224" s="662">
        <v>0</v>
      </c>
      <c r="I2224" s="662">
        <v>11012.679703119764</v>
      </c>
      <c r="J2224" s="662">
        <v>11264.846449233366</v>
      </c>
      <c r="K2224" s="566" t="s">
        <v>4979</v>
      </c>
      <c r="L2224"/>
      <c r="M2224" s="540"/>
      <c r="O2224" s="540"/>
    </row>
    <row r="2225" spans="1:15">
      <c r="A2225" s="565">
        <v>2919</v>
      </c>
      <c r="B2225" s="696" t="s">
        <v>7629</v>
      </c>
      <c r="C2225" s="566">
        <f t="shared" si="34"/>
        <v>2919</v>
      </c>
      <c r="D2225" s="700" t="s">
        <v>2248</v>
      </c>
      <c r="E2225" s="701" t="s">
        <v>10098</v>
      </c>
      <c r="F2225" s="566">
        <v>1</v>
      </c>
      <c r="G2225" s="662">
        <v>0</v>
      </c>
      <c r="H2225" s="662">
        <v>0</v>
      </c>
      <c r="I2225" s="662">
        <v>0</v>
      </c>
      <c r="J2225" s="662">
        <v>12956.042699266176</v>
      </c>
      <c r="K2225" s="566" t="s">
        <v>4980</v>
      </c>
      <c r="L2225"/>
      <c r="M2225" s="540"/>
      <c r="O2225" s="540"/>
    </row>
    <row r="2226" spans="1:15">
      <c r="A2226" s="565">
        <v>2920</v>
      </c>
      <c r="B2226" s="696" t="s">
        <v>7630</v>
      </c>
      <c r="C2226" s="566">
        <f t="shared" si="34"/>
        <v>2920</v>
      </c>
      <c r="D2226" s="700" t="s">
        <v>2248</v>
      </c>
      <c r="E2226" s="701" t="s">
        <v>10099</v>
      </c>
      <c r="F2226" s="566">
        <v>1</v>
      </c>
      <c r="G2226" s="662">
        <v>0</v>
      </c>
      <c r="H2226" s="662">
        <v>0</v>
      </c>
      <c r="I2226" s="662">
        <v>11289.38395794901</v>
      </c>
      <c r="J2226" s="662">
        <v>11555.546528672176</v>
      </c>
      <c r="K2226" s="566" t="s">
        <v>4237</v>
      </c>
      <c r="L2226"/>
      <c r="M2226" s="540"/>
      <c r="O2226" s="540"/>
    </row>
    <row r="2227" spans="1:15">
      <c r="A2227" s="565">
        <v>2921</v>
      </c>
      <c r="B2227" s="696" t="s">
        <v>7631</v>
      </c>
      <c r="C2227" s="566">
        <f t="shared" si="34"/>
        <v>2921</v>
      </c>
      <c r="D2227" s="700" t="s">
        <v>2248</v>
      </c>
      <c r="E2227" s="701" t="s">
        <v>10100</v>
      </c>
      <c r="F2227" s="566">
        <v>1</v>
      </c>
      <c r="G2227" s="662">
        <v>0</v>
      </c>
      <c r="H2227" s="662">
        <v>0</v>
      </c>
      <c r="I2227" s="662">
        <v>10104.551391862238</v>
      </c>
      <c r="J2227" s="662">
        <v>10335.672564674047</v>
      </c>
      <c r="K2227" s="566" t="s">
        <v>4239</v>
      </c>
      <c r="L2227"/>
      <c r="M2227" s="540"/>
      <c r="O2227" s="540"/>
    </row>
    <row r="2228" spans="1:15">
      <c r="A2228" s="565">
        <v>2922</v>
      </c>
      <c r="B2228" s="696" t="s">
        <v>7632</v>
      </c>
      <c r="C2228" s="566">
        <f t="shared" si="34"/>
        <v>2922</v>
      </c>
      <c r="D2228" s="700" t="s">
        <v>2248</v>
      </c>
      <c r="E2228" s="701" t="s">
        <v>10101</v>
      </c>
      <c r="F2228" s="566">
        <v>1</v>
      </c>
      <c r="G2228" s="662">
        <v>0</v>
      </c>
      <c r="H2228" s="662">
        <v>0</v>
      </c>
      <c r="I2228" s="662">
        <v>10696.967674905623</v>
      </c>
      <c r="J2228" s="662">
        <v>10945.609546673113</v>
      </c>
      <c r="K2228" s="566" t="s">
        <v>4238</v>
      </c>
      <c r="L2228"/>
      <c r="M2228" s="540"/>
      <c r="O2228" s="540"/>
    </row>
    <row r="2229" spans="1:15">
      <c r="A2229" s="565">
        <v>2923</v>
      </c>
      <c r="B2229" s="695" t="s">
        <v>7633</v>
      </c>
      <c r="C2229" s="566">
        <f t="shared" si="34"/>
        <v>2923</v>
      </c>
      <c r="D2229" s="699" t="s">
        <v>2248</v>
      </c>
      <c r="E2229" s="701" t="s">
        <v>10102</v>
      </c>
      <c r="F2229" s="567">
        <v>1</v>
      </c>
      <c r="G2229" s="662">
        <v>10763.087709736872</v>
      </c>
      <c r="H2229" s="662">
        <v>0</v>
      </c>
      <c r="I2229" s="662">
        <v>0</v>
      </c>
      <c r="J2229" s="662">
        <v>0</v>
      </c>
      <c r="K2229" s="568" t="s">
        <v>5370</v>
      </c>
      <c r="L2229"/>
      <c r="M2229" s="540"/>
      <c r="O2229" s="540"/>
    </row>
    <row r="2230" spans="1:15">
      <c r="A2230" s="565">
        <v>2924</v>
      </c>
      <c r="B2230" s="695" t="s">
        <v>7634</v>
      </c>
      <c r="C2230" s="566">
        <f t="shared" si="34"/>
        <v>2924</v>
      </c>
      <c r="D2230" s="699" t="s">
        <v>2248</v>
      </c>
      <c r="E2230" s="701" t="s">
        <v>10103</v>
      </c>
      <c r="F2230" s="567">
        <v>1</v>
      </c>
      <c r="G2230" s="662">
        <v>10316.630498784323</v>
      </c>
      <c r="H2230" s="662">
        <v>0</v>
      </c>
      <c r="I2230" s="662">
        <v>0</v>
      </c>
      <c r="J2230" s="662">
        <v>0</v>
      </c>
      <c r="K2230" s="568" t="s">
        <v>5371</v>
      </c>
      <c r="L2230"/>
      <c r="M2230" s="540"/>
      <c r="O2230" s="540"/>
    </row>
    <row r="2231" spans="1:15">
      <c r="A2231" s="565">
        <v>2925</v>
      </c>
      <c r="B2231" s="695" t="s">
        <v>7635</v>
      </c>
      <c r="C2231" s="566">
        <f t="shared" si="34"/>
        <v>2925</v>
      </c>
      <c r="D2231" s="699" t="s">
        <v>2248</v>
      </c>
      <c r="E2231" s="701" t="s">
        <v>10104</v>
      </c>
      <c r="F2231" s="567">
        <v>1</v>
      </c>
      <c r="G2231" s="662">
        <v>0</v>
      </c>
      <c r="H2231" s="662">
        <v>0</v>
      </c>
      <c r="I2231" s="662">
        <v>11787.678027798585</v>
      </c>
      <c r="J2231" s="662">
        <v>12068.56213255552</v>
      </c>
      <c r="K2231" s="568" t="s">
        <v>4240</v>
      </c>
      <c r="L2231"/>
      <c r="M2231" s="540"/>
      <c r="O2231" s="540"/>
    </row>
    <row r="2232" spans="1:15">
      <c r="A2232" s="565">
        <v>2926</v>
      </c>
      <c r="B2232" s="695" t="s">
        <v>7636</v>
      </c>
      <c r="C2232" s="566">
        <f t="shared" si="34"/>
        <v>2926</v>
      </c>
      <c r="D2232" s="699" t="s">
        <v>2248</v>
      </c>
      <c r="E2232" s="701" t="s">
        <v>10105</v>
      </c>
      <c r="F2232" s="567">
        <v>1</v>
      </c>
      <c r="G2232" s="662">
        <v>11141.899888726917</v>
      </c>
      <c r="H2232" s="662">
        <v>0</v>
      </c>
      <c r="I2232" s="662">
        <v>0</v>
      </c>
      <c r="J2232" s="662">
        <v>0</v>
      </c>
      <c r="K2232" s="568" t="s">
        <v>5372</v>
      </c>
      <c r="L2232"/>
      <c r="M2232" s="540"/>
      <c r="O2232" s="540"/>
    </row>
    <row r="2233" spans="1:15">
      <c r="A2233" s="565">
        <v>2927</v>
      </c>
      <c r="B2233" s="695" t="s">
        <v>7637</v>
      </c>
      <c r="C2233" s="566">
        <f t="shared" si="34"/>
        <v>2927</v>
      </c>
      <c r="D2233" s="699" t="s">
        <v>2248</v>
      </c>
      <c r="E2233" s="701" t="s">
        <v>10106</v>
      </c>
      <c r="F2233" s="567">
        <v>1</v>
      </c>
      <c r="G2233" s="662">
        <v>10695.442677774363</v>
      </c>
      <c r="H2233" s="662">
        <v>0</v>
      </c>
      <c r="I2233" s="662">
        <v>0</v>
      </c>
      <c r="J2233" s="662">
        <v>0</v>
      </c>
      <c r="K2233" s="568" t="s">
        <v>5373</v>
      </c>
      <c r="L2233"/>
      <c r="M2233" s="540"/>
      <c r="O2233" s="540"/>
    </row>
    <row r="2234" spans="1:15">
      <c r="A2234" s="565">
        <v>2928</v>
      </c>
      <c r="B2234" s="695" t="s">
        <v>7638</v>
      </c>
      <c r="C2234" s="566">
        <f t="shared" si="34"/>
        <v>2928</v>
      </c>
      <c r="D2234" s="699" t="s">
        <v>2248</v>
      </c>
      <c r="E2234" s="701" t="s">
        <v>10107</v>
      </c>
      <c r="F2234" s="567">
        <v>1</v>
      </c>
      <c r="G2234" s="662">
        <v>9214.0164777954396</v>
      </c>
      <c r="H2234" s="662">
        <v>9428.2044307092547</v>
      </c>
      <c r="I2234" s="662">
        <v>0</v>
      </c>
      <c r="J2234" s="662">
        <v>0</v>
      </c>
      <c r="K2234" s="568" t="s">
        <v>1506</v>
      </c>
      <c r="L2234"/>
      <c r="M2234" s="540"/>
      <c r="O2234" s="540"/>
    </row>
    <row r="2235" spans="1:15">
      <c r="A2235" s="565">
        <v>2929</v>
      </c>
      <c r="B2235" s="695" t="s">
        <v>7639</v>
      </c>
      <c r="C2235" s="566">
        <f t="shared" si="34"/>
        <v>2929</v>
      </c>
      <c r="D2235" s="699" t="s">
        <v>2248</v>
      </c>
      <c r="E2235" s="701" t="s">
        <v>10108</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7640</v>
      </c>
      <c r="C2236" s="566">
        <f t="shared" si="34"/>
        <v>2930</v>
      </c>
      <c r="D2236" s="700" t="s">
        <v>2248</v>
      </c>
      <c r="E2236" s="701" t="s">
        <v>10109</v>
      </c>
      <c r="F2236" s="566">
        <v>1</v>
      </c>
      <c r="G2236" s="662">
        <v>9660.4736887479921</v>
      </c>
      <c r="H2236" s="662">
        <v>0</v>
      </c>
      <c r="I2236" s="662">
        <v>0</v>
      </c>
      <c r="J2236" s="662">
        <v>0</v>
      </c>
      <c r="K2236" s="566" t="s">
        <v>5374</v>
      </c>
      <c r="L2236"/>
      <c r="M2236" s="540"/>
      <c r="O2236" s="540"/>
    </row>
    <row r="2237" spans="1:15">
      <c r="A2237" s="565">
        <v>2931</v>
      </c>
      <c r="B2237" s="696" t="s">
        <v>7641</v>
      </c>
      <c r="C2237" s="566">
        <f t="shared" si="34"/>
        <v>2931</v>
      </c>
      <c r="D2237" s="700" t="s">
        <v>2248</v>
      </c>
      <c r="E2237" s="701" t="s">
        <v>10110</v>
      </c>
      <c r="F2237" s="566">
        <v>1</v>
      </c>
      <c r="G2237" s="662">
        <v>10025.756861345539</v>
      </c>
      <c r="H2237" s="662">
        <v>10265.033625781683</v>
      </c>
      <c r="I2237" s="662">
        <v>0</v>
      </c>
      <c r="J2237" s="662">
        <v>0</v>
      </c>
      <c r="K2237" s="566" t="s">
        <v>1508</v>
      </c>
      <c r="L2237"/>
      <c r="M2237" s="540"/>
      <c r="O2237" s="540"/>
    </row>
    <row r="2238" spans="1:15">
      <c r="A2238" s="565">
        <v>2932</v>
      </c>
      <c r="B2238" s="696" t="s">
        <v>7642</v>
      </c>
      <c r="C2238" s="566">
        <f t="shared" si="34"/>
        <v>2932</v>
      </c>
      <c r="D2238" s="700" t="s">
        <v>2248</v>
      </c>
      <c r="E2238" s="701" t="s">
        <v>10111</v>
      </c>
      <c r="F2238" s="566">
        <v>1</v>
      </c>
      <c r="G2238" s="662">
        <v>8449.3335077844804</v>
      </c>
      <c r="H2238" s="662">
        <v>8639.8840680243593</v>
      </c>
      <c r="I2238" s="662">
        <v>0</v>
      </c>
      <c r="J2238" s="662">
        <v>0</v>
      </c>
      <c r="K2238" s="566" t="s">
        <v>1509</v>
      </c>
      <c r="L2238"/>
      <c r="M2238" s="540"/>
      <c r="O2238" s="540"/>
    </row>
    <row r="2239" spans="1:15">
      <c r="A2239" s="565">
        <v>2933</v>
      </c>
      <c r="B2239" s="696" t="s">
        <v>7643</v>
      </c>
      <c r="C2239" s="566">
        <f t="shared" si="34"/>
        <v>2933</v>
      </c>
      <c r="D2239" s="700" t="s">
        <v>2248</v>
      </c>
      <c r="E2239" s="701" t="s">
        <v>10112</v>
      </c>
      <c r="F2239" s="566">
        <v>1</v>
      </c>
      <c r="G2239" s="662">
        <v>9707.5311022871283</v>
      </c>
      <c r="H2239" s="662">
        <v>9936.9935107007677</v>
      </c>
      <c r="I2239" s="662">
        <v>0</v>
      </c>
      <c r="J2239" s="662">
        <v>0</v>
      </c>
      <c r="K2239" s="566" t="s">
        <v>1510</v>
      </c>
      <c r="L2239"/>
      <c r="M2239" s="540"/>
      <c r="O2239" s="540"/>
    </row>
    <row r="2240" spans="1:15">
      <c r="A2240" s="565">
        <v>2934</v>
      </c>
      <c r="B2240" s="696" t="s">
        <v>7644</v>
      </c>
      <c r="C2240" s="566">
        <f t="shared" si="34"/>
        <v>2934</v>
      </c>
      <c r="D2240" s="700" t="s">
        <v>2248</v>
      </c>
      <c r="E2240" s="701" t="s">
        <v>10113</v>
      </c>
      <c r="F2240" s="566">
        <v>1</v>
      </c>
      <c r="G2240" s="662">
        <v>8895.7907187370329</v>
      </c>
      <c r="H2240" s="662">
        <v>0</v>
      </c>
      <c r="I2240" s="662">
        <v>0</v>
      </c>
      <c r="J2240" s="662">
        <v>0</v>
      </c>
      <c r="K2240" s="566" t="s">
        <v>5375</v>
      </c>
      <c r="L2240"/>
      <c r="M2240" s="540"/>
      <c r="O2240" s="540"/>
    </row>
    <row r="2241" spans="1:15">
      <c r="A2241" s="565">
        <v>2935</v>
      </c>
      <c r="B2241" s="696" t="s">
        <v>7645</v>
      </c>
      <c r="C2241" s="566">
        <f t="shared" si="34"/>
        <v>2935</v>
      </c>
      <c r="D2241" s="700" t="s">
        <v>2248</v>
      </c>
      <c r="E2241" s="701" t="s">
        <v>10114</v>
      </c>
      <c r="F2241" s="566">
        <v>1</v>
      </c>
      <c r="G2241" s="662">
        <v>9261.0738913345758</v>
      </c>
      <c r="H2241" s="662">
        <v>9476.7132630967899</v>
      </c>
      <c r="I2241" s="662">
        <v>0</v>
      </c>
      <c r="J2241" s="662">
        <v>0</v>
      </c>
      <c r="K2241" s="566" t="s">
        <v>1511</v>
      </c>
      <c r="L2241"/>
      <c r="M2241" s="540"/>
      <c r="O2241" s="540"/>
    </row>
    <row r="2242" spans="1:15">
      <c r="A2242" s="565">
        <v>2936</v>
      </c>
      <c r="B2242" s="696" t="s">
        <v>7646</v>
      </c>
      <c r="C2242" s="566">
        <f t="shared" si="34"/>
        <v>2936</v>
      </c>
      <c r="D2242" s="700" t="s">
        <v>2248</v>
      </c>
      <c r="E2242" s="701" t="s">
        <v>10115</v>
      </c>
      <c r="F2242" s="566">
        <v>1</v>
      </c>
      <c r="G2242" s="662">
        <v>0</v>
      </c>
      <c r="H2242" s="662">
        <v>0</v>
      </c>
      <c r="I2242" s="662">
        <v>25330.937643474408</v>
      </c>
      <c r="J2242" s="662">
        <v>26164.081374127476</v>
      </c>
      <c r="K2242" s="566" t="s">
        <v>4241</v>
      </c>
      <c r="L2242"/>
      <c r="M2242" s="540"/>
      <c r="O2242" s="540"/>
    </row>
    <row r="2243" spans="1:15">
      <c r="A2243" s="565">
        <v>2937</v>
      </c>
      <c r="B2243" s="696" t="s">
        <v>7647</v>
      </c>
      <c r="C2243" s="566">
        <f t="shared" si="34"/>
        <v>2937</v>
      </c>
      <c r="D2243" s="700" t="s">
        <v>2248</v>
      </c>
      <c r="E2243" s="701" t="s">
        <v>10116</v>
      </c>
      <c r="F2243" s="566">
        <v>1</v>
      </c>
      <c r="G2243" s="662">
        <v>0</v>
      </c>
      <c r="H2243" s="662">
        <v>0</v>
      </c>
      <c r="I2243" s="662">
        <v>24621.334341647165</v>
      </c>
      <c r="J2243" s="662">
        <v>25428.775092509259</v>
      </c>
      <c r="K2243" s="566" t="s">
        <v>4242</v>
      </c>
      <c r="L2243"/>
      <c r="M2243" s="540"/>
      <c r="O2243" s="540"/>
    </row>
    <row r="2244" spans="1:15">
      <c r="A2244" s="565">
        <v>2938</v>
      </c>
      <c r="B2244" s="696" t="s">
        <v>7647</v>
      </c>
      <c r="C2244" s="566">
        <f t="shared" si="34"/>
        <v>2938</v>
      </c>
      <c r="D2244" s="700" t="s">
        <v>2248</v>
      </c>
      <c r="E2244" s="701" t="s">
        <v>10116</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7648</v>
      </c>
      <c r="C2245" s="566">
        <f t="shared" si="34"/>
        <v>2939</v>
      </c>
      <c r="D2245" s="700" t="s">
        <v>2248</v>
      </c>
      <c r="E2245" s="701" t="s">
        <v>10117</v>
      </c>
      <c r="F2245" s="566">
        <v>1</v>
      </c>
      <c r="G2245" s="662">
        <v>0</v>
      </c>
      <c r="H2245" s="662">
        <v>0</v>
      </c>
      <c r="I2245" s="662">
        <v>25906.552100419878</v>
      </c>
      <c r="J2245" s="662">
        <v>26760.503005189446</v>
      </c>
      <c r="K2245" s="566" t="s">
        <v>4243</v>
      </c>
      <c r="L2245"/>
      <c r="M2245" s="540"/>
      <c r="O2245" s="540"/>
    </row>
    <row r="2246" spans="1:15">
      <c r="A2246" s="565">
        <v>2940</v>
      </c>
      <c r="B2246" s="696" t="s">
        <v>7649</v>
      </c>
      <c r="C2246" s="566">
        <f t="shared" si="34"/>
        <v>2940</v>
      </c>
      <c r="D2246" s="700" t="s">
        <v>2248</v>
      </c>
      <c r="E2246" s="701" t="s">
        <v>10118</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7650</v>
      </c>
      <c r="C2247" s="566">
        <f t="shared" si="34"/>
        <v>2941</v>
      </c>
      <c r="D2247" s="700" t="s">
        <v>2248</v>
      </c>
      <c r="E2247" s="701" t="s">
        <v>10119</v>
      </c>
      <c r="F2247" s="566">
        <v>1</v>
      </c>
      <c r="G2247" s="662">
        <v>20926.699980665537</v>
      </c>
      <c r="H2247" s="662">
        <v>21385.351898052155</v>
      </c>
      <c r="I2247" s="662">
        <v>0</v>
      </c>
      <c r="J2247" s="662">
        <v>0</v>
      </c>
      <c r="K2247" s="566" t="s">
        <v>1514</v>
      </c>
      <c r="L2247"/>
      <c r="M2247" s="540"/>
      <c r="O2247" s="540"/>
    </row>
    <row r="2248" spans="1:15">
      <c r="A2248" s="565">
        <v>2942</v>
      </c>
      <c r="B2248" s="696" t="s">
        <v>7651</v>
      </c>
      <c r="C2248" s="566">
        <f t="shared" si="34"/>
        <v>2942</v>
      </c>
      <c r="D2248" s="700" t="s">
        <v>2248</v>
      </c>
      <c r="E2248" s="701" t="s">
        <v>10120</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7652</v>
      </c>
      <c r="C2249" s="566">
        <f t="shared" ref="C2249:C2312" si="35">A2249</f>
        <v>2943</v>
      </c>
      <c r="D2249" s="700" t="s">
        <v>2248</v>
      </c>
      <c r="E2249" s="701" t="s">
        <v>10121</v>
      </c>
      <c r="F2249" s="566">
        <v>1</v>
      </c>
      <c r="G2249" s="662">
        <v>21788.883354313748</v>
      </c>
      <c r="H2249" s="662">
        <v>22268.756479818247</v>
      </c>
      <c r="I2249" s="662">
        <v>0</v>
      </c>
      <c r="J2249" s="662">
        <v>0</v>
      </c>
      <c r="K2249" s="566" t="s">
        <v>1516</v>
      </c>
      <c r="L2249"/>
      <c r="M2249" s="540"/>
      <c r="O2249" s="540"/>
    </row>
    <row r="2250" spans="1:15">
      <c r="A2250" s="565">
        <v>2944</v>
      </c>
      <c r="B2250" s="696" t="s">
        <v>7653</v>
      </c>
      <c r="C2250" s="566">
        <f t="shared" si="35"/>
        <v>2944</v>
      </c>
      <c r="D2250" s="700" t="s">
        <v>2248</v>
      </c>
      <c r="E2250" s="701" t="s">
        <v>10122</v>
      </c>
      <c r="F2250" s="566">
        <v>1</v>
      </c>
      <c r="G2250" s="662">
        <v>22819.198484914632</v>
      </c>
      <c r="H2250" s="662">
        <v>23324.429912405736</v>
      </c>
      <c r="I2250" s="662">
        <v>0</v>
      </c>
      <c r="J2250" s="662">
        <v>0</v>
      </c>
      <c r="K2250" s="566" t="s">
        <v>1517</v>
      </c>
      <c r="L2250"/>
      <c r="M2250" s="540"/>
      <c r="O2250" s="540"/>
    </row>
    <row r="2251" spans="1:15">
      <c r="A2251" s="565">
        <v>2945</v>
      </c>
      <c r="B2251" s="696" t="s">
        <v>7654</v>
      </c>
      <c r="C2251" s="566">
        <f t="shared" si="35"/>
        <v>2945</v>
      </c>
      <c r="D2251" s="700" t="s">
        <v>2248</v>
      </c>
      <c r="E2251" s="701" t="s">
        <v>10123</v>
      </c>
      <c r="F2251" s="566">
        <v>1</v>
      </c>
      <c r="G2251" s="662">
        <v>22819.198484914632</v>
      </c>
      <c r="H2251" s="662">
        <v>23324.429912405736</v>
      </c>
      <c r="I2251" s="662">
        <v>0</v>
      </c>
      <c r="J2251" s="662">
        <v>0</v>
      </c>
      <c r="K2251" s="566" t="s">
        <v>1518</v>
      </c>
      <c r="L2251"/>
      <c r="M2251" s="540"/>
      <c r="O2251" s="540"/>
    </row>
    <row r="2252" spans="1:15">
      <c r="A2252" s="565">
        <v>2946</v>
      </c>
      <c r="B2252" s="696" t="s">
        <v>7655</v>
      </c>
      <c r="C2252" s="566">
        <f t="shared" si="35"/>
        <v>2946</v>
      </c>
      <c r="D2252" s="700" t="s">
        <v>2248</v>
      </c>
      <c r="E2252" s="701" t="s">
        <v>10124</v>
      </c>
      <c r="F2252" s="566">
        <v>1</v>
      </c>
      <c r="G2252" s="662">
        <v>23849.513615515527</v>
      </c>
      <c r="H2252" s="662">
        <v>24380.103344993215</v>
      </c>
      <c r="I2252" s="662">
        <v>0</v>
      </c>
      <c r="J2252" s="662">
        <v>0</v>
      </c>
      <c r="K2252" s="566" t="s">
        <v>1519</v>
      </c>
      <c r="L2252"/>
      <c r="M2252" s="540"/>
      <c r="O2252" s="540"/>
    </row>
    <row r="2253" spans="1:15">
      <c r="A2253" s="565">
        <v>2947</v>
      </c>
      <c r="B2253" s="696" t="s">
        <v>7656</v>
      </c>
      <c r="C2253" s="566">
        <f t="shared" si="35"/>
        <v>2947</v>
      </c>
      <c r="D2253" s="700" t="s">
        <v>2248</v>
      </c>
      <c r="E2253" s="701" t="s">
        <v>10125</v>
      </c>
      <c r="F2253" s="566">
        <v>1</v>
      </c>
      <c r="G2253" s="662">
        <v>0</v>
      </c>
      <c r="H2253" s="662">
        <v>21799.895517539062</v>
      </c>
      <c r="I2253" s="662">
        <v>0</v>
      </c>
      <c r="J2253" s="662">
        <v>0</v>
      </c>
      <c r="K2253" s="566" t="s">
        <v>4981</v>
      </c>
      <c r="L2253"/>
      <c r="M2253" s="540"/>
      <c r="O2253" s="540"/>
    </row>
    <row r="2254" spans="1:15">
      <c r="A2254" s="565">
        <v>2948</v>
      </c>
      <c r="B2254" s="696" t="s">
        <v>7657</v>
      </c>
      <c r="C2254" s="566">
        <f t="shared" si="35"/>
        <v>2948</v>
      </c>
      <c r="D2254" s="700" t="s">
        <v>2248</v>
      </c>
      <c r="E2254" s="701" t="s">
        <v>10126</v>
      </c>
      <c r="F2254" s="566">
        <v>1</v>
      </c>
      <c r="G2254" s="662">
        <v>0</v>
      </c>
      <c r="H2254" s="662">
        <v>22605.490507899714</v>
      </c>
      <c r="I2254" s="662">
        <v>0</v>
      </c>
      <c r="J2254" s="662">
        <v>0</v>
      </c>
      <c r="K2254" s="566" t="s">
        <v>4982</v>
      </c>
      <c r="L2254"/>
      <c r="M2254" s="540"/>
      <c r="O2254" s="540"/>
    </row>
    <row r="2255" spans="1:15">
      <c r="A2255" s="565">
        <v>2949</v>
      </c>
      <c r="B2255" s="696" t="s">
        <v>7658</v>
      </c>
      <c r="C2255" s="566">
        <f t="shared" si="35"/>
        <v>2949</v>
      </c>
      <c r="D2255" s="700" t="s">
        <v>2248</v>
      </c>
      <c r="E2255" s="701" t="s">
        <v>10127</v>
      </c>
      <c r="F2255" s="566">
        <v>1</v>
      </c>
      <c r="G2255" s="662">
        <v>0</v>
      </c>
      <c r="H2255" s="662">
        <v>22417.925984206082</v>
      </c>
      <c r="I2255" s="662">
        <v>0</v>
      </c>
      <c r="J2255" s="662">
        <v>0</v>
      </c>
      <c r="K2255" s="566" t="s">
        <v>4983</v>
      </c>
      <c r="L2255"/>
      <c r="M2255" s="540"/>
      <c r="O2255" s="540"/>
    </row>
    <row r="2256" spans="1:15">
      <c r="A2256" s="565">
        <v>2950</v>
      </c>
      <c r="B2256" s="696" t="s">
        <v>7659</v>
      </c>
      <c r="C2256" s="566">
        <f t="shared" si="35"/>
        <v>2950</v>
      </c>
      <c r="D2256" s="700" t="s">
        <v>2248</v>
      </c>
      <c r="E2256" s="701" t="s">
        <v>10128</v>
      </c>
      <c r="F2256" s="566">
        <v>1</v>
      </c>
      <c r="G2256" s="662">
        <v>0</v>
      </c>
      <c r="H2256" s="662">
        <v>23223.520974566734</v>
      </c>
      <c r="I2256" s="662">
        <v>0</v>
      </c>
      <c r="J2256" s="662">
        <v>0</v>
      </c>
      <c r="K2256" s="566" t="s">
        <v>4984</v>
      </c>
      <c r="L2256"/>
      <c r="M2256" s="540"/>
      <c r="O2256" s="540"/>
    </row>
    <row r="2257" spans="1:15">
      <c r="A2257" s="565">
        <v>2951</v>
      </c>
      <c r="B2257" s="696" t="s">
        <v>7660</v>
      </c>
      <c r="C2257" s="566">
        <f t="shared" si="35"/>
        <v>2951</v>
      </c>
      <c r="D2257" s="700" t="s">
        <v>2248</v>
      </c>
      <c r="E2257" s="701" t="s">
        <v>10129</v>
      </c>
      <c r="F2257" s="566">
        <v>1</v>
      </c>
      <c r="G2257" s="662">
        <v>22798.454645916667</v>
      </c>
      <c r="H2257" s="662">
        <v>23581.54332623411</v>
      </c>
      <c r="I2257" s="662">
        <v>0</v>
      </c>
      <c r="J2257" s="662">
        <v>0</v>
      </c>
      <c r="K2257" s="566" t="s">
        <v>1520</v>
      </c>
      <c r="L2257"/>
      <c r="M2257" s="540"/>
      <c r="O2257" s="540"/>
    </row>
    <row r="2258" spans="1:15">
      <c r="A2258" s="565">
        <v>2952</v>
      </c>
      <c r="B2258" s="696" t="s">
        <v>7661</v>
      </c>
      <c r="C2258" s="566">
        <f t="shared" si="35"/>
        <v>2952</v>
      </c>
      <c r="D2258" s="700" t="s">
        <v>2248</v>
      </c>
      <c r="E2258" s="701" t="s">
        <v>10130</v>
      </c>
      <c r="F2258" s="566">
        <v>1</v>
      </c>
      <c r="G2258" s="662">
        <v>0</v>
      </c>
      <c r="H2258" s="662">
        <v>26079.089195099725</v>
      </c>
      <c r="I2258" s="662">
        <v>0</v>
      </c>
      <c r="J2258" s="662">
        <v>0</v>
      </c>
      <c r="K2258" s="566" t="s">
        <v>4985</v>
      </c>
      <c r="L2258"/>
      <c r="M2258" s="540"/>
      <c r="O2258" s="540"/>
    </row>
    <row r="2259" spans="1:15">
      <c r="A2259" s="565">
        <v>2953</v>
      </c>
      <c r="B2259" s="696" t="s">
        <v>7662</v>
      </c>
      <c r="C2259" s="566">
        <f t="shared" si="35"/>
        <v>2953</v>
      </c>
      <c r="D2259" s="700" t="s">
        <v>2248</v>
      </c>
      <c r="E2259" s="701" t="s">
        <v>10131</v>
      </c>
      <c r="F2259" s="566">
        <v>1</v>
      </c>
      <c r="G2259" s="662">
        <v>0</v>
      </c>
      <c r="H2259" s="662">
        <v>26532.236377177596</v>
      </c>
      <c r="I2259" s="662">
        <v>0</v>
      </c>
      <c r="J2259" s="662">
        <v>0</v>
      </c>
      <c r="K2259" s="566" t="s">
        <v>4986</v>
      </c>
      <c r="L2259"/>
      <c r="M2259" s="540"/>
      <c r="O2259" s="540"/>
    </row>
    <row r="2260" spans="1:15">
      <c r="A2260" s="565">
        <v>2954</v>
      </c>
      <c r="B2260" s="696" t="s">
        <v>7663</v>
      </c>
      <c r="C2260" s="566">
        <f t="shared" si="35"/>
        <v>2954</v>
      </c>
      <c r="D2260" s="700" t="s">
        <v>2248</v>
      </c>
      <c r="E2260" s="701" t="s">
        <v>10132</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7664</v>
      </c>
      <c r="C2261" s="566">
        <f t="shared" si="35"/>
        <v>2955</v>
      </c>
      <c r="D2261" s="700" t="s">
        <v>2248</v>
      </c>
      <c r="E2261" s="701" t="s">
        <v>10133</v>
      </c>
      <c r="F2261" s="566">
        <v>1</v>
      </c>
      <c r="G2261" s="662">
        <v>0</v>
      </c>
      <c r="H2261" s="662">
        <v>27099.556466016264</v>
      </c>
      <c r="I2261" s="662">
        <v>0</v>
      </c>
      <c r="J2261" s="662">
        <v>0</v>
      </c>
      <c r="K2261" s="566" t="s">
        <v>4987</v>
      </c>
      <c r="L2261"/>
      <c r="M2261" s="540"/>
      <c r="O2261" s="540"/>
    </row>
    <row r="2262" spans="1:15">
      <c r="A2262" s="565">
        <v>2956</v>
      </c>
      <c r="B2262" s="696" t="s">
        <v>7665</v>
      </c>
      <c r="C2262" s="566">
        <f t="shared" si="35"/>
        <v>2956</v>
      </c>
      <c r="D2262" s="700" t="s">
        <v>2248</v>
      </c>
      <c r="E2262" s="701" t="s">
        <v>10134</v>
      </c>
      <c r="F2262" s="566">
        <v>1</v>
      </c>
      <c r="G2262" s="662">
        <v>0</v>
      </c>
      <c r="H2262" s="662">
        <v>27905.151456376912</v>
      </c>
      <c r="I2262" s="662">
        <v>0</v>
      </c>
      <c r="J2262" s="662">
        <v>0</v>
      </c>
      <c r="K2262" s="566" t="s">
        <v>4988</v>
      </c>
      <c r="L2262"/>
      <c r="M2262" s="540"/>
      <c r="O2262" s="540"/>
    </row>
    <row r="2263" spans="1:15">
      <c r="A2263" s="565">
        <v>2957</v>
      </c>
      <c r="B2263" s="696" t="s">
        <v>7666</v>
      </c>
      <c r="C2263" s="566">
        <f t="shared" si="35"/>
        <v>2957</v>
      </c>
      <c r="D2263" s="700" t="s">
        <v>2248</v>
      </c>
      <c r="E2263" s="701" t="s">
        <v>10135</v>
      </c>
      <c r="F2263" s="566">
        <v>1</v>
      </c>
      <c r="G2263" s="662">
        <v>0</v>
      </c>
      <c r="H2263" s="662">
        <v>28358.298638454777</v>
      </c>
      <c r="I2263" s="662">
        <v>0</v>
      </c>
      <c r="J2263" s="662">
        <v>0</v>
      </c>
      <c r="K2263" s="566" t="s">
        <v>4989</v>
      </c>
      <c r="L2263"/>
      <c r="M2263" s="540"/>
      <c r="O2263" s="540"/>
    </row>
    <row r="2264" spans="1:15">
      <c r="A2264" s="565">
        <v>2958</v>
      </c>
      <c r="B2264" s="696" t="s">
        <v>7667</v>
      </c>
      <c r="C2264" s="566">
        <f t="shared" si="35"/>
        <v>2958</v>
      </c>
      <c r="D2264" s="700" t="s">
        <v>2248</v>
      </c>
      <c r="E2264" s="701" t="s">
        <v>10136</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7668</v>
      </c>
      <c r="C2265" s="566">
        <f t="shared" si="35"/>
        <v>2959</v>
      </c>
      <c r="D2265" s="699" t="s">
        <v>2248</v>
      </c>
      <c r="E2265" s="701" t="s">
        <v>10137</v>
      </c>
      <c r="F2265" s="567">
        <v>1</v>
      </c>
      <c r="G2265" s="662">
        <v>14569.905311961862</v>
      </c>
      <c r="H2265" s="662">
        <v>15117.203333429867</v>
      </c>
      <c r="I2265" s="662">
        <v>0</v>
      </c>
      <c r="J2265" s="662">
        <v>0</v>
      </c>
      <c r="K2265" s="568" t="s">
        <v>1523</v>
      </c>
      <c r="L2265"/>
      <c r="M2265" s="540"/>
      <c r="O2265" s="540"/>
    </row>
    <row r="2266" spans="1:15">
      <c r="A2266" s="565">
        <v>2960</v>
      </c>
      <c r="B2266" s="695" t="s">
        <v>7669</v>
      </c>
      <c r="C2266" s="566">
        <f t="shared" si="35"/>
        <v>2960</v>
      </c>
      <c r="D2266" s="699" t="s">
        <v>2248</v>
      </c>
      <c r="E2266" s="701" t="s">
        <v>10138</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7670</v>
      </c>
      <c r="C2267" s="566">
        <f t="shared" si="35"/>
        <v>2961</v>
      </c>
      <c r="D2267" s="699" t="s">
        <v>2248</v>
      </c>
      <c r="E2267" s="701" t="s">
        <v>10139</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7671</v>
      </c>
      <c r="C2268" s="566">
        <f t="shared" si="35"/>
        <v>2962</v>
      </c>
      <c r="D2268" s="699" t="s">
        <v>2248</v>
      </c>
      <c r="E2268" s="701" t="s">
        <v>10140</v>
      </c>
      <c r="F2268" s="567">
        <v>1</v>
      </c>
      <c r="G2268" s="662">
        <v>16766.903698684248</v>
      </c>
      <c r="H2268" s="662">
        <v>17412.04775778954</v>
      </c>
      <c r="I2268" s="662">
        <v>0</v>
      </c>
      <c r="J2268" s="662">
        <v>0</v>
      </c>
      <c r="K2268" s="568" t="s">
        <v>1526</v>
      </c>
      <c r="L2268"/>
      <c r="M2268" s="540"/>
      <c r="O2268" s="540"/>
    </row>
    <row r="2269" spans="1:15">
      <c r="A2269" s="565">
        <v>2963</v>
      </c>
      <c r="B2269" s="696" t="s">
        <v>7672</v>
      </c>
      <c r="C2269" s="566">
        <f t="shared" si="35"/>
        <v>2963</v>
      </c>
      <c r="D2269" s="700" t="s">
        <v>2248</v>
      </c>
      <c r="E2269" s="701" t="s">
        <v>10141</v>
      </c>
      <c r="F2269" s="566">
        <v>1</v>
      </c>
      <c r="G2269" s="662">
        <v>15791.440371495401</v>
      </c>
      <c r="H2269" s="662">
        <v>16393.120483533672</v>
      </c>
      <c r="I2269" s="662">
        <v>0</v>
      </c>
      <c r="J2269" s="662">
        <v>0</v>
      </c>
      <c r="K2269" s="566" t="s">
        <v>1527</v>
      </c>
      <c r="L2269"/>
      <c r="M2269" s="540"/>
      <c r="O2269" s="540"/>
    </row>
    <row r="2270" spans="1:15">
      <c r="A2270" s="565">
        <v>2964</v>
      </c>
      <c r="B2270" s="696" t="s">
        <v>7673</v>
      </c>
      <c r="C2270" s="566">
        <f t="shared" si="35"/>
        <v>2964</v>
      </c>
      <c r="D2270" s="700" t="s">
        <v>2248</v>
      </c>
      <c r="E2270" s="701" t="s">
        <v>10142</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7674</v>
      </c>
      <c r="C2271" s="566">
        <f t="shared" si="35"/>
        <v>2965</v>
      </c>
      <c r="D2271" s="700" t="s">
        <v>2248</v>
      </c>
      <c r="E2271" s="701" t="s">
        <v>10143</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7675</v>
      </c>
      <c r="C2272" s="566">
        <f t="shared" si="35"/>
        <v>2966</v>
      </c>
      <c r="D2272" s="700" t="s">
        <v>2248</v>
      </c>
      <c r="E2272" s="701" t="s">
        <v>10144</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7676</v>
      </c>
      <c r="C2273" s="566">
        <f t="shared" si="35"/>
        <v>2967</v>
      </c>
      <c r="D2273" s="700" t="s">
        <v>2248</v>
      </c>
      <c r="E2273" s="701" t="s">
        <v>10145</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7677</v>
      </c>
      <c r="C2274" s="566">
        <f t="shared" si="35"/>
        <v>2968</v>
      </c>
      <c r="D2274" s="700" t="s">
        <v>2248</v>
      </c>
      <c r="E2274" s="701" t="s">
        <v>10146</v>
      </c>
      <c r="F2274" s="566">
        <v>1</v>
      </c>
      <c r="G2274" s="662">
        <v>0</v>
      </c>
      <c r="H2274" s="662">
        <v>20266.781125340098</v>
      </c>
      <c r="I2274" s="662">
        <v>0</v>
      </c>
      <c r="J2274" s="662">
        <v>0</v>
      </c>
      <c r="K2274" s="566" t="s">
        <v>3238</v>
      </c>
      <c r="L2274"/>
      <c r="M2274" s="540"/>
      <c r="O2274" s="540"/>
    </row>
    <row r="2275" spans="1:15">
      <c r="A2275" s="565">
        <v>2969</v>
      </c>
      <c r="B2275" s="696" t="s">
        <v>7678</v>
      </c>
      <c r="C2275" s="566">
        <f t="shared" si="35"/>
        <v>2969</v>
      </c>
      <c r="D2275" s="700" t="s">
        <v>2248</v>
      </c>
      <c r="E2275" s="701" t="s">
        <v>10147</v>
      </c>
      <c r="F2275" s="566">
        <v>1</v>
      </c>
      <c r="G2275" s="662">
        <v>0</v>
      </c>
      <c r="H2275" s="662">
        <v>18737.254628307994</v>
      </c>
      <c r="I2275" s="662">
        <v>0</v>
      </c>
      <c r="J2275" s="662">
        <v>0</v>
      </c>
      <c r="K2275" s="566" t="s">
        <v>3239</v>
      </c>
      <c r="L2275"/>
      <c r="M2275" s="540"/>
      <c r="O2275" s="540"/>
    </row>
    <row r="2276" spans="1:15">
      <c r="A2276" s="565">
        <v>2970</v>
      </c>
      <c r="B2276" s="696" t="s">
        <v>7679</v>
      </c>
      <c r="C2276" s="566">
        <f t="shared" si="35"/>
        <v>2970</v>
      </c>
      <c r="D2276" s="700" t="s">
        <v>2248</v>
      </c>
      <c r="E2276" s="701" t="s">
        <v>10148</v>
      </c>
      <c r="F2276" s="566">
        <v>1</v>
      </c>
      <c r="G2276" s="662">
        <v>0</v>
      </c>
      <c r="H2276" s="662">
        <v>19416.007121436021</v>
      </c>
      <c r="I2276" s="662">
        <v>0</v>
      </c>
      <c r="J2276" s="662">
        <v>0</v>
      </c>
      <c r="K2276" s="566" t="s">
        <v>3240</v>
      </c>
      <c r="L2276"/>
      <c r="M2276" s="540"/>
      <c r="O2276" s="540"/>
    </row>
    <row r="2277" spans="1:15">
      <c r="A2277" s="565">
        <v>2971</v>
      </c>
      <c r="B2277" s="696" t="s">
        <v>7680</v>
      </c>
      <c r="C2277" s="566">
        <f t="shared" si="35"/>
        <v>2971</v>
      </c>
      <c r="D2277" s="700" t="s">
        <v>2248</v>
      </c>
      <c r="E2277" s="701" t="s">
        <v>10149</v>
      </c>
      <c r="F2277" s="566">
        <v>1</v>
      </c>
      <c r="G2277" s="662">
        <v>0</v>
      </c>
      <c r="H2277" s="662">
        <v>17886.480624403914</v>
      </c>
      <c r="I2277" s="662">
        <v>0</v>
      </c>
      <c r="J2277" s="662">
        <v>0</v>
      </c>
      <c r="K2277" s="566" t="s">
        <v>3241</v>
      </c>
      <c r="L2277"/>
      <c r="M2277" s="540"/>
      <c r="O2277" s="540"/>
    </row>
    <row r="2278" spans="1:15">
      <c r="A2278" s="565">
        <v>2972</v>
      </c>
      <c r="B2278" s="695" t="s">
        <v>7681</v>
      </c>
      <c r="C2278" s="566">
        <f t="shared" si="35"/>
        <v>2972</v>
      </c>
      <c r="D2278" s="699" t="s">
        <v>2248</v>
      </c>
      <c r="E2278" s="701" t="s">
        <v>10150</v>
      </c>
      <c r="F2278" s="567">
        <v>1</v>
      </c>
      <c r="G2278" s="662">
        <v>17426.061933970785</v>
      </c>
      <c r="H2278" s="662">
        <v>0</v>
      </c>
      <c r="I2278" s="662">
        <v>0</v>
      </c>
      <c r="J2278" s="662">
        <v>0</v>
      </c>
      <c r="K2278" s="568" t="s">
        <v>5376</v>
      </c>
      <c r="L2278"/>
      <c r="M2278" s="540"/>
      <c r="O2278" s="540"/>
    </row>
    <row r="2279" spans="1:15">
      <c r="A2279" s="565">
        <v>2973</v>
      </c>
      <c r="B2279" s="696" t="s">
        <v>7682</v>
      </c>
      <c r="C2279" s="566">
        <f t="shared" si="35"/>
        <v>2973</v>
      </c>
      <c r="D2279" s="700" t="s">
        <v>2248</v>
      </c>
      <c r="E2279" s="701" t="s">
        <v>10151</v>
      </c>
      <c r="F2279" s="566">
        <v>1</v>
      </c>
      <c r="G2279" s="662">
        <v>16489.617139869493</v>
      </c>
      <c r="H2279" s="662">
        <v>0</v>
      </c>
      <c r="I2279" s="662">
        <v>0</v>
      </c>
      <c r="J2279" s="662">
        <v>0</v>
      </c>
      <c r="K2279" s="566" t="s">
        <v>5377</v>
      </c>
      <c r="L2279"/>
      <c r="M2279" s="540"/>
      <c r="O2279" s="540"/>
    </row>
    <row r="2280" spans="1:15">
      <c r="A2280" s="565">
        <v>2974</v>
      </c>
      <c r="B2280" s="696" t="s">
        <v>7683</v>
      </c>
      <c r="C2280" s="566">
        <f t="shared" si="35"/>
        <v>2974</v>
      </c>
      <c r="D2280" s="700" t="s">
        <v>2248</v>
      </c>
      <c r="E2280" s="701" t="s">
        <v>10152</v>
      </c>
      <c r="F2280" s="566">
        <v>1</v>
      </c>
      <c r="G2280" s="662">
        <v>17582.136066320996</v>
      </c>
      <c r="H2280" s="662">
        <v>0</v>
      </c>
      <c r="I2280" s="662">
        <v>0</v>
      </c>
      <c r="J2280" s="662">
        <v>0</v>
      </c>
      <c r="K2280" s="566" t="s">
        <v>5378</v>
      </c>
      <c r="L2280"/>
      <c r="M2280" s="540"/>
      <c r="O2280" s="540"/>
    </row>
    <row r="2281" spans="1:15">
      <c r="A2281" s="565">
        <v>2975</v>
      </c>
      <c r="B2281" s="696" t="s">
        <v>7684</v>
      </c>
      <c r="C2281" s="566">
        <f t="shared" si="35"/>
        <v>2975</v>
      </c>
      <c r="D2281" s="700" t="s">
        <v>2248</v>
      </c>
      <c r="E2281" s="701" t="s">
        <v>10153</v>
      </c>
      <c r="F2281" s="566">
        <v>1</v>
      </c>
      <c r="G2281" s="662">
        <v>16645.691272219705</v>
      </c>
      <c r="H2281" s="662">
        <v>0</v>
      </c>
      <c r="I2281" s="662">
        <v>0</v>
      </c>
      <c r="J2281" s="662">
        <v>0</v>
      </c>
      <c r="K2281" s="566" t="s">
        <v>5379</v>
      </c>
      <c r="L2281"/>
      <c r="M2281" s="540"/>
      <c r="O2281" s="540"/>
    </row>
    <row r="2282" spans="1:15">
      <c r="A2282" s="565">
        <v>2976</v>
      </c>
      <c r="B2282" s="695" t="s">
        <v>7685</v>
      </c>
      <c r="C2282" s="566">
        <f t="shared" si="35"/>
        <v>2976</v>
      </c>
      <c r="D2282" s="699" t="s">
        <v>2248</v>
      </c>
      <c r="E2282" s="701" t="s">
        <v>10154</v>
      </c>
      <c r="F2282" s="567">
        <v>1</v>
      </c>
      <c r="G2282" s="662">
        <v>18206.432595721853</v>
      </c>
      <c r="H2282" s="662">
        <v>0</v>
      </c>
      <c r="I2282" s="662">
        <v>0</v>
      </c>
      <c r="J2282" s="662">
        <v>0</v>
      </c>
      <c r="K2282" s="568" t="s">
        <v>5380</v>
      </c>
      <c r="L2282"/>
      <c r="M2282" s="540"/>
      <c r="O2282" s="540"/>
    </row>
    <row r="2283" spans="1:15">
      <c r="A2283" s="565">
        <v>2977</v>
      </c>
      <c r="B2283" s="696" t="s">
        <v>7686</v>
      </c>
      <c r="C2283" s="566">
        <f t="shared" si="35"/>
        <v>2977</v>
      </c>
      <c r="D2283" s="700" t="s">
        <v>2248</v>
      </c>
      <c r="E2283" s="701" t="s">
        <v>10155</v>
      </c>
      <c r="F2283" s="566">
        <v>1</v>
      </c>
      <c r="G2283" s="662">
        <v>17113.913669270354</v>
      </c>
      <c r="H2283" s="662">
        <v>0</v>
      </c>
      <c r="I2283" s="662">
        <v>0</v>
      </c>
      <c r="J2283" s="662">
        <v>0</v>
      </c>
      <c r="K2283" s="566" t="s">
        <v>5381</v>
      </c>
      <c r="L2283"/>
      <c r="M2283" s="540"/>
      <c r="O2283" s="540"/>
    </row>
    <row r="2284" spans="1:15">
      <c r="A2284" s="565">
        <v>2978</v>
      </c>
      <c r="B2284" s="696" t="s">
        <v>7687</v>
      </c>
      <c r="C2284" s="566">
        <f t="shared" si="35"/>
        <v>2978</v>
      </c>
      <c r="D2284" s="700" t="s">
        <v>2248</v>
      </c>
      <c r="E2284" s="701" t="s">
        <v>10156</v>
      </c>
      <c r="F2284" s="566">
        <v>1</v>
      </c>
      <c r="G2284" s="662">
        <v>18362.506728072065</v>
      </c>
      <c r="H2284" s="662">
        <v>0</v>
      </c>
      <c r="I2284" s="662">
        <v>0</v>
      </c>
      <c r="J2284" s="662">
        <v>0</v>
      </c>
      <c r="K2284" s="566" t="s">
        <v>5382</v>
      </c>
      <c r="L2284"/>
      <c r="M2284" s="540"/>
      <c r="O2284" s="540"/>
    </row>
    <row r="2285" spans="1:15">
      <c r="A2285" s="565">
        <v>2979</v>
      </c>
      <c r="B2285" s="697" t="s">
        <v>7688</v>
      </c>
      <c r="C2285" s="566">
        <f t="shared" si="35"/>
        <v>2979</v>
      </c>
      <c r="D2285" s="699" t="s">
        <v>2248</v>
      </c>
      <c r="E2285" s="701" t="s">
        <v>10157</v>
      </c>
      <c r="F2285" s="567">
        <v>1</v>
      </c>
      <c r="G2285" s="662">
        <v>17269.987801620566</v>
      </c>
      <c r="H2285" s="662">
        <v>0</v>
      </c>
      <c r="I2285" s="662">
        <v>0</v>
      </c>
      <c r="J2285" s="662">
        <v>0</v>
      </c>
      <c r="K2285" s="568" t="s">
        <v>5383</v>
      </c>
      <c r="L2285"/>
      <c r="M2285" s="540"/>
      <c r="O2285" s="540"/>
    </row>
    <row r="2286" spans="1:15">
      <c r="A2286" s="565">
        <v>2980</v>
      </c>
      <c r="B2286" s="697" t="s">
        <v>7689</v>
      </c>
      <c r="C2286" s="566">
        <f t="shared" si="35"/>
        <v>2980</v>
      </c>
      <c r="D2286" s="699" t="s">
        <v>2248</v>
      </c>
      <c r="E2286" s="701" t="s">
        <v>10158</v>
      </c>
      <c r="F2286" s="567">
        <v>1</v>
      </c>
      <c r="G2286" s="662">
        <v>0</v>
      </c>
      <c r="H2286" s="662">
        <v>19050.183263670177</v>
      </c>
      <c r="I2286" s="662">
        <v>0</v>
      </c>
      <c r="J2286" s="662">
        <v>0</v>
      </c>
      <c r="K2286" s="568" t="s">
        <v>3242</v>
      </c>
      <c r="L2286"/>
      <c r="M2286" s="540"/>
      <c r="O2286" s="540"/>
    </row>
    <row r="2287" spans="1:15">
      <c r="A2287" s="565">
        <v>2981</v>
      </c>
      <c r="B2287" s="697" t="s">
        <v>7690</v>
      </c>
      <c r="C2287" s="566">
        <f t="shared" si="35"/>
        <v>2981</v>
      </c>
      <c r="D2287" s="699" t="s">
        <v>2248</v>
      </c>
      <c r="E2287" s="701" t="s">
        <v>10159</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7691</v>
      </c>
      <c r="C2288" s="566">
        <f t="shared" si="35"/>
        <v>2982</v>
      </c>
      <c r="D2288" s="699" t="s">
        <v>2248</v>
      </c>
      <c r="E2288" s="701" t="s">
        <v>10160</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7692</v>
      </c>
      <c r="C2289" s="566">
        <f t="shared" si="35"/>
        <v>2983</v>
      </c>
      <c r="D2289" s="699" t="s">
        <v>2248</v>
      </c>
      <c r="E2289" s="701" t="s">
        <v>10161</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7693</v>
      </c>
      <c r="C2290" s="566">
        <f t="shared" si="35"/>
        <v>2984</v>
      </c>
      <c r="D2290" s="699" t="s">
        <v>2248</v>
      </c>
      <c r="E2290" s="701" t="s">
        <v>10162</v>
      </c>
      <c r="F2290" s="567">
        <v>1</v>
      </c>
      <c r="G2290" s="662">
        <v>24635.126107227181</v>
      </c>
      <c r="H2290" s="662">
        <v>25630.902520111602</v>
      </c>
      <c r="I2290" s="662">
        <v>0</v>
      </c>
      <c r="J2290" s="662">
        <v>0</v>
      </c>
      <c r="K2290" s="568" t="s">
        <v>1532</v>
      </c>
      <c r="L2290"/>
      <c r="M2290" s="540"/>
      <c r="O2290" s="540"/>
    </row>
    <row r="2291" spans="1:15">
      <c r="A2291" s="565">
        <v>2985</v>
      </c>
      <c r="B2291" s="697" t="s">
        <v>7694</v>
      </c>
      <c r="C2291" s="566">
        <f t="shared" si="35"/>
        <v>2985</v>
      </c>
      <c r="D2291" s="699" t="s">
        <v>2248</v>
      </c>
      <c r="E2291" s="701" t="s">
        <v>10163</v>
      </c>
      <c r="F2291" s="567">
        <v>1</v>
      </c>
      <c r="G2291" s="662">
        <v>22947.609322348144</v>
      </c>
      <c r="H2291" s="662">
        <v>23868.140950070119</v>
      </c>
      <c r="I2291" s="662">
        <v>0</v>
      </c>
      <c r="J2291" s="662">
        <v>0</v>
      </c>
      <c r="K2291" s="568" t="s">
        <v>1533</v>
      </c>
      <c r="L2291"/>
      <c r="M2291" s="540"/>
      <c r="O2291" s="540"/>
    </row>
    <row r="2292" spans="1:15">
      <c r="A2292" s="565">
        <v>2986</v>
      </c>
      <c r="B2292" s="696" t="s">
        <v>7695</v>
      </c>
      <c r="C2292" s="566">
        <f t="shared" si="35"/>
        <v>2986</v>
      </c>
      <c r="D2292" s="700" t="s">
        <v>2248</v>
      </c>
      <c r="E2292" s="701" t="s">
        <v>10164</v>
      </c>
      <c r="F2292" s="566">
        <v>1</v>
      </c>
      <c r="G2292" s="662">
        <v>20932.792713986979</v>
      </c>
      <c r="H2292" s="662">
        <v>21763.614754962618</v>
      </c>
      <c r="I2292" s="662">
        <v>0</v>
      </c>
      <c r="J2292" s="662">
        <v>0</v>
      </c>
      <c r="K2292" s="566" t="s">
        <v>1534</v>
      </c>
      <c r="L2292"/>
      <c r="M2292" s="540"/>
      <c r="O2292" s="540"/>
    </row>
    <row r="2293" spans="1:15">
      <c r="A2293" s="565">
        <v>2987</v>
      </c>
      <c r="B2293" s="697" t="s">
        <v>7696</v>
      </c>
      <c r="C2293" s="566">
        <f t="shared" si="35"/>
        <v>2987</v>
      </c>
      <c r="D2293" s="699" t="s">
        <v>2248</v>
      </c>
      <c r="E2293" s="701" t="s">
        <v>10165</v>
      </c>
      <c r="F2293" s="567">
        <v>1</v>
      </c>
      <c r="G2293" s="662">
        <v>19572.081253786226</v>
      </c>
      <c r="H2293" s="662">
        <v>20342.262395813948</v>
      </c>
      <c r="I2293" s="662">
        <v>0</v>
      </c>
      <c r="J2293" s="662">
        <v>0</v>
      </c>
      <c r="K2293" s="568" t="s">
        <v>1535</v>
      </c>
      <c r="L2293"/>
      <c r="M2293" s="540"/>
      <c r="O2293" s="540"/>
    </row>
    <row r="2294" spans="1:15">
      <c r="A2294" s="565">
        <v>2988</v>
      </c>
      <c r="B2294" s="695" t="s">
        <v>7697</v>
      </c>
      <c r="C2294" s="566">
        <f t="shared" si="35"/>
        <v>2988</v>
      </c>
      <c r="D2294" s="699" t="s">
        <v>2248</v>
      </c>
      <c r="E2294" s="701" t="s">
        <v>10166</v>
      </c>
      <c r="F2294" s="567">
        <v>1</v>
      </c>
      <c r="G2294" s="662">
        <v>21721.477030141796</v>
      </c>
      <c r="H2294" s="662">
        <v>22587.41794034759</v>
      </c>
      <c r="I2294" s="662">
        <v>0</v>
      </c>
      <c r="J2294" s="662">
        <v>0</v>
      </c>
      <c r="K2294" s="568" t="s">
        <v>1536</v>
      </c>
      <c r="L2294"/>
      <c r="M2294" s="540"/>
      <c r="O2294" s="540"/>
    </row>
    <row r="2295" spans="1:15">
      <c r="A2295" s="565">
        <v>2989</v>
      </c>
      <c r="B2295" s="695" t="s">
        <v>7698</v>
      </c>
      <c r="C2295" s="566">
        <f t="shared" si="35"/>
        <v>2989</v>
      </c>
      <c r="D2295" s="699" t="s">
        <v>2248</v>
      </c>
      <c r="E2295" s="701" t="s">
        <v>10167</v>
      </c>
      <c r="F2295" s="567">
        <v>1</v>
      </c>
      <c r="G2295" s="662">
        <v>20355.658389482014</v>
      </c>
      <c r="H2295" s="662">
        <v>21160.749773793967</v>
      </c>
      <c r="I2295" s="662">
        <v>0</v>
      </c>
      <c r="J2295" s="662">
        <v>0</v>
      </c>
      <c r="K2295" s="568" t="s">
        <v>1537</v>
      </c>
      <c r="L2295"/>
      <c r="M2295" s="540"/>
      <c r="O2295" s="540"/>
    </row>
    <row r="2296" spans="1:15">
      <c r="A2296" s="565">
        <v>2990</v>
      </c>
      <c r="B2296" s="696" t="s">
        <v>7699</v>
      </c>
      <c r="C2296" s="566">
        <f t="shared" si="35"/>
        <v>2990</v>
      </c>
      <c r="D2296" s="700" t="s">
        <v>2248</v>
      </c>
      <c r="E2296" s="701" t="s">
        <v>10168</v>
      </c>
      <c r="F2296" s="566">
        <v>1</v>
      </c>
      <c r="G2296" s="662">
        <v>22290.537225153737</v>
      </c>
      <c r="H2296" s="662">
        <v>0</v>
      </c>
      <c r="I2296" s="662">
        <v>0</v>
      </c>
      <c r="J2296" s="662">
        <v>0</v>
      </c>
      <c r="K2296" s="566" t="s">
        <v>5384</v>
      </c>
      <c r="L2296"/>
      <c r="M2296" s="540"/>
      <c r="O2296" s="540"/>
    </row>
    <row r="2297" spans="1:15">
      <c r="A2297" s="565">
        <v>2991</v>
      </c>
      <c r="B2297" s="696" t="s">
        <v>7700</v>
      </c>
      <c r="C2297" s="566">
        <f t="shared" si="35"/>
        <v>2991</v>
      </c>
      <c r="D2297" s="700" t="s">
        <v>2248</v>
      </c>
      <c r="E2297" s="701" t="s">
        <v>10169</v>
      </c>
      <c r="F2297" s="566">
        <v>1</v>
      </c>
      <c r="G2297" s="662">
        <v>21917.50551932599</v>
      </c>
      <c r="H2297" s="662">
        <v>0</v>
      </c>
      <c r="I2297" s="662">
        <v>0</v>
      </c>
      <c r="J2297" s="662">
        <v>0</v>
      </c>
      <c r="K2297" s="566" t="s">
        <v>5385</v>
      </c>
      <c r="L2297"/>
      <c r="M2297" s="540"/>
      <c r="O2297" s="540"/>
    </row>
    <row r="2298" spans="1:15">
      <c r="A2298" s="565">
        <v>2992</v>
      </c>
      <c r="B2298" s="696" t="s">
        <v>7701</v>
      </c>
      <c r="C2298" s="566">
        <f t="shared" si="35"/>
        <v>2992</v>
      </c>
      <c r="D2298" s="700" t="s">
        <v>2248</v>
      </c>
      <c r="E2298" s="701" t="s">
        <v>10170</v>
      </c>
      <c r="F2298" s="566">
        <v>1</v>
      </c>
      <c r="G2298" s="662">
        <v>23912.394446753769</v>
      </c>
      <c r="H2298" s="662">
        <v>0</v>
      </c>
      <c r="I2298" s="662">
        <v>0</v>
      </c>
      <c r="J2298" s="662">
        <v>0</v>
      </c>
      <c r="K2298" s="566" t="s">
        <v>5386</v>
      </c>
      <c r="L2298"/>
      <c r="M2298" s="540"/>
      <c r="O2298" s="540"/>
    </row>
    <row r="2299" spans="1:15">
      <c r="A2299" s="565">
        <v>2993</v>
      </c>
      <c r="B2299" s="696" t="s">
        <v>7702</v>
      </c>
      <c r="C2299" s="566">
        <f t="shared" si="35"/>
        <v>2993</v>
      </c>
      <c r="D2299" s="700" t="s">
        <v>2248</v>
      </c>
      <c r="E2299" s="701" t="s">
        <v>10171</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7703</v>
      </c>
      <c r="C2300" s="566">
        <f t="shared" si="35"/>
        <v>2994</v>
      </c>
      <c r="D2300" s="700" t="s">
        <v>2248</v>
      </c>
      <c r="E2300" s="701" t="s">
        <v>10172</v>
      </c>
      <c r="F2300" s="566">
        <v>1</v>
      </c>
      <c r="G2300" s="662">
        <v>0</v>
      </c>
      <c r="H2300" s="662">
        <v>0</v>
      </c>
      <c r="I2300" s="662">
        <v>28669.034831864665</v>
      </c>
      <c r="J2300" s="662">
        <v>30636.23145902314</v>
      </c>
      <c r="K2300" s="566" t="s">
        <v>4990</v>
      </c>
      <c r="L2300"/>
      <c r="M2300" s="540"/>
      <c r="O2300" s="540"/>
    </row>
    <row r="2301" spans="1:15">
      <c r="A2301" s="565">
        <v>2995</v>
      </c>
      <c r="B2301" s="696" t="s">
        <v>7704</v>
      </c>
      <c r="C2301" s="566">
        <f t="shared" si="35"/>
        <v>2995</v>
      </c>
      <c r="D2301" s="700" t="s">
        <v>2248</v>
      </c>
      <c r="E2301" s="701" t="s">
        <v>10173</v>
      </c>
      <c r="F2301" s="566">
        <v>1</v>
      </c>
      <c r="G2301" s="662">
        <v>0</v>
      </c>
      <c r="H2301" s="662">
        <v>0</v>
      </c>
      <c r="I2301" s="662">
        <v>0</v>
      </c>
      <c r="J2301" s="662">
        <v>26964.657541173678</v>
      </c>
      <c r="K2301" s="566" t="s">
        <v>4991</v>
      </c>
      <c r="L2301"/>
      <c r="M2301" s="540"/>
      <c r="O2301" s="540"/>
    </row>
    <row r="2302" spans="1:15">
      <c r="A2302" s="565">
        <v>2996</v>
      </c>
      <c r="B2302" s="695" t="s">
        <v>7705</v>
      </c>
      <c r="C2302" s="566">
        <f t="shared" si="35"/>
        <v>2996</v>
      </c>
      <c r="D2302" s="699" t="s">
        <v>2248</v>
      </c>
      <c r="E2302" s="701" t="s">
        <v>10174</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7706</v>
      </c>
      <c r="C2303" s="566">
        <f t="shared" si="35"/>
        <v>2997</v>
      </c>
      <c r="D2303" s="700" t="s">
        <v>2248</v>
      </c>
      <c r="E2303" s="701" t="s">
        <v>10175</v>
      </c>
      <c r="F2303" s="566">
        <v>1</v>
      </c>
      <c r="G2303" s="662">
        <v>0</v>
      </c>
      <c r="H2303" s="662">
        <v>0</v>
      </c>
      <c r="I2303" s="662">
        <v>29994.425125879887</v>
      </c>
      <c r="J2303" s="662">
        <v>32057.419234290952</v>
      </c>
      <c r="K2303" s="566" t="s">
        <v>4992</v>
      </c>
      <c r="L2303"/>
      <c r="M2303" s="540"/>
      <c r="O2303" s="540"/>
    </row>
    <row r="2304" spans="1:15">
      <c r="A2304" s="565">
        <v>2998</v>
      </c>
      <c r="B2304" s="694" t="s">
        <v>7707</v>
      </c>
      <c r="C2304" s="566">
        <f t="shared" si="35"/>
        <v>2998</v>
      </c>
      <c r="D2304" s="698" t="s">
        <v>2248</v>
      </c>
      <c r="E2304" s="701" t="s">
        <v>10176</v>
      </c>
      <c r="F2304" s="551">
        <v>1</v>
      </c>
      <c r="G2304" s="663">
        <v>0</v>
      </c>
      <c r="H2304" s="663">
        <v>28411.47139948565</v>
      </c>
      <c r="I2304" s="663">
        <v>0</v>
      </c>
      <c r="J2304" s="663">
        <v>0</v>
      </c>
      <c r="K2304" s="654" t="s">
        <v>3248</v>
      </c>
      <c r="L2304"/>
      <c r="M2304" s="540"/>
      <c r="O2304" s="540"/>
    </row>
    <row r="2305" spans="1:15">
      <c r="A2305" s="565">
        <v>2999</v>
      </c>
      <c r="B2305" s="694" t="s">
        <v>7708</v>
      </c>
      <c r="C2305" s="566">
        <f t="shared" si="35"/>
        <v>2999</v>
      </c>
      <c r="D2305" s="698" t="s">
        <v>2248</v>
      </c>
      <c r="E2305" s="701" t="s">
        <v>10177</v>
      </c>
      <c r="F2305" s="551">
        <v>1</v>
      </c>
      <c r="G2305" s="663">
        <v>0</v>
      </c>
      <c r="H2305" s="663">
        <v>29693.752826937212</v>
      </c>
      <c r="I2305" s="663">
        <v>0</v>
      </c>
      <c r="J2305" s="663">
        <v>0</v>
      </c>
      <c r="K2305" s="654" t="s">
        <v>3249</v>
      </c>
      <c r="L2305"/>
      <c r="M2305" s="540"/>
      <c r="O2305" s="540"/>
    </row>
    <row r="2306" spans="1:15">
      <c r="A2306" s="565">
        <v>3000</v>
      </c>
      <c r="B2306" s="694" t="s">
        <v>7709</v>
      </c>
      <c r="C2306" s="566">
        <f t="shared" si="35"/>
        <v>3000</v>
      </c>
      <c r="D2306" s="698" t="s">
        <v>2248</v>
      </c>
      <c r="E2306" s="701" t="s">
        <v>10178</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7710</v>
      </c>
      <c r="C2307" s="566">
        <f t="shared" si="35"/>
        <v>3001</v>
      </c>
      <c r="D2307" s="698" t="s">
        <v>2248</v>
      </c>
      <c r="E2307" s="701" t="s">
        <v>10179</v>
      </c>
      <c r="F2307" s="551">
        <v>1</v>
      </c>
      <c r="G2307" s="663">
        <v>0</v>
      </c>
      <c r="H2307" s="663">
        <v>0</v>
      </c>
      <c r="I2307" s="663">
        <v>20909.519306307979</v>
      </c>
      <c r="J2307" s="663">
        <v>22234.686794547495</v>
      </c>
      <c r="K2307" s="654" t="s">
        <v>4993</v>
      </c>
      <c r="L2307"/>
      <c r="M2307" s="540"/>
      <c r="O2307" s="540"/>
    </row>
    <row r="2308" spans="1:15">
      <c r="A2308" s="565">
        <v>3002</v>
      </c>
      <c r="B2308" s="694" t="s">
        <v>7711</v>
      </c>
      <c r="C2308" s="566">
        <f t="shared" si="35"/>
        <v>3002</v>
      </c>
      <c r="D2308" s="698" t="s">
        <v>2248</v>
      </c>
      <c r="E2308" s="701" t="s">
        <v>10180</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7712</v>
      </c>
      <c r="C2309" s="566">
        <f t="shared" si="35"/>
        <v>3003</v>
      </c>
      <c r="D2309" s="698" t="s">
        <v>2248</v>
      </c>
      <c r="E2309" s="701" t="s">
        <v>10181</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7713</v>
      </c>
      <c r="C2310" s="566">
        <f t="shared" si="35"/>
        <v>3004</v>
      </c>
      <c r="D2310" s="698" t="s">
        <v>2248</v>
      </c>
      <c r="E2310" s="701" t="s">
        <v>10182</v>
      </c>
      <c r="F2310" s="551">
        <v>1</v>
      </c>
      <c r="G2310" s="663">
        <v>21651.92761190224</v>
      </c>
      <c r="H2310" s="663">
        <v>0</v>
      </c>
      <c r="I2310" s="663">
        <v>0</v>
      </c>
      <c r="J2310" s="663">
        <v>0</v>
      </c>
      <c r="K2310" s="654" t="s">
        <v>5387</v>
      </c>
      <c r="L2310"/>
      <c r="M2310" s="540"/>
      <c r="O2310" s="540"/>
    </row>
    <row r="2311" spans="1:15">
      <c r="A2311" s="565">
        <v>3005</v>
      </c>
      <c r="B2311" s="694" t="s">
        <v>7714</v>
      </c>
      <c r="C2311" s="566">
        <f t="shared" si="35"/>
        <v>3005</v>
      </c>
      <c r="D2311" s="698" t="s">
        <v>2248</v>
      </c>
      <c r="E2311" s="701" t="s">
        <v>10183</v>
      </c>
      <c r="F2311" s="551">
        <v>1</v>
      </c>
      <c r="G2311" s="663">
        <v>0</v>
      </c>
      <c r="H2311" s="663">
        <v>0</v>
      </c>
      <c r="I2311" s="663">
        <v>19959.028673821274</v>
      </c>
      <c r="J2311" s="663">
        <v>20553.159072113947</v>
      </c>
      <c r="K2311" s="654" t="s">
        <v>4244</v>
      </c>
      <c r="L2311"/>
      <c r="M2311" s="540"/>
      <c r="O2311" s="540"/>
    </row>
    <row r="2312" spans="1:15">
      <c r="A2312" s="565">
        <v>3006</v>
      </c>
      <c r="B2312" s="694" t="s">
        <v>7715</v>
      </c>
      <c r="C2312" s="566">
        <f t="shared" si="35"/>
        <v>3006</v>
      </c>
      <c r="D2312" s="698" t="s">
        <v>2248</v>
      </c>
      <c r="E2312" s="701" t="s">
        <v>10184</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7716</v>
      </c>
      <c r="C2313" s="566">
        <f t="shared" ref="C2313:C2376" si="36">A2313</f>
        <v>3007</v>
      </c>
      <c r="D2313" s="698" t="s">
        <v>2248</v>
      </c>
      <c r="E2313" s="701" t="s">
        <v>10185</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7717</v>
      </c>
      <c r="C2314" s="566">
        <f t="shared" si="36"/>
        <v>3008</v>
      </c>
      <c r="D2314" s="698" t="s">
        <v>2248</v>
      </c>
      <c r="E2314" s="701" t="s">
        <v>10186</v>
      </c>
      <c r="F2314" s="551">
        <v>1</v>
      </c>
      <c r="G2314" s="663">
        <v>0</v>
      </c>
      <c r="H2314" s="663">
        <v>0</v>
      </c>
      <c r="I2314" s="663">
        <v>20823.859616760772</v>
      </c>
      <c r="J2314" s="663">
        <v>21447.054784850949</v>
      </c>
      <c r="K2314" s="654" t="s">
        <v>4245</v>
      </c>
      <c r="L2314"/>
      <c r="M2314" s="540"/>
      <c r="O2314" s="540"/>
    </row>
    <row r="2315" spans="1:15">
      <c r="A2315" s="565">
        <v>3009</v>
      </c>
      <c r="B2315" s="694" t="s">
        <v>7718</v>
      </c>
      <c r="C2315" s="566">
        <f t="shared" si="36"/>
        <v>3009</v>
      </c>
      <c r="D2315" s="698" t="s">
        <v>2248</v>
      </c>
      <c r="E2315" s="701" t="s">
        <v>10187</v>
      </c>
      <c r="F2315" s="551">
        <v>1</v>
      </c>
      <c r="G2315" s="663">
        <v>0</v>
      </c>
      <c r="H2315" s="663">
        <v>0</v>
      </c>
      <c r="I2315" s="663">
        <v>24104.311218793107</v>
      </c>
      <c r="J2315" s="663">
        <v>25741.611082841984</v>
      </c>
      <c r="K2315" s="654" t="s">
        <v>4994</v>
      </c>
      <c r="L2315"/>
      <c r="M2315" s="540"/>
      <c r="O2315" s="540"/>
    </row>
    <row r="2316" spans="1:15">
      <c r="A2316" s="565">
        <v>3010</v>
      </c>
      <c r="B2316" s="694" t="s">
        <v>7719</v>
      </c>
      <c r="C2316" s="566">
        <f t="shared" si="36"/>
        <v>3010</v>
      </c>
      <c r="D2316" s="698" t="s">
        <v>2248</v>
      </c>
      <c r="E2316" s="701" t="s">
        <v>10188</v>
      </c>
      <c r="F2316" s="551">
        <v>1</v>
      </c>
      <c r="G2316" s="663">
        <v>0</v>
      </c>
      <c r="H2316" s="663">
        <v>0</v>
      </c>
      <c r="I2316" s="663">
        <v>22377.824972846247</v>
      </c>
      <c r="J2316" s="663">
        <v>23866.127201005198</v>
      </c>
      <c r="K2316" s="654" t="s">
        <v>4995</v>
      </c>
      <c r="L2316"/>
      <c r="M2316" s="540"/>
      <c r="O2316" s="540"/>
    </row>
    <row r="2317" spans="1:15">
      <c r="A2317" s="565">
        <v>3011</v>
      </c>
      <c r="B2317" s="694" t="s">
        <v>7720</v>
      </c>
      <c r="C2317" s="566">
        <f t="shared" si="36"/>
        <v>3011</v>
      </c>
      <c r="D2317" s="698" t="s">
        <v>2248</v>
      </c>
      <c r="E2317" s="701" t="s">
        <v>10189</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7721</v>
      </c>
      <c r="C2318" s="566">
        <f t="shared" si="36"/>
        <v>3012</v>
      </c>
      <c r="D2318" s="698" t="s">
        <v>2248</v>
      </c>
      <c r="E2318" s="701" t="s">
        <v>10190</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7722</v>
      </c>
      <c r="C2319" s="566">
        <f t="shared" si="36"/>
        <v>3013</v>
      </c>
      <c r="D2319" s="698" t="s">
        <v>2248</v>
      </c>
      <c r="E2319" s="701" t="s">
        <v>10191</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7723</v>
      </c>
      <c r="C2320" s="566">
        <f t="shared" si="36"/>
        <v>3014</v>
      </c>
      <c r="D2320" s="698" t="s">
        <v>2248</v>
      </c>
      <c r="E2320" s="701" t="s">
        <v>10192</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7724</v>
      </c>
      <c r="C2321" s="566">
        <f t="shared" si="36"/>
        <v>3015</v>
      </c>
      <c r="D2321" s="698" t="s">
        <v>2248</v>
      </c>
      <c r="E2321" s="701" t="s">
        <v>10193</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7725</v>
      </c>
      <c r="C2322" s="566">
        <f t="shared" si="36"/>
        <v>3016</v>
      </c>
      <c r="D2322" s="698" t="s">
        <v>2248</v>
      </c>
      <c r="E2322" s="701" t="s">
        <v>10194</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7726</v>
      </c>
      <c r="C2323" s="566">
        <f t="shared" si="36"/>
        <v>3017</v>
      </c>
      <c r="D2323" s="698" t="s">
        <v>2248</v>
      </c>
      <c r="E2323" s="701" t="s">
        <v>10195</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7727</v>
      </c>
      <c r="C2324" s="566">
        <f t="shared" si="36"/>
        <v>3018</v>
      </c>
      <c r="D2324" s="698" t="s">
        <v>2248</v>
      </c>
      <c r="E2324" s="701" t="s">
        <v>10196</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7728</v>
      </c>
      <c r="C2325" s="566">
        <f t="shared" si="36"/>
        <v>3019</v>
      </c>
      <c r="D2325" s="698" t="s">
        <v>2248</v>
      </c>
      <c r="E2325" s="701" t="s">
        <v>10197</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7729</v>
      </c>
      <c r="C2326" s="566">
        <f t="shared" si="36"/>
        <v>3020</v>
      </c>
      <c r="D2326" s="698" t="s">
        <v>2248</v>
      </c>
      <c r="E2326" s="701" t="s">
        <v>10198</v>
      </c>
      <c r="F2326" s="551">
        <v>1</v>
      </c>
      <c r="G2326" s="663">
        <v>0</v>
      </c>
      <c r="H2326" s="663">
        <v>0</v>
      </c>
      <c r="I2326" s="663">
        <v>27454.250184070086</v>
      </c>
      <c r="J2326" s="663">
        <v>29365.642453217355</v>
      </c>
      <c r="K2326" s="654" t="s">
        <v>4996</v>
      </c>
      <c r="L2326"/>
      <c r="M2326" s="540"/>
      <c r="O2326" s="540"/>
    </row>
    <row r="2327" spans="1:15">
      <c r="A2327" s="565">
        <v>3021</v>
      </c>
      <c r="B2327" s="694" t="s">
        <v>7730</v>
      </c>
      <c r="C2327" s="566">
        <f t="shared" si="36"/>
        <v>3021</v>
      </c>
      <c r="D2327" s="698" t="s">
        <v>2248</v>
      </c>
      <c r="E2327" s="701" t="s">
        <v>10199</v>
      </c>
      <c r="F2327" s="551">
        <v>1</v>
      </c>
      <c r="G2327" s="663">
        <v>0</v>
      </c>
      <c r="H2327" s="663">
        <v>0</v>
      </c>
      <c r="I2327" s="663">
        <v>25985.944517531818</v>
      </c>
      <c r="J2327" s="663">
        <v>27734.202046759659</v>
      </c>
      <c r="K2327" s="654" t="s">
        <v>4997</v>
      </c>
      <c r="L2327"/>
      <c r="M2327" s="540"/>
      <c r="O2327" s="540"/>
    </row>
    <row r="2328" spans="1:15">
      <c r="A2328" s="565">
        <v>3022</v>
      </c>
      <c r="B2328" s="694" t="s">
        <v>7731</v>
      </c>
      <c r="C2328" s="566">
        <f t="shared" si="36"/>
        <v>3022</v>
      </c>
      <c r="D2328" s="698" t="s">
        <v>2248</v>
      </c>
      <c r="E2328" s="701" t="s">
        <v>10200</v>
      </c>
      <c r="F2328" s="551">
        <v>1</v>
      </c>
      <c r="G2328" s="663">
        <v>0</v>
      </c>
      <c r="H2328" s="663">
        <v>0</v>
      </c>
      <c r="I2328" s="663">
        <v>27539.909873617293</v>
      </c>
      <c r="J2328" s="663">
        <v>29460.835387258143</v>
      </c>
      <c r="K2328" s="654" t="s">
        <v>4998</v>
      </c>
      <c r="L2328"/>
      <c r="M2328" s="540"/>
      <c r="O2328" s="540"/>
    </row>
    <row r="2329" spans="1:15">
      <c r="A2329" s="565">
        <v>3023</v>
      </c>
      <c r="B2329" s="694" t="s">
        <v>7732</v>
      </c>
      <c r="C2329" s="566">
        <f t="shared" si="36"/>
        <v>3023</v>
      </c>
      <c r="D2329" s="698" t="s">
        <v>2248</v>
      </c>
      <c r="E2329" s="701" t="s">
        <v>10201</v>
      </c>
      <c r="F2329" s="551">
        <v>1</v>
      </c>
      <c r="G2329" s="663">
        <v>26585.865515639474</v>
      </c>
      <c r="H2329" s="663">
        <v>27448.18235780768</v>
      </c>
      <c r="I2329" s="663">
        <v>0</v>
      </c>
      <c r="J2329" s="663">
        <v>0</v>
      </c>
      <c r="K2329" s="654" t="s">
        <v>1550</v>
      </c>
      <c r="L2329"/>
      <c r="M2329" s="540"/>
      <c r="O2329" s="540"/>
    </row>
    <row r="2330" spans="1:15">
      <c r="A2330" s="565">
        <v>3024</v>
      </c>
      <c r="B2330" s="694" t="s">
        <v>7733</v>
      </c>
      <c r="C2330" s="566">
        <f t="shared" si="36"/>
        <v>3024</v>
      </c>
      <c r="D2330" s="698" t="s">
        <v>2248</v>
      </c>
      <c r="E2330" s="701" t="s">
        <v>10202</v>
      </c>
      <c r="F2330" s="551">
        <v>1</v>
      </c>
      <c r="G2330" s="663">
        <v>0</v>
      </c>
      <c r="H2330" s="663">
        <v>0</v>
      </c>
      <c r="I2330" s="663">
        <v>17684.73187531111</v>
      </c>
      <c r="J2330" s="663">
        <v>18202.410303128428</v>
      </c>
      <c r="K2330" s="654" t="s">
        <v>4246</v>
      </c>
      <c r="L2330"/>
      <c r="M2330" s="540"/>
      <c r="O2330" s="540"/>
    </row>
    <row r="2331" spans="1:15">
      <c r="A2331" s="565">
        <v>3025</v>
      </c>
      <c r="B2331" s="694" t="s">
        <v>7734</v>
      </c>
      <c r="C2331" s="566">
        <f t="shared" si="36"/>
        <v>3025</v>
      </c>
      <c r="D2331" s="698" t="s">
        <v>2248</v>
      </c>
      <c r="E2331" s="701" t="s">
        <v>10203</v>
      </c>
      <c r="F2331" s="551">
        <v>1</v>
      </c>
      <c r="G2331" s="663">
        <v>0</v>
      </c>
      <c r="H2331" s="663">
        <v>0</v>
      </c>
      <c r="I2331" s="663">
        <v>16695.33741672559</v>
      </c>
      <c r="J2331" s="663">
        <v>17179.71924426288</v>
      </c>
      <c r="K2331" s="654" t="s">
        <v>4247</v>
      </c>
      <c r="L2331"/>
      <c r="M2331" s="540"/>
      <c r="O2331" s="540"/>
    </row>
    <row r="2332" spans="1:15">
      <c r="A2332" s="565">
        <v>3026</v>
      </c>
      <c r="B2332" s="694" t="s">
        <v>7735</v>
      </c>
      <c r="C2332" s="566">
        <f t="shared" si="36"/>
        <v>3026</v>
      </c>
      <c r="D2332" s="698" t="s">
        <v>2248</v>
      </c>
      <c r="E2332" s="701" t="s">
        <v>10204</v>
      </c>
      <c r="F2332" s="551">
        <v>1</v>
      </c>
      <c r="G2332" s="663">
        <v>15131.91230344989</v>
      </c>
      <c r="H2332" s="663">
        <v>0</v>
      </c>
      <c r="I2332" s="663">
        <v>0</v>
      </c>
      <c r="J2332" s="663">
        <v>0</v>
      </c>
      <c r="K2332" s="654" t="s">
        <v>5388</v>
      </c>
      <c r="L2332"/>
      <c r="M2332" s="540"/>
      <c r="O2332" s="540"/>
    </row>
    <row r="2333" spans="1:15">
      <c r="A2333" s="565">
        <v>3027</v>
      </c>
      <c r="B2333" s="694" t="s">
        <v>7736</v>
      </c>
      <c r="C2333" s="566">
        <f t="shared" si="36"/>
        <v>3027</v>
      </c>
      <c r="D2333" s="698" t="s">
        <v>2248</v>
      </c>
      <c r="E2333" s="701" t="s">
        <v>10205</v>
      </c>
      <c r="F2333" s="551">
        <v>1</v>
      </c>
      <c r="G2333" s="663">
        <v>14374.727478922163</v>
      </c>
      <c r="H2333" s="663">
        <v>14800.358822664644</v>
      </c>
      <c r="I2333" s="663">
        <v>0</v>
      </c>
      <c r="J2333" s="663">
        <v>0</v>
      </c>
      <c r="K2333" s="654" t="s">
        <v>1551</v>
      </c>
      <c r="L2333"/>
      <c r="M2333" s="540"/>
      <c r="O2333" s="540"/>
    </row>
    <row r="2334" spans="1:15">
      <c r="A2334" s="565">
        <v>3028</v>
      </c>
      <c r="B2334" s="694" t="s">
        <v>7737</v>
      </c>
      <c r="C2334" s="566">
        <f t="shared" si="36"/>
        <v>3028</v>
      </c>
      <c r="D2334" s="698" t="s">
        <v>2248</v>
      </c>
      <c r="E2334" s="701" t="s">
        <v>10206</v>
      </c>
      <c r="F2334" s="551">
        <v>1</v>
      </c>
      <c r="G2334" s="663">
        <v>15184.167105344581</v>
      </c>
      <c r="H2334" s="663">
        <v>0</v>
      </c>
      <c r="I2334" s="663">
        <v>0</v>
      </c>
      <c r="J2334" s="663">
        <v>0</v>
      </c>
      <c r="K2334" s="654" t="s">
        <v>5389</v>
      </c>
      <c r="L2334"/>
      <c r="M2334" s="540"/>
      <c r="O2334" s="540"/>
    </row>
    <row r="2335" spans="1:15">
      <c r="A2335" s="565">
        <v>3029</v>
      </c>
      <c r="B2335" s="694" t="s">
        <v>7738</v>
      </c>
      <c r="C2335" s="566">
        <f t="shared" si="36"/>
        <v>3029</v>
      </c>
      <c r="D2335" s="698" t="s">
        <v>2248</v>
      </c>
      <c r="E2335" s="701" t="s">
        <v>10207</v>
      </c>
      <c r="F2335" s="551">
        <v>1</v>
      </c>
      <c r="G2335" s="657">
        <v>14451.325371455601</v>
      </c>
      <c r="H2335" s="657">
        <v>0</v>
      </c>
      <c r="I2335" s="657">
        <v>0</v>
      </c>
      <c r="J2335" s="657">
        <v>0</v>
      </c>
      <c r="K2335" s="654" t="s">
        <v>5390</v>
      </c>
      <c r="M2335" s="540"/>
      <c r="O2335" s="540"/>
    </row>
    <row r="2336" spans="1:15">
      <c r="A2336" s="565">
        <v>3030</v>
      </c>
      <c r="B2336" s="694" t="s">
        <v>7739</v>
      </c>
      <c r="C2336" s="566">
        <f t="shared" si="36"/>
        <v>3030</v>
      </c>
      <c r="D2336" s="698" t="s">
        <v>2248</v>
      </c>
      <c r="E2336" s="701" t="s">
        <v>10208</v>
      </c>
      <c r="F2336" s="551">
        <v>1</v>
      </c>
      <c r="G2336" s="657">
        <v>15323.088407942663</v>
      </c>
      <c r="H2336" s="657">
        <v>0</v>
      </c>
      <c r="I2336" s="657">
        <v>0</v>
      </c>
      <c r="J2336" s="657">
        <v>0</v>
      </c>
      <c r="K2336" s="654" t="s">
        <v>5391</v>
      </c>
      <c r="M2336" s="540"/>
      <c r="O2336" s="540"/>
    </row>
    <row r="2337" spans="1:15">
      <c r="A2337" s="565">
        <v>3031</v>
      </c>
      <c r="B2337" s="694" t="s">
        <v>7740</v>
      </c>
      <c r="C2337" s="566">
        <f t="shared" si="36"/>
        <v>3031</v>
      </c>
      <c r="D2337" s="698" t="s">
        <v>2248</v>
      </c>
      <c r="E2337" s="701" t="s">
        <v>10209</v>
      </c>
      <c r="F2337" s="551">
        <v>1</v>
      </c>
      <c r="G2337" s="657">
        <v>14565.903583414942</v>
      </c>
      <c r="H2337" s="657">
        <v>0</v>
      </c>
      <c r="I2337" s="657">
        <v>0</v>
      </c>
      <c r="J2337" s="657">
        <v>0</v>
      </c>
      <c r="K2337" s="654" t="s">
        <v>5392</v>
      </c>
      <c r="M2337" s="540"/>
      <c r="O2337" s="540"/>
    </row>
    <row r="2338" spans="1:15">
      <c r="A2338" s="565">
        <v>3032</v>
      </c>
      <c r="B2338" s="694" t="s">
        <v>7741</v>
      </c>
      <c r="C2338" s="566">
        <f t="shared" si="36"/>
        <v>3032</v>
      </c>
      <c r="D2338" s="698" t="s">
        <v>2248</v>
      </c>
      <c r="E2338" s="701" t="s">
        <v>10210</v>
      </c>
      <c r="F2338" s="551">
        <v>1</v>
      </c>
      <c r="G2338" s="657">
        <v>15375.34320983736</v>
      </c>
      <c r="H2338" s="657">
        <v>0</v>
      </c>
      <c r="I2338" s="657">
        <v>0</v>
      </c>
      <c r="J2338" s="657">
        <v>0</v>
      </c>
      <c r="K2338" s="654" t="s">
        <v>5393</v>
      </c>
      <c r="M2338" s="540"/>
      <c r="O2338" s="540"/>
    </row>
    <row r="2339" spans="1:15">
      <c r="A2339" s="565">
        <v>3033</v>
      </c>
      <c r="B2339" s="694" t="s">
        <v>7742</v>
      </c>
      <c r="C2339" s="566">
        <f t="shared" si="36"/>
        <v>3033</v>
      </c>
      <c r="D2339" s="698" t="s">
        <v>2248</v>
      </c>
      <c r="E2339" s="701" t="s">
        <v>10211</v>
      </c>
      <c r="F2339" s="551">
        <v>1</v>
      </c>
      <c r="G2339" s="657">
        <v>14642.50147594838</v>
      </c>
      <c r="H2339" s="657">
        <v>0</v>
      </c>
      <c r="I2339" s="657">
        <v>0</v>
      </c>
      <c r="J2339" s="657">
        <v>0</v>
      </c>
      <c r="K2339" s="654" t="s">
        <v>5394</v>
      </c>
      <c r="M2339" s="540"/>
      <c r="O2339" s="540"/>
    </row>
    <row r="2340" spans="1:15">
      <c r="A2340" s="565">
        <v>3034</v>
      </c>
      <c r="B2340" s="694" t="s">
        <v>7743</v>
      </c>
      <c r="C2340" s="566">
        <f t="shared" si="36"/>
        <v>3034</v>
      </c>
      <c r="D2340" s="698" t="s">
        <v>2248</v>
      </c>
      <c r="E2340" s="701" t="s">
        <v>10212</v>
      </c>
      <c r="F2340" s="551">
        <v>1</v>
      </c>
      <c r="G2340" s="657">
        <v>15037.598758566781</v>
      </c>
      <c r="H2340" s="657">
        <v>0</v>
      </c>
      <c r="I2340" s="657">
        <v>0</v>
      </c>
      <c r="J2340" s="657">
        <v>0</v>
      </c>
      <c r="K2340" s="654" t="s">
        <v>5395</v>
      </c>
      <c r="M2340" s="540"/>
      <c r="O2340" s="540"/>
    </row>
    <row r="2341" spans="1:15">
      <c r="A2341" s="565">
        <v>3035</v>
      </c>
      <c r="B2341" s="694" t="s">
        <v>7744</v>
      </c>
      <c r="C2341" s="566">
        <f t="shared" si="36"/>
        <v>3035</v>
      </c>
      <c r="D2341" s="698" t="s">
        <v>2248</v>
      </c>
      <c r="E2341" s="701" t="s">
        <v>10213</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7745</v>
      </c>
      <c r="C2342" s="566">
        <f t="shared" si="36"/>
        <v>3036</v>
      </c>
      <c r="D2342" s="698" t="s">
        <v>2248</v>
      </c>
      <c r="E2342" s="701" t="s">
        <v>10214</v>
      </c>
      <c r="F2342" s="551">
        <v>1</v>
      </c>
      <c r="G2342" s="657">
        <v>17025.830245291672</v>
      </c>
      <c r="H2342" s="657">
        <v>0</v>
      </c>
      <c r="I2342" s="657">
        <v>0</v>
      </c>
      <c r="J2342" s="657">
        <v>0</v>
      </c>
      <c r="K2342" s="654" t="s">
        <v>5396</v>
      </c>
      <c r="M2342" s="540"/>
      <c r="O2342" s="540"/>
    </row>
    <row r="2343" spans="1:15">
      <c r="A2343" s="565">
        <v>3037</v>
      </c>
      <c r="B2343" s="694" t="s">
        <v>7746</v>
      </c>
      <c r="C2343" s="566">
        <f t="shared" si="36"/>
        <v>3037</v>
      </c>
      <c r="D2343" s="698" t="s">
        <v>2248</v>
      </c>
      <c r="E2343" s="701" t="s">
        <v>10215</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7747</v>
      </c>
      <c r="C2344" s="566">
        <f t="shared" si="36"/>
        <v>3038</v>
      </c>
      <c r="D2344" s="698" t="s">
        <v>2248</v>
      </c>
      <c r="E2344" s="701" t="s">
        <v>10216</v>
      </c>
      <c r="F2344" s="551">
        <v>1</v>
      </c>
      <c r="G2344" s="657">
        <v>0</v>
      </c>
      <c r="H2344" s="657">
        <v>0</v>
      </c>
      <c r="I2344" s="657">
        <v>25010.209704236833</v>
      </c>
      <c r="J2344" s="657">
        <v>25864.360367428086</v>
      </c>
      <c r="K2344" s="654" t="s">
        <v>4248</v>
      </c>
      <c r="M2344" s="540"/>
      <c r="O2344" s="540"/>
    </row>
    <row r="2345" spans="1:15">
      <c r="A2345" s="565">
        <v>3039</v>
      </c>
      <c r="B2345" s="694" t="s">
        <v>7748</v>
      </c>
      <c r="C2345" s="566">
        <f t="shared" si="36"/>
        <v>3039</v>
      </c>
      <c r="D2345" s="698" t="s">
        <v>2248</v>
      </c>
      <c r="E2345" s="701" t="s">
        <v>10217</v>
      </c>
      <c r="F2345" s="551">
        <v>1</v>
      </c>
      <c r="G2345" s="657">
        <v>27656.056714798608</v>
      </c>
      <c r="H2345" s="657">
        <v>28578.219267476627</v>
      </c>
      <c r="I2345" s="657">
        <v>0</v>
      </c>
      <c r="J2345" s="657">
        <v>0</v>
      </c>
      <c r="K2345" s="654" t="s">
        <v>1554</v>
      </c>
      <c r="M2345" s="540"/>
      <c r="O2345" s="540"/>
    </row>
    <row r="2346" spans="1:15">
      <c r="A2346" s="565">
        <v>3040</v>
      </c>
      <c r="B2346" s="694" t="s">
        <v>7749</v>
      </c>
      <c r="C2346" s="566">
        <f t="shared" si="36"/>
        <v>3040</v>
      </c>
      <c r="D2346" s="698" t="s">
        <v>2248</v>
      </c>
      <c r="E2346" s="701" t="s">
        <v>10218</v>
      </c>
      <c r="F2346" s="551">
        <v>1</v>
      </c>
      <c r="G2346" s="657">
        <v>36518.253511260744</v>
      </c>
      <c r="H2346" s="657">
        <v>37762.043237355698</v>
      </c>
      <c r="I2346" s="657">
        <v>0</v>
      </c>
      <c r="J2346" s="657">
        <v>0</v>
      </c>
      <c r="K2346" s="654" t="s">
        <v>1555</v>
      </c>
      <c r="M2346" s="540"/>
      <c r="O2346" s="540"/>
    </row>
    <row r="2347" spans="1:15">
      <c r="A2347" s="565">
        <v>3041</v>
      </c>
      <c r="B2347" s="694" t="s">
        <v>7750</v>
      </c>
      <c r="C2347" s="566">
        <f t="shared" si="36"/>
        <v>3041</v>
      </c>
      <c r="D2347" s="698" t="s">
        <v>2248</v>
      </c>
      <c r="E2347" s="701" t="s">
        <v>10219</v>
      </c>
      <c r="F2347" s="551">
        <v>1</v>
      </c>
      <c r="G2347" s="657">
        <v>32870.221719165587</v>
      </c>
      <c r="H2347" s="657">
        <v>33981.600940846154</v>
      </c>
      <c r="I2347" s="657">
        <v>0</v>
      </c>
      <c r="J2347" s="657">
        <v>0</v>
      </c>
      <c r="K2347" s="654" t="s">
        <v>1556</v>
      </c>
      <c r="M2347" s="540"/>
      <c r="O2347" s="540"/>
    </row>
    <row r="2348" spans="1:15">
      <c r="A2348" s="565">
        <v>3042</v>
      </c>
      <c r="B2348" s="694" t="s">
        <v>7751</v>
      </c>
      <c r="C2348" s="566">
        <f t="shared" si="36"/>
        <v>3042</v>
      </c>
      <c r="D2348" s="698" t="s">
        <v>2248</v>
      </c>
      <c r="E2348" s="701" t="s">
        <v>10220</v>
      </c>
      <c r="F2348" s="551">
        <v>1</v>
      </c>
      <c r="G2348" s="657">
        <v>0</v>
      </c>
      <c r="H2348" s="657">
        <v>20200.154154583724</v>
      </c>
      <c r="I2348" s="657">
        <v>20873.503876859588</v>
      </c>
      <c r="J2348" s="657">
        <v>21582.300279937226</v>
      </c>
      <c r="K2348" s="654" t="s">
        <v>3252</v>
      </c>
      <c r="M2348" s="540"/>
      <c r="O2348" s="540"/>
    </row>
    <row r="2349" spans="1:15">
      <c r="A2349" s="565">
        <v>3043</v>
      </c>
      <c r="B2349" s="694" t="s">
        <v>7752</v>
      </c>
      <c r="C2349" s="566">
        <f t="shared" si="36"/>
        <v>3043</v>
      </c>
      <c r="D2349" s="698" t="s">
        <v>2248</v>
      </c>
      <c r="E2349" s="701" t="s">
        <v>10221</v>
      </c>
      <c r="F2349" s="551">
        <v>1</v>
      </c>
      <c r="G2349" s="657">
        <v>0</v>
      </c>
      <c r="H2349" s="657">
        <v>21070.458447327019</v>
      </c>
      <c r="I2349" s="657">
        <v>0</v>
      </c>
      <c r="J2349" s="657">
        <v>0</v>
      </c>
      <c r="K2349" s="654" t="s">
        <v>3253</v>
      </c>
      <c r="M2349" s="540"/>
      <c r="O2349" s="540"/>
    </row>
    <row r="2350" spans="1:15">
      <c r="A2350" s="565">
        <v>3044</v>
      </c>
      <c r="B2350" s="694" t="s">
        <v>7753</v>
      </c>
      <c r="C2350" s="566">
        <f t="shared" si="36"/>
        <v>3044</v>
      </c>
      <c r="D2350" s="698" t="s">
        <v>2248</v>
      </c>
      <c r="E2350" s="701" t="s">
        <v>10222</v>
      </c>
      <c r="F2350" s="551">
        <v>1</v>
      </c>
      <c r="G2350" s="657">
        <v>0</v>
      </c>
      <c r="H2350" s="657">
        <v>0</v>
      </c>
      <c r="I2350" s="657">
        <v>0</v>
      </c>
      <c r="J2350" s="657">
        <v>24187.992168816054</v>
      </c>
      <c r="K2350" s="654" t="s">
        <v>4999</v>
      </c>
      <c r="M2350" s="540"/>
      <c r="O2350" s="540"/>
    </row>
    <row r="2351" spans="1:15">
      <c r="A2351" s="565">
        <v>3045</v>
      </c>
      <c r="B2351" s="694" t="s">
        <v>7754</v>
      </c>
      <c r="C2351" s="566">
        <f t="shared" si="36"/>
        <v>3045</v>
      </c>
      <c r="D2351" s="698" t="s">
        <v>2248</v>
      </c>
      <c r="E2351" s="701" t="s">
        <v>10223</v>
      </c>
      <c r="F2351" s="551">
        <v>1</v>
      </c>
      <c r="G2351" s="657">
        <v>0</v>
      </c>
      <c r="H2351" s="657">
        <v>22989.738775032412</v>
      </c>
      <c r="I2351" s="657">
        <v>0</v>
      </c>
      <c r="J2351" s="657">
        <v>0</v>
      </c>
      <c r="K2351" s="654" t="s">
        <v>3254</v>
      </c>
      <c r="M2351" s="540"/>
      <c r="O2351" s="540"/>
    </row>
    <row r="2352" spans="1:15">
      <c r="A2352" s="565">
        <v>3046</v>
      </c>
      <c r="B2352" s="694" t="s">
        <v>7755</v>
      </c>
      <c r="C2352" s="566">
        <f t="shared" si="36"/>
        <v>3046</v>
      </c>
      <c r="D2352" s="698" t="s">
        <v>2248</v>
      </c>
      <c r="E2352" s="701" t="s">
        <v>10224</v>
      </c>
      <c r="F2352" s="551">
        <v>1</v>
      </c>
      <c r="G2352" s="657">
        <v>0</v>
      </c>
      <c r="H2352" s="657">
        <v>24834.092243097664</v>
      </c>
      <c r="I2352" s="657">
        <v>25681.610946655041</v>
      </c>
      <c r="J2352" s="657">
        <v>26573.769599196334</v>
      </c>
      <c r="K2352" s="654" t="s">
        <v>3255</v>
      </c>
      <c r="M2352" s="540"/>
      <c r="O2352" s="540"/>
    </row>
    <row r="2353" spans="1:15">
      <c r="A2353" s="565">
        <v>3047</v>
      </c>
      <c r="B2353" s="694" t="s">
        <v>7756</v>
      </c>
      <c r="C2353" s="566">
        <f t="shared" si="36"/>
        <v>3047</v>
      </c>
      <c r="D2353" s="698" t="s">
        <v>2248</v>
      </c>
      <c r="E2353" s="701" t="s">
        <v>10225</v>
      </c>
      <c r="F2353" s="551">
        <v>1</v>
      </c>
      <c r="G2353" s="657">
        <v>0</v>
      </c>
      <c r="H2353" s="657">
        <v>25456.561538569676</v>
      </c>
      <c r="I2353" s="657">
        <v>26327.497920282553</v>
      </c>
      <c r="J2353" s="657">
        <v>27244.263429948183</v>
      </c>
      <c r="K2353" s="654" t="s">
        <v>3256</v>
      </c>
      <c r="M2353" s="540"/>
      <c r="O2353" s="540"/>
    </row>
    <row r="2354" spans="1:15">
      <c r="A2354" s="565">
        <v>3048</v>
      </c>
      <c r="B2354" s="694" t="s">
        <v>7757</v>
      </c>
      <c r="C2354" s="566">
        <f t="shared" si="36"/>
        <v>3048</v>
      </c>
      <c r="D2354" s="698" t="s">
        <v>2248</v>
      </c>
      <c r="E2354" s="701" t="s">
        <v>10226</v>
      </c>
      <c r="F2354" s="551">
        <v>1</v>
      </c>
      <c r="G2354" s="657">
        <v>0</v>
      </c>
      <c r="H2354" s="657">
        <v>27300.915006634928</v>
      </c>
      <c r="I2354" s="657">
        <v>0</v>
      </c>
      <c r="J2354" s="657">
        <v>0</v>
      </c>
      <c r="K2354" s="654" t="s">
        <v>3257</v>
      </c>
      <c r="M2354" s="540"/>
      <c r="O2354" s="540"/>
    </row>
    <row r="2355" spans="1:15">
      <c r="A2355" s="565">
        <v>3049</v>
      </c>
      <c r="B2355" s="694" t="s">
        <v>7758</v>
      </c>
      <c r="C2355" s="566">
        <f t="shared" si="36"/>
        <v>3049</v>
      </c>
      <c r="D2355" s="698" t="s">
        <v>2248</v>
      </c>
      <c r="E2355" s="701" t="s">
        <v>10227</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7759</v>
      </c>
      <c r="C2356" s="566">
        <f t="shared" si="36"/>
        <v>3050</v>
      </c>
      <c r="D2356" s="698" t="s">
        <v>2248</v>
      </c>
      <c r="E2356" s="701" t="s">
        <v>10228</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7760</v>
      </c>
      <c r="C2357" s="566">
        <f t="shared" si="36"/>
        <v>3051</v>
      </c>
      <c r="D2357" s="698" t="s">
        <v>2248</v>
      </c>
      <c r="E2357" s="701" t="s">
        <v>10229</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7761</v>
      </c>
      <c r="C2358" s="566">
        <f t="shared" si="36"/>
        <v>3052</v>
      </c>
      <c r="D2358" s="698" t="s">
        <v>2248</v>
      </c>
      <c r="E2358" s="701" t="s">
        <v>10230</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7762</v>
      </c>
      <c r="C2359" s="566">
        <f t="shared" si="36"/>
        <v>3053</v>
      </c>
      <c r="D2359" s="698" t="s">
        <v>2248</v>
      </c>
      <c r="E2359" s="701" t="s">
        <v>10231</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7763</v>
      </c>
      <c r="C2360" s="566">
        <f t="shared" si="36"/>
        <v>3054</v>
      </c>
      <c r="D2360" s="698" t="s">
        <v>2248</v>
      </c>
      <c r="E2360" s="701" t="s">
        <v>10232</v>
      </c>
      <c r="F2360" s="551">
        <v>1</v>
      </c>
      <c r="G2360" s="657">
        <v>0</v>
      </c>
      <c r="H2360" s="657">
        <v>0</v>
      </c>
      <c r="I2360" s="657">
        <v>19460.832756466752</v>
      </c>
      <c r="J2360" s="657">
        <v>19966.120003119035</v>
      </c>
      <c r="K2360" s="654" t="s">
        <v>4253</v>
      </c>
      <c r="M2360" s="540"/>
      <c r="O2360" s="540"/>
    </row>
    <row r="2361" spans="1:15">
      <c r="A2361" s="565">
        <v>3055</v>
      </c>
      <c r="B2361" s="694" t="s">
        <v>7764</v>
      </c>
      <c r="C2361" s="566">
        <f t="shared" si="36"/>
        <v>3055</v>
      </c>
      <c r="D2361" s="698" t="s">
        <v>2248</v>
      </c>
      <c r="E2361" s="701" t="s">
        <v>10233</v>
      </c>
      <c r="F2361" s="551">
        <v>1</v>
      </c>
      <c r="G2361" s="657">
        <v>0</v>
      </c>
      <c r="H2361" s="657">
        <v>0</v>
      </c>
      <c r="I2361" s="657">
        <v>13468.584164522834</v>
      </c>
      <c r="J2361" s="657">
        <v>13797.56783872784</v>
      </c>
      <c r="K2361" s="654" t="s">
        <v>4249</v>
      </c>
      <c r="M2361" s="540"/>
      <c r="O2361" s="540"/>
    </row>
    <row r="2362" spans="1:15">
      <c r="A2362" s="565">
        <v>3056</v>
      </c>
      <c r="B2362" s="694" t="s">
        <v>7765</v>
      </c>
      <c r="C2362" s="566">
        <f t="shared" si="36"/>
        <v>3056</v>
      </c>
      <c r="D2362" s="698" t="s">
        <v>2248</v>
      </c>
      <c r="E2362" s="701" t="s">
        <v>10234</v>
      </c>
      <c r="F2362" s="551">
        <v>1</v>
      </c>
      <c r="G2362" s="657">
        <v>0</v>
      </c>
      <c r="H2362" s="657">
        <v>0</v>
      </c>
      <c r="I2362" s="657">
        <v>14096.333250696547</v>
      </c>
      <c r="J2362" s="657">
        <v>14443.806317444081</v>
      </c>
      <c r="K2362" s="654" t="s">
        <v>4250</v>
      </c>
      <c r="M2362" s="540"/>
      <c r="O2362" s="540"/>
    </row>
    <row r="2363" spans="1:15">
      <c r="A2363" s="565">
        <v>3057</v>
      </c>
      <c r="B2363" s="694" t="s">
        <v>7766</v>
      </c>
      <c r="C2363" s="566">
        <f t="shared" si="36"/>
        <v>3057</v>
      </c>
      <c r="D2363" s="698" t="s">
        <v>2248</v>
      </c>
      <c r="E2363" s="701" t="s">
        <v>10235</v>
      </c>
      <c r="F2363" s="551">
        <v>1</v>
      </c>
      <c r="G2363" s="657">
        <v>0</v>
      </c>
      <c r="H2363" s="657">
        <v>0</v>
      </c>
      <c r="I2363" s="657">
        <v>14523.116192243217</v>
      </c>
      <c r="J2363" s="657">
        <v>14883.139227794574</v>
      </c>
      <c r="K2363" s="654" t="s">
        <v>4251</v>
      </c>
      <c r="M2363" s="540"/>
      <c r="O2363" s="540"/>
    </row>
    <row r="2364" spans="1:15">
      <c r="A2364" s="565">
        <v>3058</v>
      </c>
      <c r="B2364" s="694" t="s">
        <v>7767</v>
      </c>
      <c r="C2364" s="566">
        <f t="shared" si="36"/>
        <v>3058</v>
      </c>
      <c r="D2364" s="698" t="s">
        <v>2248</v>
      </c>
      <c r="E2364" s="701" t="s">
        <v>10236</v>
      </c>
      <c r="F2364" s="551">
        <v>1</v>
      </c>
      <c r="G2364" s="657">
        <v>0</v>
      </c>
      <c r="H2364" s="657">
        <v>0</v>
      </c>
      <c r="I2364" s="657">
        <v>15160.589446705342</v>
      </c>
      <c r="J2364" s="657">
        <v>15539.370323329789</v>
      </c>
      <c r="K2364" s="654" t="s">
        <v>4252</v>
      </c>
      <c r="M2364" s="540"/>
      <c r="O2364" s="540"/>
    </row>
    <row r="2365" spans="1:15">
      <c r="A2365" s="565">
        <v>3059</v>
      </c>
      <c r="B2365" s="694" t="s">
        <v>7768</v>
      </c>
      <c r="C2365" s="566">
        <f t="shared" si="36"/>
        <v>3059</v>
      </c>
      <c r="D2365" s="698" t="s">
        <v>2248</v>
      </c>
      <c r="E2365" s="701" t="s">
        <v>10237</v>
      </c>
      <c r="F2365" s="551">
        <v>1</v>
      </c>
      <c r="G2365" s="657">
        <v>0</v>
      </c>
      <c r="H2365" s="657">
        <v>0</v>
      </c>
      <c r="I2365" s="657">
        <v>15560.36080967311</v>
      </c>
      <c r="J2365" s="657">
        <v>15950.886309509693</v>
      </c>
      <c r="K2365" s="654" t="s">
        <v>4254</v>
      </c>
      <c r="M2365" s="540"/>
      <c r="O2365" s="540"/>
    </row>
    <row r="2366" spans="1:15">
      <c r="A2366" s="565">
        <v>3060</v>
      </c>
      <c r="B2366" s="694" t="s">
        <v>7769</v>
      </c>
      <c r="C2366" s="566">
        <f t="shared" si="36"/>
        <v>3060</v>
      </c>
      <c r="D2366" s="698" t="s">
        <v>2248</v>
      </c>
      <c r="E2366" s="701" t="s">
        <v>10238</v>
      </c>
      <c r="F2366" s="551">
        <v>1</v>
      </c>
      <c r="G2366" s="657">
        <v>0</v>
      </c>
      <c r="H2366" s="657">
        <v>0</v>
      </c>
      <c r="I2366" s="657">
        <v>14609.553243695711</v>
      </c>
      <c r="J2366" s="657">
        <v>14972.12654028742</v>
      </c>
      <c r="K2366" s="654" t="s">
        <v>4255</v>
      </c>
      <c r="M2366" s="540"/>
      <c r="O2366" s="540"/>
    </row>
    <row r="2367" spans="1:15">
      <c r="A2367" s="565">
        <v>3061</v>
      </c>
      <c r="B2367" s="694" t="s">
        <v>7770</v>
      </c>
      <c r="C2367" s="566">
        <f t="shared" si="36"/>
        <v>3061</v>
      </c>
      <c r="D2367" s="698" t="s">
        <v>2248</v>
      </c>
      <c r="E2367" s="701" t="s">
        <v>10239</v>
      </c>
      <c r="F2367" s="551">
        <v>1</v>
      </c>
      <c r="G2367" s="657">
        <v>19254.627409964392</v>
      </c>
      <c r="H2367" s="657">
        <v>19706.673544274272</v>
      </c>
      <c r="I2367" s="657">
        <v>0</v>
      </c>
      <c r="J2367" s="657">
        <v>0</v>
      </c>
      <c r="K2367" s="654" t="s">
        <v>1562</v>
      </c>
      <c r="M2367" s="540"/>
      <c r="O2367" s="540"/>
    </row>
    <row r="2368" spans="1:15">
      <c r="A2368" s="565">
        <v>3062</v>
      </c>
      <c r="B2368" s="694" t="s">
        <v>7771</v>
      </c>
      <c r="C2368" s="566">
        <f t="shared" si="36"/>
        <v>3062</v>
      </c>
      <c r="D2368" s="698" t="s">
        <v>2248</v>
      </c>
      <c r="E2368" s="701" t="s">
        <v>10240</v>
      </c>
      <c r="F2368" s="551">
        <v>1</v>
      </c>
      <c r="G2368" s="657">
        <v>20194.090498407746</v>
      </c>
      <c r="H2368" s="657">
        <v>0</v>
      </c>
      <c r="I2368" s="657">
        <v>0</v>
      </c>
      <c r="J2368" s="657">
        <v>0</v>
      </c>
      <c r="K2368" s="654" t="s">
        <v>5397</v>
      </c>
      <c r="M2368" s="540"/>
      <c r="O2368" s="540"/>
    </row>
    <row r="2369" spans="1:15">
      <c r="A2369" s="565">
        <v>3063</v>
      </c>
      <c r="B2369" s="694" t="s">
        <v>7772</v>
      </c>
      <c r="C2369" s="566">
        <f t="shared" si="36"/>
        <v>3063</v>
      </c>
      <c r="D2369" s="698" t="s">
        <v>2248</v>
      </c>
      <c r="E2369" s="701" t="s">
        <v>10241</v>
      </c>
      <c r="F2369" s="551">
        <v>1</v>
      </c>
      <c r="G2369" s="657">
        <v>17529.14268989065</v>
      </c>
      <c r="H2369" s="657">
        <v>17935.008296298685</v>
      </c>
      <c r="I2369" s="657">
        <v>0</v>
      </c>
      <c r="J2369" s="657">
        <v>0</v>
      </c>
      <c r="K2369" s="654" t="s">
        <v>1563</v>
      </c>
      <c r="M2369" s="540"/>
      <c r="O2369" s="540"/>
    </row>
    <row r="2370" spans="1:15">
      <c r="A2370" s="565">
        <v>3064</v>
      </c>
      <c r="B2370" s="694" t="s">
        <v>7773</v>
      </c>
      <c r="C2370" s="566">
        <f t="shared" si="36"/>
        <v>3064</v>
      </c>
      <c r="D2370" s="698" t="s">
        <v>2248</v>
      </c>
      <c r="E2370" s="701" t="s">
        <v>10242</v>
      </c>
      <c r="F2370" s="551">
        <v>1</v>
      </c>
      <c r="G2370" s="657">
        <v>17788.780686296221</v>
      </c>
      <c r="H2370" s="657">
        <v>0</v>
      </c>
      <c r="I2370" s="657">
        <v>0</v>
      </c>
      <c r="J2370" s="657">
        <v>0</v>
      </c>
      <c r="K2370" s="654" t="s">
        <v>5398</v>
      </c>
      <c r="M2370" s="540"/>
      <c r="O2370" s="540"/>
    </row>
    <row r="2371" spans="1:15">
      <c r="A2371" s="565">
        <v>3065</v>
      </c>
      <c r="B2371" s="694" t="s">
        <v>7774</v>
      </c>
      <c r="C2371" s="566">
        <f t="shared" si="36"/>
        <v>3065</v>
      </c>
      <c r="D2371" s="698" t="s">
        <v>2248</v>
      </c>
      <c r="E2371" s="701" t="s">
        <v>10243</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7775</v>
      </c>
      <c r="C2372" s="566">
        <f t="shared" si="36"/>
        <v>3066</v>
      </c>
      <c r="D2372" s="698" t="s">
        <v>2248</v>
      </c>
      <c r="E2372" s="701" t="s">
        <v>10244</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7776</v>
      </c>
      <c r="C2373" s="566">
        <f t="shared" si="36"/>
        <v>3067</v>
      </c>
      <c r="D2373" s="698" t="s">
        <v>2248</v>
      </c>
      <c r="E2373" s="701" t="s">
        <v>10245</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7777</v>
      </c>
      <c r="C2374" s="566">
        <f t="shared" si="36"/>
        <v>3068</v>
      </c>
      <c r="D2374" s="698" t="s">
        <v>2248</v>
      </c>
      <c r="E2374" s="701" t="s">
        <v>10246</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7778</v>
      </c>
      <c r="C2375" s="566">
        <f t="shared" si="36"/>
        <v>3069</v>
      </c>
      <c r="D2375" s="698" t="s">
        <v>2248</v>
      </c>
      <c r="E2375" s="701" t="s">
        <v>10247</v>
      </c>
      <c r="F2375" s="551">
        <v>1</v>
      </c>
      <c r="G2375" s="657">
        <v>0</v>
      </c>
      <c r="H2375" s="657">
        <v>27930.953321546905</v>
      </c>
      <c r="I2375" s="657">
        <v>0</v>
      </c>
      <c r="J2375" s="657">
        <v>0</v>
      </c>
      <c r="K2375" s="654" t="s">
        <v>3258</v>
      </c>
      <c r="M2375" s="540"/>
      <c r="O2375" s="540"/>
    </row>
    <row r="2376" spans="1:15">
      <c r="A2376" s="565">
        <v>3070</v>
      </c>
      <c r="B2376" s="694" t="s">
        <v>7779</v>
      </c>
      <c r="C2376" s="566">
        <f t="shared" si="36"/>
        <v>3070</v>
      </c>
      <c r="D2376" s="698" t="s">
        <v>2248</v>
      </c>
      <c r="E2376" s="701" t="s">
        <v>10248</v>
      </c>
      <c r="F2376" s="551">
        <v>1</v>
      </c>
      <c r="G2376" s="657">
        <v>21934.94098934143</v>
      </c>
      <c r="H2376" s="657">
        <v>0</v>
      </c>
      <c r="I2376" s="657">
        <v>0</v>
      </c>
      <c r="J2376" s="657">
        <v>0</v>
      </c>
      <c r="K2376" s="654" t="s">
        <v>5399</v>
      </c>
      <c r="M2376" s="540"/>
      <c r="O2376" s="540"/>
    </row>
    <row r="2377" spans="1:15">
      <c r="A2377" s="565">
        <v>3071</v>
      </c>
      <c r="B2377" s="694" t="s">
        <v>7780</v>
      </c>
      <c r="C2377" s="566">
        <f t="shared" ref="C2377:C2440" si="37">A2377</f>
        <v>3071</v>
      </c>
      <c r="D2377" s="698" t="s">
        <v>2248</v>
      </c>
      <c r="E2377" s="701" t="s">
        <v>10249</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7781</v>
      </c>
      <c r="C2378" s="566">
        <f t="shared" si="37"/>
        <v>3072</v>
      </c>
      <c r="D2378" s="698" t="s">
        <v>2248</v>
      </c>
      <c r="E2378" s="701" t="s">
        <v>10250</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7782</v>
      </c>
      <c r="C2379" s="566">
        <f t="shared" si="37"/>
        <v>3073</v>
      </c>
      <c r="D2379" s="698" t="s">
        <v>2248</v>
      </c>
      <c r="E2379" s="701" t="s">
        <v>10251</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7783</v>
      </c>
      <c r="C2380" s="566">
        <f t="shared" si="37"/>
        <v>3074</v>
      </c>
      <c r="D2380" s="698" t="s">
        <v>2248</v>
      </c>
      <c r="E2380" s="701" t="s">
        <v>10252</v>
      </c>
      <c r="F2380" s="551">
        <v>1</v>
      </c>
      <c r="G2380" s="657">
        <v>0</v>
      </c>
      <c r="H2380" s="657">
        <v>26175.207913801041</v>
      </c>
      <c r="I2380" s="657">
        <v>0</v>
      </c>
      <c r="J2380" s="657">
        <v>0</v>
      </c>
      <c r="K2380" s="654" t="s">
        <v>3260</v>
      </c>
      <c r="M2380" s="540"/>
      <c r="O2380" s="540"/>
    </row>
    <row r="2381" spans="1:15">
      <c r="A2381" s="565">
        <v>3075</v>
      </c>
      <c r="B2381" s="694" t="s">
        <v>7784</v>
      </c>
      <c r="C2381" s="566">
        <f t="shared" si="37"/>
        <v>3075</v>
      </c>
      <c r="D2381" s="698" t="s">
        <v>2248</v>
      </c>
      <c r="E2381" s="701" t="s">
        <v>10253</v>
      </c>
      <c r="F2381" s="551">
        <v>1</v>
      </c>
      <c r="G2381" s="657">
        <v>0</v>
      </c>
      <c r="H2381" s="657">
        <v>0</v>
      </c>
      <c r="I2381" s="657">
        <v>19781.655796897761</v>
      </c>
      <c r="J2381" s="657">
        <v>20643.863970244856</v>
      </c>
      <c r="K2381" s="654" t="s">
        <v>5000</v>
      </c>
      <c r="M2381" s="540"/>
      <c r="O2381" s="540"/>
    </row>
    <row r="2382" spans="1:15">
      <c r="A2382" s="565">
        <v>3076</v>
      </c>
      <c r="B2382" s="694" t="s">
        <v>7785</v>
      </c>
      <c r="C2382" s="566">
        <f t="shared" si="37"/>
        <v>3076</v>
      </c>
      <c r="D2382" s="698" t="s">
        <v>2248</v>
      </c>
      <c r="E2382" s="701" t="s">
        <v>10254</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7786</v>
      </c>
      <c r="C2383" s="566">
        <f t="shared" si="37"/>
        <v>3077</v>
      </c>
      <c r="D2383" s="698" t="s">
        <v>2248</v>
      </c>
      <c r="E2383" s="701" t="s">
        <v>10255</v>
      </c>
      <c r="F2383" s="551">
        <v>1</v>
      </c>
      <c r="G2383" s="657">
        <v>0</v>
      </c>
      <c r="H2383" s="657">
        <v>0</v>
      </c>
      <c r="I2383" s="657">
        <v>0</v>
      </c>
      <c r="J2383" s="657">
        <v>45249.133178470147</v>
      </c>
      <c r="K2383" s="654" t="s">
        <v>5001</v>
      </c>
      <c r="M2383" s="540"/>
      <c r="O2383" s="540"/>
    </row>
    <row r="2384" spans="1:15">
      <c r="A2384" s="565">
        <v>3078</v>
      </c>
      <c r="B2384" s="694" t="s">
        <v>7787</v>
      </c>
      <c r="C2384" s="566">
        <f t="shared" si="37"/>
        <v>3078</v>
      </c>
      <c r="D2384" s="698" t="s">
        <v>2248</v>
      </c>
      <c r="E2384" s="701" t="s">
        <v>10256</v>
      </c>
      <c r="F2384" s="551">
        <v>1</v>
      </c>
      <c r="G2384" s="657">
        <v>0</v>
      </c>
      <c r="H2384" s="657">
        <v>0</v>
      </c>
      <c r="I2384" s="657">
        <v>51166.209560831972</v>
      </c>
      <c r="J2384" s="657">
        <v>52798.99925536861</v>
      </c>
      <c r="K2384" s="654" t="s">
        <v>5002</v>
      </c>
      <c r="M2384" s="540"/>
      <c r="O2384" s="540"/>
    </row>
    <row r="2385" spans="1:15">
      <c r="A2385" s="565">
        <v>3079</v>
      </c>
      <c r="B2385" s="694" t="s">
        <v>7788</v>
      </c>
      <c r="C2385" s="566">
        <f t="shared" si="37"/>
        <v>3079</v>
      </c>
      <c r="D2385" s="698" t="s">
        <v>2248</v>
      </c>
      <c r="E2385" s="701" t="s">
        <v>10257</v>
      </c>
      <c r="F2385" s="551">
        <v>1</v>
      </c>
      <c r="G2385" s="657">
        <v>30020.668684353586</v>
      </c>
      <c r="H2385" s="657">
        <v>30982.23916256729</v>
      </c>
      <c r="I2385" s="657">
        <v>0</v>
      </c>
      <c r="J2385" s="657">
        <v>0</v>
      </c>
      <c r="K2385" s="654" t="s">
        <v>1571</v>
      </c>
      <c r="M2385" s="540"/>
      <c r="O2385" s="540"/>
    </row>
    <row r="2386" spans="1:15">
      <c r="A2386" s="565">
        <v>3080</v>
      </c>
      <c r="B2386" s="694" t="s">
        <v>7789</v>
      </c>
      <c r="C2386" s="566">
        <f t="shared" si="37"/>
        <v>3080</v>
      </c>
      <c r="D2386" s="698" t="s">
        <v>2248</v>
      </c>
      <c r="E2386" s="701" t="s">
        <v>10258</v>
      </c>
      <c r="F2386" s="551">
        <v>1</v>
      </c>
      <c r="G2386" s="657">
        <v>0</v>
      </c>
      <c r="H2386" s="657">
        <v>0</v>
      </c>
      <c r="I2386" s="657">
        <v>39779.643753357013</v>
      </c>
      <c r="J2386" s="657">
        <v>41053.584898458452</v>
      </c>
      <c r="K2386" s="654" t="s">
        <v>5003</v>
      </c>
      <c r="M2386" s="540"/>
      <c r="O2386" s="540"/>
    </row>
    <row r="2387" spans="1:15">
      <c r="A2387" s="565">
        <v>3081</v>
      </c>
      <c r="B2387" s="694" t="s">
        <v>7790</v>
      </c>
      <c r="C2387" s="566">
        <f t="shared" si="37"/>
        <v>3081</v>
      </c>
      <c r="D2387" s="698" t="s">
        <v>2248</v>
      </c>
      <c r="E2387" s="701" t="s">
        <v>10259</v>
      </c>
      <c r="F2387" s="551">
        <v>1</v>
      </c>
      <c r="G2387" s="657">
        <v>0</v>
      </c>
      <c r="H2387" s="657">
        <v>0</v>
      </c>
      <c r="I2387" s="657">
        <v>38957.777930847144</v>
      </c>
      <c r="J2387" s="657">
        <v>40188.459414131466</v>
      </c>
      <c r="K2387" s="654" t="s">
        <v>5004</v>
      </c>
      <c r="M2387" s="540"/>
      <c r="O2387" s="540"/>
    </row>
    <row r="2388" spans="1:15">
      <c r="A2388" s="565">
        <v>3082</v>
      </c>
      <c r="B2388" s="694" t="s">
        <v>7791</v>
      </c>
      <c r="C2388" s="566">
        <f t="shared" si="37"/>
        <v>3082</v>
      </c>
      <c r="D2388" s="698" t="s">
        <v>2248</v>
      </c>
      <c r="E2388" s="701" t="s">
        <v>10260</v>
      </c>
      <c r="F2388" s="551">
        <v>1</v>
      </c>
      <c r="G2388" s="657">
        <v>0</v>
      </c>
      <c r="H2388" s="657">
        <v>0</v>
      </c>
      <c r="I2388" s="657">
        <v>40076.939596823751</v>
      </c>
      <c r="J2388" s="657">
        <v>41366.531457476885</v>
      </c>
      <c r="K2388" s="654" t="s">
        <v>5005</v>
      </c>
      <c r="M2388" s="540"/>
      <c r="O2388" s="540"/>
    </row>
    <row r="2389" spans="1:15">
      <c r="A2389" s="565">
        <v>3083</v>
      </c>
      <c r="B2389" s="694" t="s">
        <v>7792</v>
      </c>
      <c r="C2389" s="566">
        <f t="shared" si="37"/>
        <v>3083</v>
      </c>
      <c r="D2389" s="698" t="s">
        <v>2248</v>
      </c>
      <c r="E2389" s="701" t="s">
        <v>10261</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7793</v>
      </c>
      <c r="C2390" s="566">
        <f t="shared" si="37"/>
        <v>3084</v>
      </c>
      <c r="D2390" s="698" t="s">
        <v>2248</v>
      </c>
      <c r="E2390" s="701" t="s">
        <v>10262</v>
      </c>
      <c r="F2390" s="551">
        <v>1</v>
      </c>
      <c r="G2390" s="657">
        <v>0</v>
      </c>
      <c r="H2390" s="657">
        <v>0</v>
      </c>
      <c r="I2390" s="657">
        <v>42338.900459001314</v>
      </c>
      <c r="J2390" s="657">
        <v>43698.344647506368</v>
      </c>
      <c r="K2390" s="654" t="s">
        <v>5006</v>
      </c>
      <c r="M2390" s="540"/>
      <c r="O2390" s="540"/>
    </row>
    <row r="2391" spans="1:15">
      <c r="A2391" s="565">
        <v>3085</v>
      </c>
      <c r="B2391" s="694" t="s">
        <v>7794</v>
      </c>
      <c r="C2391" s="566">
        <f t="shared" si="37"/>
        <v>3085</v>
      </c>
      <c r="D2391" s="698" t="s">
        <v>2248</v>
      </c>
      <c r="E2391" s="701" t="s">
        <v>10263</v>
      </c>
      <c r="F2391" s="551">
        <v>1</v>
      </c>
      <c r="G2391" s="657">
        <v>0</v>
      </c>
      <c r="H2391" s="657">
        <v>0</v>
      </c>
      <c r="I2391" s="657">
        <v>41517.034636491444</v>
      </c>
      <c r="J2391" s="657">
        <v>42833.219163179383</v>
      </c>
      <c r="K2391" s="654" t="s">
        <v>5007</v>
      </c>
      <c r="M2391" s="540"/>
      <c r="O2391" s="540"/>
    </row>
    <row r="2392" spans="1:15">
      <c r="A2392" s="565">
        <v>3086</v>
      </c>
      <c r="B2392" s="694" t="s">
        <v>7795</v>
      </c>
      <c r="C2392" s="566">
        <f t="shared" si="37"/>
        <v>3086</v>
      </c>
      <c r="D2392" s="698" t="s">
        <v>2248</v>
      </c>
      <c r="E2392" s="701" t="s">
        <v>10264</v>
      </c>
      <c r="F2392" s="551">
        <v>1</v>
      </c>
      <c r="G2392" s="657">
        <v>0</v>
      </c>
      <c r="H2392" s="657">
        <v>0</v>
      </c>
      <c r="I2392" s="657">
        <v>42636.196302468059</v>
      </c>
      <c r="J2392" s="657">
        <v>44011.291206524795</v>
      </c>
      <c r="K2392" s="654" t="s">
        <v>5008</v>
      </c>
      <c r="M2392" s="540"/>
      <c r="O2392" s="540"/>
    </row>
    <row r="2393" spans="1:15">
      <c r="A2393" s="565">
        <v>3087</v>
      </c>
      <c r="B2393" s="694" t="s">
        <v>7796</v>
      </c>
      <c r="C2393" s="566">
        <f t="shared" si="37"/>
        <v>3087</v>
      </c>
      <c r="D2393" s="698" t="s">
        <v>2248</v>
      </c>
      <c r="E2393" s="701" t="s">
        <v>10265</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7797</v>
      </c>
      <c r="C2394" s="566">
        <f t="shared" si="37"/>
        <v>3088</v>
      </c>
      <c r="D2394" s="698" t="s">
        <v>2248</v>
      </c>
      <c r="E2394" s="701" t="s">
        <v>10266</v>
      </c>
      <c r="F2394" s="551">
        <v>1</v>
      </c>
      <c r="G2394" s="657">
        <v>0</v>
      </c>
      <c r="H2394" s="657">
        <v>36614.26598685349</v>
      </c>
      <c r="I2394" s="657">
        <v>40306.005552637274</v>
      </c>
      <c r="J2394" s="657">
        <v>0</v>
      </c>
      <c r="K2394" s="654" t="s">
        <v>5009</v>
      </c>
      <c r="M2394" s="540"/>
      <c r="O2394" s="540"/>
    </row>
    <row r="2395" spans="1:15">
      <c r="A2395" s="565">
        <v>3089</v>
      </c>
      <c r="B2395" s="694" t="s">
        <v>7798</v>
      </c>
      <c r="C2395" s="566">
        <f t="shared" si="37"/>
        <v>3089</v>
      </c>
      <c r="D2395" s="698" t="s">
        <v>2248</v>
      </c>
      <c r="E2395" s="701" t="s">
        <v>10267</v>
      </c>
      <c r="F2395" s="551">
        <v>1</v>
      </c>
      <c r="G2395" s="657">
        <v>0</v>
      </c>
      <c r="H2395" s="657">
        <v>0</v>
      </c>
      <c r="I2395" s="657">
        <v>48460.886520894455</v>
      </c>
      <c r="J2395" s="657">
        <v>50003.295026920467</v>
      </c>
      <c r="K2395" s="654" t="s">
        <v>5010</v>
      </c>
      <c r="M2395" s="540"/>
      <c r="O2395" s="540"/>
    </row>
    <row r="2396" spans="1:15">
      <c r="A2396" s="565">
        <v>3090</v>
      </c>
      <c r="B2396" s="694" t="s">
        <v>7799</v>
      </c>
      <c r="C2396" s="566">
        <f t="shared" si="37"/>
        <v>3090</v>
      </c>
      <c r="D2396" s="698" t="s">
        <v>2248</v>
      </c>
      <c r="E2396" s="701" t="s">
        <v>10268</v>
      </c>
      <c r="F2396" s="551">
        <v>1</v>
      </c>
      <c r="G2396" s="657">
        <v>0</v>
      </c>
      <c r="H2396" s="657">
        <v>0</v>
      </c>
      <c r="I2396" s="657">
        <v>49513.325609799438</v>
      </c>
      <c r="J2396" s="657">
        <v>51090.897411805221</v>
      </c>
      <c r="K2396" s="654" t="s">
        <v>5011</v>
      </c>
      <c r="M2396" s="540"/>
      <c r="O2396" s="540"/>
    </row>
    <row r="2397" spans="1:15">
      <c r="A2397" s="565">
        <v>3091</v>
      </c>
      <c r="B2397" s="694" t="s">
        <v>7800</v>
      </c>
      <c r="C2397" s="566">
        <f t="shared" si="37"/>
        <v>3091</v>
      </c>
      <c r="D2397" s="698" t="s">
        <v>2248</v>
      </c>
      <c r="E2397" s="701" t="s">
        <v>10269</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7801</v>
      </c>
      <c r="C2398" s="566">
        <f t="shared" si="37"/>
        <v>3092</v>
      </c>
      <c r="D2398" s="698" t="s">
        <v>2248</v>
      </c>
      <c r="E2398" s="701" t="s">
        <v>10270</v>
      </c>
      <c r="F2398" s="551">
        <v>2</v>
      </c>
      <c r="G2398" s="657">
        <v>0</v>
      </c>
      <c r="H2398" s="657">
        <v>0</v>
      </c>
      <c r="I2398" s="657">
        <v>0</v>
      </c>
      <c r="J2398" s="657">
        <v>28459.445401722031</v>
      </c>
      <c r="K2398" s="654" t="s">
        <v>5012</v>
      </c>
      <c r="M2398" s="540"/>
      <c r="O2398" s="540"/>
    </row>
    <row r="2399" spans="1:15">
      <c r="A2399" s="565">
        <v>3093</v>
      </c>
      <c r="B2399" s="694" t="s">
        <v>7802</v>
      </c>
      <c r="C2399" s="566">
        <f t="shared" si="37"/>
        <v>3093</v>
      </c>
      <c r="D2399" s="698" t="s">
        <v>2248</v>
      </c>
      <c r="E2399" s="701" t="s">
        <v>10271</v>
      </c>
      <c r="F2399" s="551">
        <v>2</v>
      </c>
      <c r="G2399" s="657">
        <v>0</v>
      </c>
      <c r="H2399" s="657">
        <v>0</v>
      </c>
      <c r="I2399" s="657">
        <v>0</v>
      </c>
      <c r="J2399" s="657">
        <v>29401.708483022489</v>
      </c>
      <c r="K2399" s="654" t="s">
        <v>5013</v>
      </c>
      <c r="M2399" s="540"/>
      <c r="O2399" s="540"/>
    </row>
    <row r="2400" spans="1:15">
      <c r="A2400" s="565">
        <v>3094</v>
      </c>
      <c r="B2400" s="694" t="s">
        <v>7803</v>
      </c>
      <c r="C2400" s="566">
        <f t="shared" si="37"/>
        <v>3094</v>
      </c>
      <c r="D2400" s="698" t="s">
        <v>2248</v>
      </c>
      <c r="E2400" s="701" t="s">
        <v>10272</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7804</v>
      </c>
      <c r="C2401" s="566">
        <f t="shared" si="37"/>
        <v>3095</v>
      </c>
      <c r="D2401" s="698" t="s">
        <v>2248</v>
      </c>
      <c r="E2401" s="701" t="s">
        <v>10273</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7805</v>
      </c>
      <c r="C2402" s="566">
        <f t="shared" si="37"/>
        <v>3096</v>
      </c>
      <c r="D2402" s="698" t="s">
        <v>2248</v>
      </c>
      <c r="E2402" s="701" t="s">
        <v>10274</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7806</v>
      </c>
      <c r="C2403" s="566">
        <f t="shared" si="37"/>
        <v>3097</v>
      </c>
      <c r="D2403" s="698" t="s">
        <v>2248</v>
      </c>
      <c r="E2403" s="701" t="s">
        <v>10275</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7807</v>
      </c>
      <c r="C2404" s="566">
        <f t="shared" si="37"/>
        <v>3098</v>
      </c>
      <c r="D2404" s="698" t="s">
        <v>2248</v>
      </c>
      <c r="E2404" s="701" t="s">
        <v>10276</v>
      </c>
      <c r="F2404" s="551">
        <v>1</v>
      </c>
      <c r="G2404" s="657">
        <v>0</v>
      </c>
      <c r="H2404" s="657">
        <v>0</v>
      </c>
      <c r="I2404" s="657">
        <v>15560.257056037715</v>
      </c>
      <c r="J2404" s="657">
        <v>15878.116151880417</v>
      </c>
      <c r="K2404" s="654" t="s">
        <v>5014</v>
      </c>
      <c r="M2404" s="540"/>
      <c r="O2404" s="540"/>
    </row>
    <row r="2405" spans="1:15">
      <c r="A2405" s="565">
        <v>3099</v>
      </c>
      <c r="B2405" s="694" t="s">
        <v>7808</v>
      </c>
      <c r="C2405" s="566">
        <f t="shared" si="37"/>
        <v>3099</v>
      </c>
      <c r="D2405" s="698" t="s">
        <v>2248</v>
      </c>
      <c r="E2405" s="701" t="s">
        <v>10277</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7809</v>
      </c>
      <c r="C2406" s="566">
        <f t="shared" si="37"/>
        <v>3100</v>
      </c>
      <c r="D2406" s="698" t="s">
        <v>2248</v>
      </c>
      <c r="E2406" s="701" t="s">
        <v>10278</v>
      </c>
      <c r="F2406" s="551">
        <v>1</v>
      </c>
      <c r="G2406" s="657">
        <v>0</v>
      </c>
      <c r="H2406" s="657">
        <v>0</v>
      </c>
      <c r="I2406" s="657">
        <v>15937.744998536444</v>
      </c>
      <c r="J2406" s="657">
        <v>16259.948493905347</v>
      </c>
      <c r="K2406" s="654" t="s">
        <v>5015</v>
      </c>
      <c r="M2406" s="540"/>
      <c r="O2406" s="540"/>
    </row>
    <row r="2407" spans="1:15">
      <c r="A2407" s="565">
        <v>3101</v>
      </c>
      <c r="B2407" s="694" t="s">
        <v>7810</v>
      </c>
      <c r="C2407" s="566">
        <f t="shared" si="37"/>
        <v>3101</v>
      </c>
      <c r="D2407" s="698" t="s">
        <v>2248</v>
      </c>
      <c r="E2407" s="701" t="s">
        <v>10279</v>
      </c>
      <c r="F2407" s="551">
        <v>1</v>
      </c>
      <c r="G2407" s="657">
        <v>0</v>
      </c>
      <c r="H2407" s="657">
        <v>0</v>
      </c>
      <c r="I2407" s="657">
        <v>13723.683553103841</v>
      </c>
      <c r="J2407" s="657">
        <v>13997.822526596028</v>
      </c>
      <c r="K2407" s="654" t="s">
        <v>5016</v>
      </c>
      <c r="M2407" s="540"/>
      <c r="O2407" s="540"/>
    </row>
    <row r="2408" spans="1:15">
      <c r="A2408" s="565">
        <v>3102</v>
      </c>
      <c r="B2408" s="694" t="s">
        <v>7811</v>
      </c>
      <c r="C2408" s="566">
        <f t="shared" si="37"/>
        <v>3102</v>
      </c>
      <c r="D2408" s="698" t="s">
        <v>2248</v>
      </c>
      <c r="E2408" s="701" t="s">
        <v>10280</v>
      </c>
      <c r="F2408" s="551">
        <v>1</v>
      </c>
      <c r="G2408" s="657">
        <v>0</v>
      </c>
      <c r="H2408" s="657">
        <v>0</v>
      </c>
      <c r="I2408" s="657">
        <v>14760.425421409002</v>
      </c>
      <c r="J2408" s="657">
        <v>15059.231748143166</v>
      </c>
      <c r="K2408" s="654" t="s">
        <v>5017</v>
      </c>
      <c r="M2408" s="540"/>
      <c r="O2408" s="540"/>
    </row>
    <row r="2409" spans="1:15">
      <c r="A2409" s="565">
        <v>3103</v>
      </c>
      <c r="B2409" s="694" t="s">
        <v>7812</v>
      </c>
      <c r="C2409" s="566">
        <f t="shared" si="37"/>
        <v>3103</v>
      </c>
      <c r="D2409" s="698" t="s">
        <v>2248</v>
      </c>
      <c r="E2409" s="701" t="s">
        <v>10281</v>
      </c>
      <c r="F2409" s="551">
        <v>1</v>
      </c>
      <c r="G2409" s="657">
        <v>0</v>
      </c>
      <c r="H2409" s="657">
        <v>0</v>
      </c>
      <c r="I2409" s="657">
        <v>0</v>
      </c>
      <c r="J2409" s="657">
        <v>16688.449235965265</v>
      </c>
      <c r="K2409" s="654" t="s">
        <v>5018</v>
      </c>
      <c r="M2409" s="540"/>
      <c r="O2409" s="540"/>
    </row>
    <row r="2410" spans="1:15">
      <c r="A2410" s="565">
        <v>3104</v>
      </c>
      <c r="B2410" s="694" t="s">
        <v>7813</v>
      </c>
      <c r="C2410" s="566">
        <f t="shared" si="37"/>
        <v>3104</v>
      </c>
      <c r="D2410" s="698" t="s">
        <v>2248</v>
      </c>
      <c r="E2410" s="701" t="s">
        <v>10282</v>
      </c>
      <c r="F2410" s="551">
        <v>1</v>
      </c>
      <c r="G2410" s="657">
        <v>0</v>
      </c>
      <c r="H2410" s="657">
        <v>0</v>
      </c>
      <c r="I2410" s="657">
        <v>0</v>
      </c>
      <c r="J2410" s="657">
        <v>17749.858457512393</v>
      </c>
      <c r="K2410" s="654" t="s">
        <v>5019</v>
      </c>
      <c r="M2410" s="540"/>
      <c r="O2410" s="540"/>
    </row>
    <row r="2411" spans="1:15">
      <c r="A2411" s="565">
        <v>3105</v>
      </c>
      <c r="B2411" s="694" t="s">
        <v>7814</v>
      </c>
      <c r="C2411" s="566">
        <f t="shared" si="37"/>
        <v>3105</v>
      </c>
      <c r="D2411" s="698" t="s">
        <v>2248</v>
      </c>
      <c r="E2411" s="701" t="s">
        <v>10283</v>
      </c>
      <c r="F2411" s="551">
        <v>1</v>
      </c>
      <c r="G2411" s="657">
        <v>0</v>
      </c>
      <c r="H2411" s="657">
        <v>0</v>
      </c>
      <c r="I2411" s="657">
        <v>15688.923138859232</v>
      </c>
      <c r="J2411" s="657">
        <v>16005.199106061036</v>
      </c>
      <c r="K2411" s="654" t="s">
        <v>5020</v>
      </c>
      <c r="M2411" s="540"/>
      <c r="O2411" s="540"/>
    </row>
    <row r="2412" spans="1:15">
      <c r="A2412" s="565">
        <v>3106</v>
      </c>
      <c r="B2412" s="694" t="s">
        <v>7815</v>
      </c>
      <c r="C2412" s="566">
        <f t="shared" si="37"/>
        <v>3106</v>
      </c>
      <c r="D2412" s="698" t="s">
        <v>2248</v>
      </c>
      <c r="E2412" s="701" t="s">
        <v>10284</v>
      </c>
      <c r="F2412" s="551">
        <v>1</v>
      </c>
      <c r="G2412" s="657">
        <v>0</v>
      </c>
      <c r="H2412" s="657">
        <v>0</v>
      </c>
      <c r="I2412" s="657">
        <v>14788.381255558945</v>
      </c>
      <c r="J2412" s="657">
        <v>15083.229760690849</v>
      </c>
      <c r="K2412" s="654" t="s">
        <v>5021</v>
      </c>
      <c r="M2412" s="540"/>
      <c r="O2412" s="540"/>
    </row>
    <row r="2413" spans="1:15">
      <c r="A2413" s="565">
        <v>3107</v>
      </c>
      <c r="B2413" s="694" t="s">
        <v>7816</v>
      </c>
      <c r="C2413" s="566">
        <f t="shared" si="37"/>
        <v>3107</v>
      </c>
      <c r="D2413" s="698" t="s">
        <v>2248</v>
      </c>
      <c r="E2413" s="701" t="s">
        <v>10285</v>
      </c>
      <c r="F2413" s="551">
        <v>1</v>
      </c>
      <c r="G2413" s="657">
        <v>0</v>
      </c>
      <c r="H2413" s="657">
        <v>0</v>
      </c>
      <c r="I2413" s="657">
        <v>15825.123123864107</v>
      </c>
      <c r="J2413" s="657">
        <v>16144.63898223799</v>
      </c>
      <c r="K2413" s="654" t="s">
        <v>5022</v>
      </c>
      <c r="M2413" s="540"/>
      <c r="O2413" s="540"/>
    </row>
    <row r="2414" spans="1:15">
      <c r="A2414" s="565">
        <v>3108</v>
      </c>
      <c r="B2414" s="694" t="s">
        <v>7817</v>
      </c>
      <c r="C2414" s="566">
        <f t="shared" si="37"/>
        <v>3108</v>
      </c>
      <c r="D2414" s="698" t="s">
        <v>2248</v>
      </c>
      <c r="E2414" s="701" t="s">
        <v>10286</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7818</v>
      </c>
      <c r="C2415" s="566">
        <f t="shared" si="37"/>
        <v>3109</v>
      </c>
      <c r="D2415" s="698" t="s">
        <v>2248</v>
      </c>
      <c r="E2415" s="701" t="s">
        <v>10287</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7819</v>
      </c>
      <c r="C2416" s="566">
        <f t="shared" si="37"/>
        <v>3110</v>
      </c>
      <c r="D2416" s="698" t="s">
        <v>2248</v>
      </c>
      <c r="E2416" s="701" t="s">
        <v>10288</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7820</v>
      </c>
      <c r="C2417" s="566">
        <f t="shared" si="37"/>
        <v>3111</v>
      </c>
      <c r="D2417" s="698" t="s">
        <v>2248</v>
      </c>
      <c r="E2417" s="701" t="s">
        <v>10289</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7821</v>
      </c>
      <c r="C2418" s="566">
        <f t="shared" si="37"/>
        <v>3112</v>
      </c>
      <c r="D2418" s="698" t="s">
        <v>2248</v>
      </c>
      <c r="E2418" s="701" t="s">
        <v>10290</v>
      </c>
      <c r="F2418" s="551">
        <v>1</v>
      </c>
      <c r="G2418" s="657">
        <v>0</v>
      </c>
      <c r="H2418" s="657">
        <v>0</v>
      </c>
      <c r="I2418" s="657">
        <v>0</v>
      </c>
      <c r="J2418" s="657">
        <v>15470.060835563383</v>
      </c>
      <c r="K2418" s="654" t="s">
        <v>5023</v>
      </c>
      <c r="M2418" s="540"/>
      <c r="O2418" s="540"/>
    </row>
    <row r="2419" spans="1:15">
      <c r="A2419" s="565">
        <v>3113</v>
      </c>
      <c r="B2419" s="694" t="s">
        <v>7822</v>
      </c>
      <c r="C2419" s="566">
        <f t="shared" si="37"/>
        <v>3113</v>
      </c>
      <c r="D2419" s="698" t="s">
        <v>2248</v>
      </c>
      <c r="E2419" s="701" t="s">
        <v>10291</v>
      </c>
      <c r="F2419" s="551">
        <v>1</v>
      </c>
      <c r="G2419" s="657">
        <v>0</v>
      </c>
      <c r="H2419" s="657">
        <v>0</v>
      </c>
      <c r="I2419" s="657">
        <v>0</v>
      </c>
      <c r="J2419" s="657">
        <v>14172.709161391636</v>
      </c>
      <c r="K2419" s="654" t="s">
        <v>5024</v>
      </c>
      <c r="M2419" s="540"/>
      <c r="O2419" s="540"/>
    </row>
    <row r="2420" spans="1:15">
      <c r="A2420" s="565">
        <v>3114</v>
      </c>
      <c r="B2420" s="694" t="s">
        <v>7823</v>
      </c>
      <c r="C2420" s="566">
        <f t="shared" si="37"/>
        <v>3114</v>
      </c>
      <c r="D2420" s="698" t="s">
        <v>2248</v>
      </c>
      <c r="E2420" s="701" t="s">
        <v>10292</v>
      </c>
      <c r="F2420" s="551">
        <v>1</v>
      </c>
      <c r="G2420" s="657">
        <v>0</v>
      </c>
      <c r="H2420" s="657">
        <v>0</v>
      </c>
      <c r="I2420" s="657">
        <v>0</v>
      </c>
      <c r="J2420" s="657">
        <v>16308.097598828865</v>
      </c>
      <c r="K2420" s="654" t="s">
        <v>5025</v>
      </c>
      <c r="M2420" s="540"/>
      <c r="O2420" s="540"/>
    </row>
    <row r="2421" spans="1:15">
      <c r="A2421" s="565">
        <v>3115</v>
      </c>
      <c r="B2421" s="694" t="s">
        <v>7824</v>
      </c>
      <c r="C2421" s="566">
        <f t="shared" si="37"/>
        <v>3115</v>
      </c>
      <c r="D2421" s="698" t="s">
        <v>2248</v>
      </c>
      <c r="E2421" s="701" t="s">
        <v>10293</v>
      </c>
      <c r="F2421" s="551">
        <v>1</v>
      </c>
      <c r="G2421" s="657">
        <v>0</v>
      </c>
      <c r="H2421" s="657">
        <v>0</v>
      </c>
      <c r="I2421" s="657">
        <v>0</v>
      </c>
      <c r="J2421" s="657">
        <v>15013.366837130194</v>
      </c>
      <c r="K2421" s="654" t="s">
        <v>5026</v>
      </c>
      <c r="M2421" s="540"/>
      <c r="O2421" s="540"/>
    </row>
    <row r="2422" spans="1:15">
      <c r="A2422" s="565">
        <v>3116</v>
      </c>
      <c r="B2422" s="694" t="s">
        <v>7825</v>
      </c>
      <c r="C2422" s="566">
        <f t="shared" si="37"/>
        <v>3116</v>
      </c>
      <c r="D2422" s="698" t="s">
        <v>2248</v>
      </c>
      <c r="E2422" s="701" t="s">
        <v>10294</v>
      </c>
      <c r="F2422" s="551">
        <v>1</v>
      </c>
      <c r="G2422" s="657">
        <v>0</v>
      </c>
      <c r="H2422" s="657">
        <v>0</v>
      </c>
      <c r="I2422" s="657">
        <v>0</v>
      </c>
      <c r="J2422" s="657">
        <v>18180.08433272213</v>
      </c>
      <c r="K2422" s="654" t="s">
        <v>5027</v>
      </c>
      <c r="M2422" s="540"/>
      <c r="O2422" s="540"/>
    </row>
    <row r="2423" spans="1:15">
      <c r="A2423" s="565">
        <v>3117</v>
      </c>
      <c r="B2423" s="694" t="s">
        <v>7826</v>
      </c>
      <c r="C2423" s="566">
        <f t="shared" si="37"/>
        <v>3117</v>
      </c>
      <c r="D2423" s="698" t="s">
        <v>2248</v>
      </c>
      <c r="E2423" s="701" t="s">
        <v>10295</v>
      </c>
      <c r="F2423" s="551">
        <v>1</v>
      </c>
      <c r="G2423" s="657">
        <v>0</v>
      </c>
      <c r="H2423" s="657">
        <v>0</v>
      </c>
      <c r="I2423" s="657">
        <v>0</v>
      </c>
      <c r="J2423" s="657">
        <v>16885.353571023465</v>
      </c>
      <c r="K2423" s="654" t="s">
        <v>5028</v>
      </c>
      <c r="M2423" s="540"/>
      <c r="O2423" s="540"/>
    </row>
    <row r="2424" spans="1:15">
      <c r="A2424" s="565">
        <v>3118</v>
      </c>
      <c r="B2424" s="694" t="s">
        <v>7827</v>
      </c>
      <c r="C2424" s="566">
        <f t="shared" si="37"/>
        <v>3118</v>
      </c>
      <c r="D2424" s="698" t="s">
        <v>2248</v>
      </c>
      <c r="E2424" s="701" t="s">
        <v>10296</v>
      </c>
      <c r="F2424" s="551">
        <v>1</v>
      </c>
      <c r="G2424" s="657">
        <v>0</v>
      </c>
      <c r="H2424" s="657">
        <v>0</v>
      </c>
      <c r="I2424" s="657">
        <v>0</v>
      </c>
      <c r="J2424" s="657">
        <v>17386.603081498914</v>
      </c>
      <c r="K2424" s="654" t="s">
        <v>5029</v>
      </c>
      <c r="M2424" s="540"/>
      <c r="O2424" s="540"/>
    </row>
    <row r="2425" spans="1:15">
      <c r="A2425" s="565">
        <v>3119</v>
      </c>
      <c r="B2425" s="694" t="s">
        <v>7828</v>
      </c>
      <c r="C2425" s="566">
        <f t="shared" si="37"/>
        <v>3119</v>
      </c>
      <c r="D2425" s="698" t="s">
        <v>2248</v>
      </c>
      <c r="E2425" s="701" t="s">
        <v>10297</v>
      </c>
      <c r="F2425" s="551">
        <v>1</v>
      </c>
      <c r="G2425" s="657">
        <v>0</v>
      </c>
      <c r="H2425" s="657">
        <v>0</v>
      </c>
      <c r="I2425" s="657">
        <v>0</v>
      </c>
      <c r="J2425" s="657">
        <v>16000.140383242648</v>
      </c>
      <c r="K2425" s="654" t="s">
        <v>5030</v>
      </c>
      <c r="M2425" s="540"/>
      <c r="O2425" s="540"/>
    </row>
    <row r="2426" spans="1:15">
      <c r="A2426" s="565">
        <v>3120</v>
      </c>
      <c r="B2426" s="694" t="s">
        <v>7829</v>
      </c>
      <c r="C2426" s="566">
        <f t="shared" si="37"/>
        <v>3120</v>
      </c>
      <c r="D2426" s="698" t="s">
        <v>2248</v>
      </c>
      <c r="E2426" s="701" t="s">
        <v>10298</v>
      </c>
      <c r="F2426" s="551">
        <v>1</v>
      </c>
      <c r="G2426" s="657">
        <v>0</v>
      </c>
      <c r="H2426" s="657">
        <v>0</v>
      </c>
      <c r="I2426" s="657">
        <v>0</v>
      </c>
      <c r="J2426" s="657">
        <v>19114.439629373097</v>
      </c>
      <c r="K2426" s="654" t="s">
        <v>5031</v>
      </c>
      <c r="M2426" s="540"/>
      <c r="O2426" s="540"/>
    </row>
    <row r="2427" spans="1:15">
      <c r="A2427" s="565">
        <v>3121</v>
      </c>
      <c r="B2427" s="694" t="s">
        <v>7830</v>
      </c>
      <c r="C2427" s="566">
        <f t="shared" si="37"/>
        <v>3121</v>
      </c>
      <c r="D2427" s="698" t="s">
        <v>2248</v>
      </c>
      <c r="E2427" s="701" t="s">
        <v>10299</v>
      </c>
      <c r="F2427" s="551">
        <v>1</v>
      </c>
      <c r="G2427" s="657">
        <v>0</v>
      </c>
      <c r="H2427" s="657">
        <v>0</v>
      </c>
      <c r="I2427" s="657">
        <v>0</v>
      </c>
      <c r="J2427" s="657">
        <v>17819.708867674428</v>
      </c>
      <c r="K2427" s="654" t="s">
        <v>5032</v>
      </c>
      <c r="M2427" s="540"/>
      <c r="O2427" s="540"/>
    </row>
    <row r="2428" spans="1:15">
      <c r="A2428" s="565">
        <v>3122</v>
      </c>
      <c r="B2428" s="694" t="s">
        <v>7831</v>
      </c>
      <c r="C2428" s="566">
        <f t="shared" si="37"/>
        <v>3122</v>
      </c>
      <c r="D2428" s="698" t="s">
        <v>2248</v>
      </c>
      <c r="E2428" s="701" t="s">
        <v>10300</v>
      </c>
      <c r="F2428" s="551">
        <v>1</v>
      </c>
      <c r="G2428" s="657">
        <v>0</v>
      </c>
      <c r="H2428" s="657">
        <v>0</v>
      </c>
      <c r="I2428" s="657">
        <v>0</v>
      </c>
      <c r="J2428" s="657">
        <v>15781.949419859217</v>
      </c>
      <c r="K2428" s="654" t="s">
        <v>5033</v>
      </c>
      <c r="M2428" s="540"/>
      <c r="O2428" s="540"/>
    </row>
    <row r="2429" spans="1:15">
      <c r="A2429" s="565">
        <v>3123</v>
      </c>
      <c r="B2429" s="694" t="s">
        <v>7832</v>
      </c>
      <c r="C2429" s="566">
        <f t="shared" si="37"/>
        <v>3123</v>
      </c>
      <c r="D2429" s="698" t="s">
        <v>2248</v>
      </c>
      <c r="E2429" s="701" t="s">
        <v>10301</v>
      </c>
      <c r="F2429" s="551">
        <v>1</v>
      </c>
      <c r="G2429" s="657">
        <v>0</v>
      </c>
      <c r="H2429" s="657">
        <v>0</v>
      </c>
      <c r="I2429" s="657">
        <v>0</v>
      </c>
      <c r="J2429" s="657">
        <v>14487.218658160542</v>
      </c>
      <c r="K2429" s="654" t="s">
        <v>5034</v>
      </c>
      <c r="M2429" s="540"/>
      <c r="O2429" s="540"/>
    </row>
    <row r="2430" spans="1:15">
      <c r="A2430" s="565">
        <v>3124</v>
      </c>
      <c r="B2430" s="694" t="s">
        <v>7833</v>
      </c>
      <c r="C2430" s="566">
        <f t="shared" si="37"/>
        <v>3124</v>
      </c>
      <c r="D2430" s="698" t="s">
        <v>2248</v>
      </c>
      <c r="E2430" s="701" t="s">
        <v>10302</v>
      </c>
      <c r="F2430" s="551">
        <v>1</v>
      </c>
      <c r="G2430" s="657">
        <v>0</v>
      </c>
      <c r="H2430" s="657">
        <v>0</v>
      </c>
      <c r="I2430" s="657">
        <v>0</v>
      </c>
      <c r="J2430" s="657">
        <v>17509.785967733402</v>
      </c>
      <c r="K2430" s="654" t="s">
        <v>5035</v>
      </c>
      <c r="M2430" s="540"/>
      <c r="O2430" s="540"/>
    </row>
    <row r="2431" spans="1:15">
      <c r="A2431" s="565">
        <v>3125</v>
      </c>
      <c r="B2431" s="694" t="s">
        <v>7834</v>
      </c>
      <c r="C2431" s="566">
        <f t="shared" si="37"/>
        <v>3125</v>
      </c>
      <c r="D2431" s="698" t="s">
        <v>2248</v>
      </c>
      <c r="E2431" s="701" t="s">
        <v>10303</v>
      </c>
      <c r="F2431" s="551">
        <v>1</v>
      </c>
      <c r="G2431" s="657">
        <v>0</v>
      </c>
      <c r="H2431" s="657">
        <v>0</v>
      </c>
      <c r="I2431" s="657">
        <v>0</v>
      </c>
      <c r="J2431" s="657">
        <v>16215.055206034731</v>
      </c>
      <c r="K2431" s="654" t="s">
        <v>5036</v>
      </c>
      <c r="M2431" s="540"/>
      <c r="O2431" s="540"/>
    </row>
    <row r="2432" spans="1:15">
      <c r="A2432" s="565">
        <v>3126</v>
      </c>
      <c r="B2432" s="694" t="s">
        <v>7835</v>
      </c>
      <c r="C2432" s="566">
        <f t="shared" si="37"/>
        <v>3126</v>
      </c>
      <c r="D2432" s="698" t="s">
        <v>2249</v>
      </c>
      <c r="E2432" s="701" t="s">
        <v>10304</v>
      </c>
      <c r="F2432" s="551">
        <v>1</v>
      </c>
      <c r="G2432" s="657">
        <v>0</v>
      </c>
      <c r="H2432" s="657">
        <v>20013.127661498558</v>
      </c>
      <c r="I2432" s="657">
        <v>0</v>
      </c>
      <c r="J2432" s="657">
        <v>0</v>
      </c>
      <c r="K2432" s="654" t="s">
        <v>5037</v>
      </c>
      <c r="M2432" s="540"/>
      <c r="O2432" s="540"/>
    </row>
    <row r="2433" spans="1:15">
      <c r="A2433" s="565">
        <v>3127</v>
      </c>
      <c r="B2433" s="694" t="s">
        <v>7836</v>
      </c>
      <c r="C2433" s="566">
        <f t="shared" si="37"/>
        <v>3127</v>
      </c>
      <c r="D2433" s="698" t="s">
        <v>2249</v>
      </c>
      <c r="E2433" s="701" t="s">
        <v>10305</v>
      </c>
      <c r="F2433" s="551">
        <v>1</v>
      </c>
      <c r="G2433" s="657">
        <v>20585.741053865171</v>
      </c>
      <c r="H2433" s="657">
        <v>21225.882850622442</v>
      </c>
      <c r="I2433" s="657">
        <v>0</v>
      </c>
      <c r="J2433" s="657">
        <v>0</v>
      </c>
      <c r="K2433" s="654" t="s">
        <v>1585</v>
      </c>
      <c r="M2433" s="540"/>
      <c r="O2433" s="540"/>
    </row>
    <row r="2434" spans="1:15">
      <c r="A2434" s="565">
        <v>3128</v>
      </c>
      <c r="B2434" s="694" t="s">
        <v>7837</v>
      </c>
      <c r="C2434" s="566">
        <f t="shared" si="37"/>
        <v>3128</v>
      </c>
      <c r="D2434" s="698" t="s">
        <v>2249</v>
      </c>
      <c r="E2434" s="701" t="s">
        <v>10306</v>
      </c>
      <c r="F2434" s="551">
        <v>1</v>
      </c>
      <c r="G2434" s="657">
        <v>0</v>
      </c>
      <c r="H2434" s="657">
        <v>0</v>
      </c>
      <c r="I2434" s="657">
        <v>21408.359318941395</v>
      </c>
      <c r="J2434" s="657">
        <v>22041.080042237532</v>
      </c>
      <c r="K2434" s="654" t="s">
        <v>4256</v>
      </c>
      <c r="M2434" s="540"/>
      <c r="O2434" s="540"/>
    </row>
    <row r="2435" spans="1:15">
      <c r="A2435" s="565">
        <v>3129</v>
      </c>
      <c r="B2435" s="694" t="s">
        <v>7838</v>
      </c>
      <c r="C2435" s="566">
        <f t="shared" si="37"/>
        <v>3129</v>
      </c>
      <c r="D2435" s="698" t="s">
        <v>2249</v>
      </c>
      <c r="E2435" s="701" t="s">
        <v>10307</v>
      </c>
      <c r="F2435" s="551">
        <v>1</v>
      </c>
      <c r="G2435" s="657">
        <v>0</v>
      </c>
      <c r="H2435" s="657">
        <v>18214.863618903943</v>
      </c>
      <c r="I2435" s="657">
        <v>0</v>
      </c>
      <c r="J2435" s="657">
        <v>0</v>
      </c>
      <c r="K2435" s="654" t="s">
        <v>5038</v>
      </c>
      <c r="M2435" s="540"/>
      <c r="O2435" s="540"/>
    </row>
    <row r="2436" spans="1:15">
      <c r="A2436" s="565">
        <v>3130</v>
      </c>
      <c r="B2436" s="694" t="s">
        <v>7839</v>
      </c>
      <c r="C2436" s="566">
        <f t="shared" si="37"/>
        <v>3130</v>
      </c>
      <c r="D2436" s="698" t="s">
        <v>2249</v>
      </c>
      <c r="E2436" s="701" t="s">
        <v>10308</v>
      </c>
      <c r="F2436" s="551">
        <v>1</v>
      </c>
      <c r="G2436" s="657">
        <v>18253.817346903936</v>
      </c>
      <c r="H2436" s="657">
        <v>0</v>
      </c>
      <c r="I2436" s="657">
        <v>0</v>
      </c>
      <c r="J2436" s="657">
        <v>0</v>
      </c>
      <c r="K2436" s="654" t="s">
        <v>5400</v>
      </c>
      <c r="M2436" s="540"/>
      <c r="O2436" s="540"/>
    </row>
    <row r="2437" spans="1:15">
      <c r="A2437" s="565">
        <v>3131</v>
      </c>
      <c r="B2437" s="694" t="s">
        <v>7840</v>
      </c>
      <c r="C2437" s="566">
        <f t="shared" si="37"/>
        <v>3131</v>
      </c>
      <c r="D2437" s="698" t="s">
        <v>2249</v>
      </c>
      <c r="E2437" s="701" t="s">
        <v>10309</v>
      </c>
      <c r="F2437" s="551">
        <v>1</v>
      </c>
      <c r="G2437" s="657">
        <v>0</v>
      </c>
      <c r="H2437" s="657">
        <v>0</v>
      </c>
      <c r="I2437" s="657">
        <v>23271.231810629914</v>
      </c>
      <c r="J2437" s="657">
        <v>23965.473232918834</v>
      </c>
      <c r="K2437" s="654" t="s">
        <v>4257</v>
      </c>
      <c r="M2437" s="540"/>
      <c r="O2437" s="540"/>
    </row>
    <row r="2438" spans="1:15">
      <c r="A2438" s="565">
        <v>3132</v>
      </c>
      <c r="B2438" s="694" t="s">
        <v>7841</v>
      </c>
      <c r="C2438" s="566">
        <f t="shared" si="37"/>
        <v>3132</v>
      </c>
      <c r="D2438" s="698" t="s">
        <v>2249</v>
      </c>
      <c r="E2438" s="701" t="s">
        <v>10310</v>
      </c>
      <c r="F2438" s="551">
        <v>1</v>
      </c>
      <c r="G2438" s="657">
        <v>0</v>
      </c>
      <c r="H2438" s="657">
        <v>0</v>
      </c>
      <c r="I2438" s="657">
        <v>24613.032253928985</v>
      </c>
      <c r="J2438" s="657">
        <v>25351.577484780861</v>
      </c>
      <c r="K2438" s="654" t="s">
        <v>4258</v>
      </c>
      <c r="M2438" s="540"/>
      <c r="O2438" s="540"/>
    </row>
    <row r="2439" spans="1:15">
      <c r="A2439" s="565">
        <v>3133</v>
      </c>
      <c r="B2439" s="694" t="s">
        <v>7842</v>
      </c>
      <c r="C2439" s="566">
        <f t="shared" si="37"/>
        <v>3133</v>
      </c>
      <c r="D2439" s="698" t="s">
        <v>2249</v>
      </c>
      <c r="E2439" s="701" t="s">
        <v>10311</v>
      </c>
      <c r="F2439" s="551">
        <v>1</v>
      </c>
      <c r="G2439" s="657">
        <v>0</v>
      </c>
      <c r="H2439" s="657">
        <v>0</v>
      </c>
      <c r="I2439" s="657">
        <v>23335.633973913995</v>
      </c>
      <c r="J2439" s="657">
        <v>24031.990402139341</v>
      </c>
      <c r="K2439" s="654" t="s">
        <v>4259</v>
      </c>
      <c r="M2439" s="540"/>
      <c r="O2439" s="540"/>
    </row>
    <row r="2440" spans="1:15">
      <c r="A2440" s="565">
        <v>3134</v>
      </c>
      <c r="B2440" s="694" t="s">
        <v>7843</v>
      </c>
      <c r="C2440" s="566">
        <f t="shared" si="37"/>
        <v>3134</v>
      </c>
      <c r="D2440" s="698" t="s">
        <v>2249</v>
      </c>
      <c r="E2440" s="701" t="s">
        <v>10312</v>
      </c>
      <c r="F2440" s="551">
        <v>1</v>
      </c>
      <c r="G2440" s="657">
        <v>26412.750074927677</v>
      </c>
      <c r="H2440" s="657">
        <v>0</v>
      </c>
      <c r="I2440" s="657">
        <v>0</v>
      </c>
      <c r="J2440" s="657">
        <v>0</v>
      </c>
      <c r="K2440" s="654" t="s">
        <v>5401</v>
      </c>
      <c r="M2440" s="540"/>
      <c r="O2440" s="540"/>
    </row>
    <row r="2441" spans="1:15">
      <c r="A2441" s="565">
        <v>3135</v>
      </c>
      <c r="B2441" s="694" t="s">
        <v>7844</v>
      </c>
      <c r="C2441" s="566">
        <f t="shared" ref="C2441:C2490" si="38">A2441</f>
        <v>3135</v>
      </c>
      <c r="D2441" s="698" t="s">
        <v>2249</v>
      </c>
      <c r="E2441" s="701" t="s">
        <v>10313</v>
      </c>
      <c r="F2441" s="551">
        <v>1</v>
      </c>
      <c r="G2441" s="657">
        <v>23883.513720295592</v>
      </c>
      <c r="H2441" s="657">
        <v>0</v>
      </c>
      <c r="I2441" s="657">
        <v>0</v>
      </c>
      <c r="J2441" s="657">
        <v>0</v>
      </c>
      <c r="K2441" s="654" t="s">
        <v>5402</v>
      </c>
      <c r="M2441" s="540"/>
      <c r="O2441" s="540"/>
    </row>
    <row r="2442" spans="1:15">
      <c r="A2442" s="565">
        <v>3136</v>
      </c>
      <c r="B2442" s="694" t="s">
        <v>7845</v>
      </c>
      <c r="C2442" s="566">
        <f t="shared" si="38"/>
        <v>3136</v>
      </c>
      <c r="D2442" s="698" t="s">
        <v>2249</v>
      </c>
      <c r="E2442" s="701" t="s">
        <v>10314</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7846</v>
      </c>
      <c r="C2443" s="566">
        <f t="shared" si="38"/>
        <v>3137</v>
      </c>
      <c r="D2443" s="698" t="s">
        <v>2249</v>
      </c>
      <c r="E2443" s="701" t="s">
        <v>10315</v>
      </c>
      <c r="F2443" s="551">
        <v>1</v>
      </c>
      <c r="G2443" s="657">
        <v>20506.296313997023</v>
      </c>
      <c r="H2443" s="657">
        <v>0</v>
      </c>
      <c r="I2443" s="657">
        <v>0</v>
      </c>
      <c r="J2443" s="657">
        <v>0</v>
      </c>
      <c r="K2443" s="654" t="s">
        <v>5403</v>
      </c>
      <c r="M2443" s="540"/>
      <c r="O2443" s="540"/>
    </row>
    <row r="2444" spans="1:15">
      <c r="A2444" s="565">
        <v>3138</v>
      </c>
      <c r="B2444" s="694" t="s">
        <v>7847</v>
      </c>
      <c r="C2444" s="566">
        <f t="shared" si="38"/>
        <v>3138</v>
      </c>
      <c r="D2444" s="698" t="s">
        <v>2249</v>
      </c>
      <c r="E2444" s="701" t="s">
        <v>10316</v>
      </c>
      <c r="F2444" s="551">
        <v>1</v>
      </c>
      <c r="G2444" s="657">
        <v>24811.799194995714</v>
      </c>
      <c r="H2444" s="657">
        <v>0</v>
      </c>
      <c r="I2444" s="657">
        <v>0</v>
      </c>
      <c r="J2444" s="657">
        <v>0</v>
      </c>
      <c r="K2444" s="654" t="s">
        <v>5404</v>
      </c>
      <c r="M2444" s="540"/>
      <c r="O2444" s="540"/>
    </row>
    <row r="2445" spans="1:15">
      <c r="A2445" s="565">
        <v>3139</v>
      </c>
      <c r="B2445" s="694" t="s">
        <v>7848</v>
      </c>
      <c r="C2445" s="566">
        <f t="shared" si="38"/>
        <v>3139</v>
      </c>
      <c r="D2445" s="698" t="s">
        <v>2249</v>
      </c>
      <c r="E2445" s="701" t="s">
        <v>10317</v>
      </c>
      <c r="F2445" s="551">
        <v>1</v>
      </c>
      <c r="G2445" s="657">
        <v>0</v>
      </c>
      <c r="H2445" s="657">
        <v>25690.446673507351</v>
      </c>
      <c r="I2445" s="657">
        <v>0</v>
      </c>
      <c r="J2445" s="657">
        <v>0</v>
      </c>
      <c r="K2445" s="654" t="s">
        <v>3261</v>
      </c>
      <c r="M2445" s="540"/>
      <c r="O2445" s="540"/>
    </row>
    <row r="2446" spans="1:15">
      <c r="A2446" s="565">
        <v>3140</v>
      </c>
      <c r="B2446" s="694" t="s">
        <v>7849</v>
      </c>
      <c r="C2446" s="566">
        <f t="shared" si="38"/>
        <v>3140</v>
      </c>
      <c r="D2446" s="698" t="s">
        <v>2249</v>
      </c>
      <c r="E2446" s="701" t="s">
        <v>10318</v>
      </c>
      <c r="F2446" s="551">
        <v>1</v>
      </c>
      <c r="G2446" s="657">
        <v>26357.029512756922</v>
      </c>
      <c r="H2446" s="657">
        <v>0</v>
      </c>
      <c r="I2446" s="657">
        <v>0</v>
      </c>
      <c r="J2446" s="657">
        <v>0</v>
      </c>
      <c r="K2446" s="654" t="s">
        <v>5405</v>
      </c>
      <c r="M2446" s="540"/>
      <c r="O2446" s="540"/>
    </row>
    <row r="2447" spans="1:15">
      <c r="A2447" s="565">
        <v>3141</v>
      </c>
      <c r="B2447" s="694" t="s">
        <v>7850</v>
      </c>
      <c r="C2447" s="566">
        <f t="shared" si="38"/>
        <v>3141</v>
      </c>
      <c r="D2447" s="698" t="s">
        <v>2249</v>
      </c>
      <c r="E2447" s="701" t="s">
        <v>10319</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7851</v>
      </c>
      <c r="C2448" s="566">
        <f t="shared" si="38"/>
        <v>3142</v>
      </c>
      <c r="D2448" s="698" t="s">
        <v>2249</v>
      </c>
      <c r="E2448" s="701" t="s">
        <v>10320</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7852</v>
      </c>
      <c r="C2449" s="566">
        <f t="shared" si="38"/>
        <v>3143</v>
      </c>
      <c r="D2449" s="698" t="s">
        <v>2249</v>
      </c>
      <c r="E2449" s="701" t="s">
        <v>10321</v>
      </c>
      <c r="F2449" s="551">
        <v>1</v>
      </c>
      <c r="G2449" s="657">
        <v>0</v>
      </c>
      <c r="H2449" s="657">
        <v>0</v>
      </c>
      <c r="I2449" s="657">
        <v>32492.017925520915</v>
      </c>
      <c r="J2449" s="657">
        <v>33489.484409431701</v>
      </c>
      <c r="K2449" s="654" t="s">
        <v>4260</v>
      </c>
      <c r="M2449" s="540"/>
      <c r="O2449" s="540"/>
    </row>
    <row r="2450" spans="1:15">
      <c r="A2450" s="565">
        <v>3144</v>
      </c>
      <c r="B2450" s="694" t="s">
        <v>7853</v>
      </c>
      <c r="C2450" s="566">
        <f t="shared" si="38"/>
        <v>3144</v>
      </c>
      <c r="D2450" s="698" t="s">
        <v>2249</v>
      </c>
      <c r="E2450" s="701" t="s">
        <v>10322</v>
      </c>
      <c r="F2450" s="551">
        <v>1</v>
      </c>
      <c r="G2450" s="657">
        <v>39538.99843693689</v>
      </c>
      <c r="H2450" s="657">
        <v>0</v>
      </c>
      <c r="I2450" s="657">
        <v>0</v>
      </c>
      <c r="J2450" s="657">
        <v>0</v>
      </c>
      <c r="K2450" s="654" t="s">
        <v>5406</v>
      </c>
      <c r="M2450" s="540"/>
      <c r="O2450" s="540"/>
    </row>
    <row r="2451" spans="1:15">
      <c r="A2451" s="565">
        <v>3145</v>
      </c>
      <c r="B2451" s="694" t="s">
        <v>7854</v>
      </c>
      <c r="C2451" s="566">
        <f t="shared" si="38"/>
        <v>3145</v>
      </c>
      <c r="D2451" s="698" t="s">
        <v>2249</v>
      </c>
      <c r="E2451" s="701" t="s">
        <v>10323</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7855</v>
      </c>
      <c r="C2452" s="566">
        <f t="shared" si="38"/>
        <v>3146</v>
      </c>
      <c r="D2452" s="698" t="s">
        <v>2249</v>
      </c>
      <c r="E2452" s="701" t="s">
        <v>10324</v>
      </c>
      <c r="F2452" s="551">
        <v>1</v>
      </c>
      <c r="G2452" s="657">
        <v>0</v>
      </c>
      <c r="H2452" s="657">
        <v>28361.763486805808</v>
      </c>
      <c r="I2452" s="657">
        <v>29222.793535133682</v>
      </c>
      <c r="J2452" s="657">
        <v>30129.166342309072</v>
      </c>
      <c r="K2452" s="654" t="s">
        <v>3262</v>
      </c>
      <c r="M2452" s="540"/>
      <c r="O2452" s="540"/>
    </row>
    <row r="2453" spans="1:15">
      <c r="A2453" s="565">
        <v>3147</v>
      </c>
      <c r="B2453" s="694" t="s">
        <v>7856</v>
      </c>
      <c r="C2453" s="566">
        <f t="shared" si="38"/>
        <v>3147</v>
      </c>
      <c r="D2453" s="698" t="s">
        <v>2249</v>
      </c>
      <c r="E2453" s="701" t="s">
        <v>10325</v>
      </c>
      <c r="F2453" s="551">
        <v>1</v>
      </c>
      <c r="G2453" s="657">
        <v>0</v>
      </c>
      <c r="H2453" s="657">
        <v>0</v>
      </c>
      <c r="I2453" s="657">
        <v>42897.491414809629</v>
      </c>
      <c r="J2453" s="657">
        <v>44238.553599970837</v>
      </c>
      <c r="K2453" s="654" t="s">
        <v>4261</v>
      </c>
      <c r="M2453" s="540"/>
      <c r="O2453" s="540"/>
    </row>
    <row r="2454" spans="1:15">
      <c r="A2454" s="565">
        <v>3148</v>
      </c>
      <c r="B2454" s="694" t="s">
        <v>7857</v>
      </c>
      <c r="C2454" s="566">
        <f t="shared" si="38"/>
        <v>3148</v>
      </c>
      <c r="D2454" s="698" t="s">
        <v>2249</v>
      </c>
      <c r="E2454" s="701" t="s">
        <v>10326</v>
      </c>
      <c r="F2454" s="551">
        <v>1</v>
      </c>
      <c r="G2454" s="657">
        <v>0</v>
      </c>
      <c r="H2454" s="657">
        <v>0</v>
      </c>
      <c r="I2454" s="657">
        <v>0</v>
      </c>
      <c r="J2454" s="657">
        <v>31661.709043511182</v>
      </c>
      <c r="K2454" s="654" t="s">
        <v>5039</v>
      </c>
      <c r="M2454" s="540"/>
      <c r="O2454" s="540"/>
    </row>
    <row r="2455" spans="1:15">
      <c r="A2455" s="565">
        <v>3149</v>
      </c>
      <c r="B2455" s="694" t="s">
        <v>7858</v>
      </c>
      <c r="C2455" s="566">
        <f t="shared" si="38"/>
        <v>3149</v>
      </c>
      <c r="D2455" s="698" t="s">
        <v>2249</v>
      </c>
      <c r="E2455" s="701" t="s">
        <v>10327</v>
      </c>
      <c r="F2455" s="551">
        <v>1</v>
      </c>
      <c r="G2455" s="657">
        <v>0</v>
      </c>
      <c r="H2455" s="657">
        <v>0</v>
      </c>
      <c r="I2455" s="657">
        <v>0</v>
      </c>
      <c r="J2455" s="657">
        <v>32726.207610190333</v>
      </c>
      <c r="K2455" s="654" t="s">
        <v>5040</v>
      </c>
      <c r="M2455" s="540"/>
      <c r="O2455" s="540"/>
    </row>
    <row r="2456" spans="1:15">
      <c r="A2456" s="565">
        <v>3150</v>
      </c>
      <c r="B2456" s="694" t="s">
        <v>7859</v>
      </c>
      <c r="C2456" s="566">
        <f t="shared" si="38"/>
        <v>3150</v>
      </c>
      <c r="D2456" s="698" t="s">
        <v>2249</v>
      </c>
      <c r="E2456" s="701" t="s">
        <v>10328</v>
      </c>
      <c r="F2456" s="551">
        <v>1</v>
      </c>
      <c r="G2456" s="657">
        <v>0</v>
      </c>
      <c r="H2456" s="657">
        <v>0</v>
      </c>
      <c r="I2456" s="657">
        <v>0</v>
      </c>
      <c r="J2456" s="657">
        <v>36877.752020239015</v>
      </c>
      <c r="K2456" s="654" t="s">
        <v>5041</v>
      </c>
      <c r="M2456" s="540"/>
      <c r="O2456" s="540"/>
    </row>
    <row r="2457" spans="1:15">
      <c r="A2457" s="565">
        <v>3151</v>
      </c>
      <c r="B2457" s="694" t="s">
        <v>7860</v>
      </c>
      <c r="C2457" s="566">
        <f t="shared" si="38"/>
        <v>3151</v>
      </c>
      <c r="D2457" s="698" t="s">
        <v>2249</v>
      </c>
      <c r="E2457" s="701" t="s">
        <v>10329</v>
      </c>
      <c r="F2457" s="551">
        <v>1</v>
      </c>
      <c r="G2457" s="657">
        <v>0</v>
      </c>
      <c r="H2457" s="657">
        <v>37143.876661908806</v>
      </c>
      <c r="I2457" s="657">
        <v>0</v>
      </c>
      <c r="J2457" s="657">
        <v>0</v>
      </c>
      <c r="K2457" s="654" t="s">
        <v>5042</v>
      </c>
      <c r="M2457" s="540"/>
      <c r="O2457" s="540"/>
    </row>
    <row r="2458" spans="1:15">
      <c r="A2458" s="565">
        <v>3152</v>
      </c>
      <c r="B2458" s="694" t="s">
        <v>7861</v>
      </c>
      <c r="C2458" s="566">
        <f t="shared" si="38"/>
        <v>3152</v>
      </c>
      <c r="D2458" s="698" t="s">
        <v>2249</v>
      </c>
      <c r="E2458" s="701" t="s">
        <v>10330</v>
      </c>
      <c r="F2458" s="551">
        <v>1</v>
      </c>
      <c r="G2458" s="657">
        <v>39121.721097324451</v>
      </c>
      <c r="H2458" s="657">
        <v>0</v>
      </c>
      <c r="I2458" s="657">
        <v>0</v>
      </c>
      <c r="J2458" s="657">
        <v>0</v>
      </c>
      <c r="K2458" s="654" t="s">
        <v>5407</v>
      </c>
      <c r="M2458" s="540"/>
      <c r="O2458" s="540"/>
    </row>
    <row r="2459" spans="1:15">
      <c r="A2459" s="565">
        <v>3153</v>
      </c>
      <c r="B2459" s="694" t="s">
        <v>7862</v>
      </c>
      <c r="C2459" s="566">
        <f t="shared" si="38"/>
        <v>3153</v>
      </c>
      <c r="D2459" s="698" t="s">
        <v>2249</v>
      </c>
      <c r="E2459" s="701" t="s">
        <v>10331</v>
      </c>
      <c r="F2459" s="551">
        <v>1</v>
      </c>
      <c r="G2459" s="657">
        <v>43667.236594880182</v>
      </c>
      <c r="H2459" s="657">
        <v>0</v>
      </c>
      <c r="I2459" s="657">
        <v>0</v>
      </c>
      <c r="J2459" s="657">
        <v>0</v>
      </c>
      <c r="K2459" s="654" t="s">
        <v>5408</v>
      </c>
      <c r="M2459" s="540"/>
      <c r="O2459" s="540"/>
    </row>
    <row r="2460" spans="1:15">
      <c r="A2460" s="565">
        <v>3154</v>
      </c>
      <c r="B2460" s="694" t="s">
        <v>7863</v>
      </c>
      <c r="C2460" s="566">
        <f t="shared" si="38"/>
        <v>3154</v>
      </c>
      <c r="D2460" s="698" t="s">
        <v>2249</v>
      </c>
      <c r="E2460" s="701" t="s">
        <v>10332</v>
      </c>
      <c r="F2460" s="551">
        <v>1</v>
      </c>
      <c r="G2460" s="657">
        <v>0</v>
      </c>
      <c r="H2460" s="657">
        <v>0</v>
      </c>
      <c r="I2460" s="657">
        <v>39065.296574764681</v>
      </c>
      <c r="J2460" s="657">
        <v>40279.82945741358</v>
      </c>
      <c r="K2460" s="654" t="s">
        <v>4262</v>
      </c>
      <c r="M2460" s="540"/>
      <c r="O2460" s="540"/>
    </row>
    <row r="2461" spans="1:15">
      <c r="A2461" s="565">
        <v>3155</v>
      </c>
      <c r="B2461" s="694" t="s">
        <v>7864</v>
      </c>
      <c r="C2461" s="566">
        <f t="shared" si="38"/>
        <v>3155</v>
      </c>
      <c r="D2461" s="698" t="s">
        <v>2249</v>
      </c>
      <c r="E2461" s="701" t="s">
        <v>10333</v>
      </c>
      <c r="F2461" s="551">
        <v>1</v>
      </c>
      <c r="G2461" s="657">
        <v>0</v>
      </c>
      <c r="H2461" s="657">
        <v>0</v>
      </c>
      <c r="I2461" s="657">
        <v>0</v>
      </c>
      <c r="J2461" s="657">
        <v>48054.986970370119</v>
      </c>
      <c r="K2461" s="654" t="s">
        <v>5043</v>
      </c>
      <c r="M2461" s="540"/>
      <c r="O2461" s="540"/>
    </row>
    <row r="2462" spans="1:15">
      <c r="A2462" s="565">
        <v>3156</v>
      </c>
      <c r="B2462" s="694" t="s">
        <v>7865</v>
      </c>
      <c r="C2462" s="566">
        <f t="shared" si="38"/>
        <v>3156</v>
      </c>
      <c r="D2462" s="698" t="s">
        <v>2249</v>
      </c>
      <c r="E2462" s="701" t="s">
        <v>10334</v>
      </c>
      <c r="F2462" s="551">
        <v>1</v>
      </c>
      <c r="G2462" s="657">
        <v>0</v>
      </c>
      <c r="H2462" s="657">
        <v>0</v>
      </c>
      <c r="I2462" s="657">
        <v>25434.392428438157</v>
      </c>
      <c r="J2462" s="657">
        <v>26198.800100302087</v>
      </c>
      <c r="K2462" s="654" t="s">
        <v>4263</v>
      </c>
      <c r="M2462" s="540"/>
      <c r="O2462" s="540"/>
    </row>
    <row r="2463" spans="1:15">
      <c r="A2463" s="565">
        <v>3157</v>
      </c>
      <c r="B2463" s="694" t="s">
        <v>7866</v>
      </c>
      <c r="C2463" s="566">
        <f t="shared" si="38"/>
        <v>3157</v>
      </c>
      <c r="D2463" s="698" t="s">
        <v>2249</v>
      </c>
      <c r="E2463" s="701" t="s">
        <v>10335</v>
      </c>
      <c r="F2463" s="551">
        <v>1</v>
      </c>
      <c r="G2463" s="657">
        <v>0</v>
      </c>
      <c r="H2463" s="657">
        <v>0</v>
      </c>
      <c r="I2463" s="657">
        <v>28894.012770145386</v>
      </c>
      <c r="J2463" s="657">
        <v>29772.630762576144</v>
      </c>
      <c r="K2463" s="654" t="s">
        <v>4264</v>
      </c>
      <c r="M2463" s="540"/>
      <c r="O2463" s="540"/>
    </row>
    <row r="2464" spans="1:15">
      <c r="A2464" s="565">
        <v>3158</v>
      </c>
      <c r="B2464" s="694" t="s">
        <v>7867</v>
      </c>
      <c r="C2464" s="566">
        <f t="shared" si="38"/>
        <v>3158</v>
      </c>
      <c r="D2464" s="698" t="s">
        <v>2249</v>
      </c>
      <c r="E2464" s="701" t="s">
        <v>10336</v>
      </c>
      <c r="F2464" s="551">
        <v>1</v>
      </c>
      <c r="G2464" s="657">
        <v>0</v>
      </c>
      <c r="H2464" s="657">
        <v>0</v>
      </c>
      <c r="I2464" s="657">
        <v>31289.134545173474</v>
      </c>
      <c r="J2464" s="657">
        <v>32246.861180699907</v>
      </c>
      <c r="K2464" s="654" t="s">
        <v>4265</v>
      </c>
      <c r="M2464" s="540"/>
      <c r="O2464" s="540"/>
    </row>
    <row r="2465" spans="1:15">
      <c r="A2465" s="565">
        <v>3159</v>
      </c>
      <c r="B2465" s="694" t="s">
        <v>7868</v>
      </c>
      <c r="C2465" s="566">
        <f t="shared" si="38"/>
        <v>3159</v>
      </c>
      <c r="D2465" s="698" t="s">
        <v>2249</v>
      </c>
      <c r="E2465" s="701" t="s">
        <v>10337</v>
      </c>
      <c r="F2465" s="551">
        <v>1</v>
      </c>
      <c r="G2465" s="657">
        <v>0</v>
      </c>
      <c r="H2465" s="657">
        <v>0</v>
      </c>
      <c r="I2465" s="657">
        <v>27297.264920126665</v>
      </c>
      <c r="J2465" s="657">
        <v>28123.156185616084</v>
      </c>
      <c r="K2465" s="654" t="s">
        <v>4266</v>
      </c>
      <c r="M2465" s="540"/>
      <c r="O2465" s="540"/>
    </row>
    <row r="2466" spans="1:15">
      <c r="A2466" s="565">
        <v>3160</v>
      </c>
      <c r="B2466" s="694" t="s">
        <v>7869</v>
      </c>
      <c r="C2466" s="566">
        <f t="shared" si="38"/>
        <v>3160</v>
      </c>
      <c r="D2466" s="698" t="s">
        <v>2249</v>
      </c>
      <c r="E2466" s="701" t="s">
        <v>10338</v>
      </c>
      <c r="F2466" s="551">
        <v>1</v>
      </c>
      <c r="G2466" s="657">
        <v>0</v>
      </c>
      <c r="H2466" s="657">
        <v>0</v>
      </c>
      <c r="I2466" s="657">
        <v>0</v>
      </c>
      <c r="J2466" s="657">
        <v>24636.01850342879</v>
      </c>
      <c r="K2466" s="654" t="s">
        <v>5044</v>
      </c>
      <c r="M2466" s="540"/>
      <c r="O2466" s="540"/>
    </row>
    <row r="2467" spans="1:15">
      <c r="A2467" s="565">
        <v>3161</v>
      </c>
      <c r="B2467" s="694" t="s">
        <v>7870</v>
      </c>
      <c r="C2467" s="566">
        <f t="shared" si="38"/>
        <v>3161</v>
      </c>
      <c r="D2467" s="698" t="s">
        <v>2249</v>
      </c>
      <c r="E2467" s="701" t="s">
        <v>10339</v>
      </c>
      <c r="F2467" s="551">
        <v>1</v>
      </c>
      <c r="G2467" s="657">
        <v>0</v>
      </c>
      <c r="H2467" s="657">
        <v>0</v>
      </c>
      <c r="I2467" s="657">
        <v>0</v>
      </c>
      <c r="J2467" s="657">
        <v>26498.890995117308</v>
      </c>
      <c r="K2467" s="654" t="s">
        <v>5045</v>
      </c>
      <c r="M2467" s="540"/>
      <c r="O2467" s="540"/>
    </row>
    <row r="2468" spans="1:15">
      <c r="A2468" s="565">
        <v>3162</v>
      </c>
      <c r="B2468" s="694" t="s">
        <v>7871</v>
      </c>
      <c r="C2468" s="566">
        <f t="shared" si="38"/>
        <v>3162</v>
      </c>
      <c r="D2468" s="698" t="s">
        <v>2249</v>
      </c>
      <c r="E2468" s="701" t="s">
        <v>10340</v>
      </c>
      <c r="F2468" s="551">
        <v>1</v>
      </c>
      <c r="G2468" s="657">
        <v>0</v>
      </c>
      <c r="H2468" s="657">
        <v>0</v>
      </c>
      <c r="I2468" s="657">
        <v>0</v>
      </c>
      <c r="J2468" s="657">
        <v>23039.270653410062</v>
      </c>
      <c r="K2468" s="654" t="s">
        <v>5046</v>
      </c>
      <c r="M2468" s="540"/>
      <c r="O2468" s="540"/>
    </row>
    <row r="2469" spans="1:15">
      <c r="A2469" s="565">
        <v>3163</v>
      </c>
      <c r="B2469" s="694" t="s">
        <v>7872</v>
      </c>
      <c r="C2469" s="566">
        <f t="shared" si="38"/>
        <v>3163</v>
      </c>
      <c r="D2469" s="698" t="s">
        <v>2249</v>
      </c>
      <c r="E2469" s="701" t="s">
        <v>10341</v>
      </c>
      <c r="F2469" s="551">
        <v>1</v>
      </c>
      <c r="G2469" s="657">
        <v>0</v>
      </c>
      <c r="H2469" s="657">
        <v>0</v>
      </c>
      <c r="I2469" s="657">
        <v>0</v>
      </c>
      <c r="J2469" s="657">
        <v>21974.772086730914</v>
      </c>
      <c r="K2469" s="654" t="s">
        <v>5047</v>
      </c>
      <c r="M2469" s="540"/>
      <c r="O2469" s="540"/>
    </row>
    <row r="2470" spans="1:15">
      <c r="A2470" s="565">
        <v>3164</v>
      </c>
      <c r="B2470" s="694" t="s">
        <v>7873</v>
      </c>
      <c r="C2470" s="566">
        <f t="shared" si="38"/>
        <v>3164</v>
      </c>
      <c r="D2470" s="698" t="s">
        <v>2249</v>
      </c>
      <c r="E2470" s="701" t="s">
        <v>10342</v>
      </c>
      <c r="F2470" s="551">
        <v>1</v>
      </c>
      <c r="G2470" s="657">
        <v>0</v>
      </c>
      <c r="H2470" s="657">
        <v>0</v>
      </c>
      <c r="I2470" s="657">
        <v>0</v>
      </c>
      <c r="J2470" s="657">
        <v>24369.893861759007</v>
      </c>
      <c r="K2470" s="654" t="s">
        <v>5048</v>
      </c>
      <c r="M2470" s="540"/>
      <c r="O2470" s="540"/>
    </row>
    <row r="2471" spans="1:15">
      <c r="A2471" s="565">
        <v>3165</v>
      </c>
      <c r="B2471" s="694" t="s">
        <v>7874</v>
      </c>
      <c r="C2471" s="566">
        <f t="shared" si="38"/>
        <v>3165</v>
      </c>
      <c r="D2471" s="698" t="s">
        <v>2249</v>
      </c>
      <c r="E2471" s="701" t="s">
        <v>10343</v>
      </c>
      <c r="F2471" s="551">
        <v>1</v>
      </c>
      <c r="G2471" s="657">
        <v>0</v>
      </c>
      <c r="H2471" s="657">
        <v>0</v>
      </c>
      <c r="I2471" s="657">
        <v>0</v>
      </c>
      <c r="J2471" s="657">
        <v>28361.763486805808</v>
      </c>
      <c r="K2471" s="654" t="s">
        <v>5049</v>
      </c>
      <c r="M2471" s="540"/>
      <c r="O2471" s="540"/>
    </row>
    <row r="2472" spans="1:15">
      <c r="A2472" s="565">
        <v>3166</v>
      </c>
      <c r="B2472" s="694" t="s">
        <v>7875</v>
      </c>
      <c r="C2472" s="566">
        <f t="shared" si="38"/>
        <v>3166</v>
      </c>
      <c r="D2472" s="698" t="s">
        <v>2249</v>
      </c>
      <c r="E2472" s="701" t="s">
        <v>10344</v>
      </c>
      <c r="F2472" s="551">
        <v>1</v>
      </c>
      <c r="G2472" s="657">
        <v>0</v>
      </c>
      <c r="H2472" s="657">
        <v>0</v>
      </c>
      <c r="I2472" s="657">
        <v>0</v>
      </c>
      <c r="J2472" s="657">
        <v>33787.23558829572</v>
      </c>
      <c r="K2472" s="654" t="s">
        <v>5050</v>
      </c>
      <c r="M2472" s="540"/>
      <c r="O2472" s="540"/>
    </row>
    <row r="2473" spans="1:15">
      <c r="A2473" s="565">
        <v>3167</v>
      </c>
      <c r="B2473" s="694" t="s">
        <v>7876</v>
      </c>
      <c r="C2473" s="566">
        <f t="shared" si="38"/>
        <v>3167</v>
      </c>
      <c r="D2473" s="698" t="s">
        <v>2249</v>
      </c>
      <c r="E2473" s="701" t="s">
        <v>10345</v>
      </c>
      <c r="F2473" s="551">
        <v>1</v>
      </c>
      <c r="G2473" s="657">
        <v>0</v>
      </c>
      <c r="H2473" s="657">
        <v>0</v>
      </c>
      <c r="I2473" s="657">
        <v>30756.885261833897</v>
      </c>
      <c r="J2473" s="657">
        <v>31697.023953257445</v>
      </c>
      <c r="K2473" s="654" t="s">
        <v>4267</v>
      </c>
      <c r="M2473" s="540"/>
      <c r="O2473" s="540"/>
    </row>
    <row r="2474" spans="1:15">
      <c r="A2474" s="565">
        <v>3168</v>
      </c>
      <c r="B2474" s="694" t="s">
        <v>7877</v>
      </c>
      <c r="C2474" s="566">
        <f t="shared" si="38"/>
        <v>3168</v>
      </c>
      <c r="D2474" s="698" t="s">
        <v>2249</v>
      </c>
      <c r="E2474" s="701" t="s">
        <v>10346</v>
      </c>
      <c r="F2474" s="551">
        <v>1</v>
      </c>
      <c r="G2474" s="657">
        <v>0</v>
      </c>
      <c r="H2474" s="657">
        <v>0</v>
      </c>
      <c r="I2474" s="657">
        <v>0</v>
      </c>
      <c r="J2474" s="657">
        <v>31714.933971845134</v>
      </c>
      <c r="K2474" s="654" t="s">
        <v>5051</v>
      </c>
      <c r="M2474" s="540"/>
      <c r="O2474" s="540"/>
    </row>
    <row r="2475" spans="1:15">
      <c r="A2475" s="565">
        <v>3169</v>
      </c>
      <c r="B2475" s="694" t="s">
        <v>7878</v>
      </c>
      <c r="C2475" s="566">
        <f t="shared" si="38"/>
        <v>3169</v>
      </c>
      <c r="D2475" s="698" t="s">
        <v>2249</v>
      </c>
      <c r="E2475" s="701" t="s">
        <v>10347</v>
      </c>
      <c r="F2475" s="551">
        <v>1</v>
      </c>
      <c r="G2475" s="657">
        <v>0</v>
      </c>
      <c r="H2475" s="657">
        <v>0</v>
      </c>
      <c r="I2475" s="657">
        <v>29160.137411815176</v>
      </c>
      <c r="J2475" s="657">
        <v>30047.549376297371</v>
      </c>
      <c r="K2475" s="654" t="s">
        <v>4268</v>
      </c>
      <c r="M2475" s="540"/>
      <c r="O2475" s="540"/>
    </row>
    <row r="2476" spans="1:15">
      <c r="A2476" s="565">
        <v>3170</v>
      </c>
      <c r="B2476" s="694" t="s">
        <v>7879</v>
      </c>
      <c r="C2476" s="566">
        <f t="shared" si="38"/>
        <v>3170</v>
      </c>
      <c r="D2476" s="698" t="s">
        <v>2249</v>
      </c>
      <c r="E2476" s="701" t="s">
        <v>10348</v>
      </c>
      <c r="F2476" s="551">
        <v>1</v>
      </c>
      <c r="G2476" s="657">
        <v>35244.657592957621</v>
      </c>
      <c r="H2476" s="657">
        <v>0</v>
      </c>
      <c r="I2476" s="657">
        <v>0</v>
      </c>
      <c r="J2476" s="657">
        <v>0</v>
      </c>
      <c r="K2476" s="654" t="s">
        <v>5409</v>
      </c>
      <c r="M2476" s="540"/>
      <c r="O2476" s="540"/>
    </row>
    <row r="2477" spans="1:15">
      <c r="A2477" s="565">
        <v>3171</v>
      </c>
      <c r="B2477" s="694" t="s">
        <v>7880</v>
      </c>
      <c r="C2477" s="566">
        <f t="shared" si="38"/>
        <v>3171</v>
      </c>
      <c r="D2477" s="698" t="s">
        <v>2249</v>
      </c>
      <c r="E2477" s="701" t="s">
        <v>10349</v>
      </c>
      <c r="F2477" s="551">
        <v>1</v>
      </c>
      <c r="G2477" s="657">
        <v>0</v>
      </c>
      <c r="H2477" s="657">
        <v>0</v>
      </c>
      <c r="I2477" s="657">
        <v>31081.557324671041</v>
      </c>
      <c r="J2477" s="657">
        <v>32032.419467245916</v>
      </c>
      <c r="K2477" s="654" t="s">
        <v>4269</v>
      </c>
      <c r="M2477" s="540"/>
      <c r="O2477" s="540"/>
    </row>
    <row r="2478" spans="1:15">
      <c r="A2478" s="565">
        <v>3172</v>
      </c>
      <c r="B2478" s="694" t="s">
        <v>7881</v>
      </c>
      <c r="C2478" s="566">
        <f t="shared" si="38"/>
        <v>3172</v>
      </c>
      <c r="D2478" s="698" t="s">
        <v>2249</v>
      </c>
      <c r="E2478" s="701" t="s">
        <v>10350</v>
      </c>
      <c r="F2478" s="551">
        <v>1</v>
      </c>
      <c r="G2478" s="657">
        <v>0</v>
      </c>
      <c r="H2478" s="657">
        <v>0</v>
      </c>
      <c r="I2478" s="657">
        <v>0</v>
      </c>
      <c r="J2478" s="657">
        <v>33152.007036861993</v>
      </c>
      <c r="K2478" s="654" t="s">
        <v>5052</v>
      </c>
      <c r="M2478" s="540"/>
      <c r="O2478" s="540"/>
    </row>
    <row r="2479" spans="1:15">
      <c r="A2479" s="565">
        <v>3173</v>
      </c>
      <c r="B2479" s="694" t="s">
        <v>7882</v>
      </c>
      <c r="C2479" s="566">
        <f t="shared" si="38"/>
        <v>3173</v>
      </c>
      <c r="D2479" s="698" t="s">
        <v>2249</v>
      </c>
      <c r="E2479" s="701" t="s">
        <v>10351</v>
      </c>
      <c r="F2479" s="551">
        <v>1</v>
      </c>
      <c r="G2479" s="657">
        <v>0</v>
      </c>
      <c r="H2479" s="657">
        <v>0</v>
      </c>
      <c r="I2479" s="657">
        <v>34594.402594712243</v>
      </c>
      <c r="J2479" s="657">
        <v>35661.29322085192</v>
      </c>
      <c r="K2479" s="654" t="s">
        <v>4270</v>
      </c>
      <c r="M2479" s="540"/>
      <c r="O2479" s="540"/>
    </row>
    <row r="2480" spans="1:15">
      <c r="A2480" s="565">
        <v>3174</v>
      </c>
      <c r="B2480" s="694" t="s">
        <v>7883</v>
      </c>
      <c r="C2480" s="566">
        <f t="shared" si="38"/>
        <v>3174</v>
      </c>
      <c r="D2480" s="698" t="s">
        <v>2249</v>
      </c>
      <c r="E2480" s="701" t="s">
        <v>10352</v>
      </c>
      <c r="F2480" s="551">
        <v>1</v>
      </c>
      <c r="G2480" s="657">
        <v>0</v>
      </c>
      <c r="H2480" s="657">
        <v>0</v>
      </c>
      <c r="I2480" s="657">
        <v>0</v>
      </c>
      <c r="J2480" s="657">
        <v>36877.752020239015</v>
      </c>
      <c r="K2480" s="654" t="s">
        <v>5053</v>
      </c>
      <c r="M2480" s="540"/>
      <c r="O2480" s="540"/>
    </row>
    <row r="2481" spans="1:15">
      <c r="A2481" s="565">
        <v>3175</v>
      </c>
      <c r="B2481" s="694" t="s">
        <v>7884</v>
      </c>
      <c r="C2481" s="566">
        <f t="shared" si="38"/>
        <v>3175</v>
      </c>
      <c r="D2481" s="698" t="s">
        <v>2249</v>
      </c>
      <c r="E2481" s="701" t="s">
        <v>10353</v>
      </c>
      <c r="F2481" s="551">
        <v>1</v>
      </c>
      <c r="G2481" s="657">
        <v>0</v>
      </c>
      <c r="H2481" s="657">
        <v>31028.332396337089</v>
      </c>
      <c r="I2481" s="657">
        <v>31977.450586648589</v>
      </c>
      <c r="J2481" s="657">
        <v>32976.512601353519</v>
      </c>
      <c r="K2481" s="654" t="s">
        <v>4271</v>
      </c>
      <c r="M2481" s="540"/>
      <c r="O2481" s="540"/>
    </row>
    <row r="2482" spans="1:15">
      <c r="A2482" s="565">
        <v>3176</v>
      </c>
      <c r="B2482" s="694" t="s">
        <v>7885</v>
      </c>
      <c r="C2482" s="566">
        <f t="shared" si="38"/>
        <v>3176</v>
      </c>
      <c r="D2482" s="698" t="s">
        <v>2249</v>
      </c>
      <c r="E2482" s="701" t="s">
        <v>10354</v>
      </c>
      <c r="F2482" s="551">
        <v>1</v>
      </c>
      <c r="G2482" s="657">
        <v>0</v>
      </c>
      <c r="H2482" s="657">
        <v>0</v>
      </c>
      <c r="I2482" s="657">
        <v>0</v>
      </c>
      <c r="J2482" s="657">
        <v>34748.754886880721</v>
      </c>
      <c r="K2482" s="654" t="s">
        <v>5054</v>
      </c>
      <c r="M2482" s="540"/>
      <c r="O2482" s="540"/>
    </row>
    <row r="2483" spans="1:15">
      <c r="A2483" s="565">
        <v>3177</v>
      </c>
      <c r="B2483" s="694" t="s">
        <v>7886</v>
      </c>
      <c r="C2483" s="566">
        <f t="shared" si="38"/>
        <v>3177</v>
      </c>
      <c r="D2483" s="698" t="s">
        <v>2249</v>
      </c>
      <c r="E2483" s="701" t="s">
        <v>10355</v>
      </c>
      <c r="F2483" s="551">
        <v>1</v>
      </c>
      <c r="G2483" s="657">
        <v>34327.745703759116</v>
      </c>
      <c r="H2483" s="657">
        <v>35385.805252480044</v>
      </c>
      <c r="I2483" s="657">
        <v>0</v>
      </c>
      <c r="J2483" s="657">
        <v>0</v>
      </c>
      <c r="K2483" s="654" t="s">
        <v>2190</v>
      </c>
      <c r="M2483" s="540"/>
      <c r="O2483" s="540"/>
    </row>
    <row r="2484" spans="1:15">
      <c r="A2484" s="565">
        <v>3178</v>
      </c>
      <c r="B2484" s="694" t="s">
        <v>7887</v>
      </c>
      <c r="C2484" s="566">
        <f t="shared" si="38"/>
        <v>3178</v>
      </c>
      <c r="D2484" s="698" t="s">
        <v>2249</v>
      </c>
      <c r="E2484" s="701" t="s">
        <v>10356</v>
      </c>
      <c r="F2484" s="551">
        <v>1</v>
      </c>
      <c r="G2484" s="657">
        <v>34796.657322381281</v>
      </c>
      <c r="H2484" s="657">
        <v>35870.189809268661</v>
      </c>
      <c r="I2484" s="657">
        <v>0</v>
      </c>
      <c r="J2484" s="657">
        <v>0</v>
      </c>
      <c r="K2484" s="654" t="s">
        <v>2191</v>
      </c>
      <c r="M2484" s="540"/>
      <c r="O2484" s="540"/>
    </row>
    <row r="2485" spans="1:15">
      <c r="A2485" s="565">
        <v>3179</v>
      </c>
      <c r="B2485" s="694" t="s">
        <v>7888</v>
      </c>
      <c r="C2485" s="566">
        <f t="shared" si="38"/>
        <v>3179</v>
      </c>
      <c r="D2485" s="698" t="s">
        <v>2249</v>
      </c>
      <c r="E2485" s="701" t="s">
        <v>10357</v>
      </c>
      <c r="F2485" s="551">
        <v>1</v>
      </c>
      <c r="G2485" s="657">
        <v>38655.464626593202</v>
      </c>
      <c r="H2485" s="657">
        <v>0</v>
      </c>
      <c r="I2485" s="657">
        <v>0</v>
      </c>
      <c r="J2485" s="657">
        <v>0</v>
      </c>
      <c r="K2485" s="654" t="s">
        <v>5410</v>
      </c>
      <c r="M2485" s="540"/>
      <c r="O2485" s="540"/>
    </row>
    <row r="2486" spans="1:15">
      <c r="A2486" s="565">
        <v>3180</v>
      </c>
      <c r="B2486" s="694" t="s">
        <v>7889</v>
      </c>
      <c r="C2486" s="566">
        <f t="shared" si="38"/>
        <v>3180</v>
      </c>
      <c r="D2486" s="698" t="s">
        <v>2249</v>
      </c>
      <c r="E2486" s="701" t="s">
        <v>10358</v>
      </c>
      <c r="F2486" s="551">
        <v>1</v>
      </c>
      <c r="G2486" s="657">
        <v>38628.852162426236</v>
      </c>
      <c r="H2486" s="657">
        <v>0</v>
      </c>
      <c r="I2486" s="657">
        <v>0</v>
      </c>
      <c r="J2486" s="657">
        <v>0</v>
      </c>
      <c r="K2486" s="654" t="s">
        <v>5411</v>
      </c>
      <c r="M2486" s="540"/>
      <c r="O2486" s="540"/>
    </row>
    <row r="2487" spans="1:15">
      <c r="A2487" s="565">
        <v>3181</v>
      </c>
      <c r="B2487" s="694" t="s">
        <v>7890</v>
      </c>
      <c r="C2487" s="566">
        <f t="shared" si="38"/>
        <v>3181</v>
      </c>
      <c r="D2487" s="698" t="s">
        <v>2249</v>
      </c>
      <c r="E2487" s="701" t="s">
        <v>10359</v>
      </c>
      <c r="F2487" s="551">
        <v>1</v>
      </c>
      <c r="G2487" s="657">
        <v>39485.77350860295</v>
      </c>
      <c r="H2487" s="657">
        <v>0</v>
      </c>
      <c r="I2487" s="657">
        <v>0</v>
      </c>
      <c r="J2487" s="657">
        <v>0</v>
      </c>
      <c r="K2487" s="654" t="s">
        <v>5412</v>
      </c>
      <c r="M2487" s="540"/>
      <c r="O2487" s="540"/>
    </row>
    <row r="2488" spans="1:15">
      <c r="A2488" s="565">
        <v>3182</v>
      </c>
      <c r="B2488" s="694" t="s">
        <v>7891</v>
      </c>
      <c r="C2488" s="566">
        <f t="shared" si="38"/>
        <v>3182</v>
      </c>
      <c r="D2488" s="698" t="s">
        <v>2249</v>
      </c>
      <c r="E2488" s="701" t="s">
        <v>10360</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7892</v>
      </c>
      <c r="C2489" s="566">
        <f t="shared" si="38"/>
        <v>3183</v>
      </c>
      <c r="D2489" s="698" t="s">
        <v>2249</v>
      </c>
      <c r="E2489" s="701" t="s">
        <v>10361</v>
      </c>
      <c r="F2489" s="551">
        <v>1</v>
      </c>
      <c r="G2489" s="657">
        <v>39341.788493135486</v>
      </c>
      <c r="H2489" s="657">
        <v>40515.616787850078</v>
      </c>
      <c r="I2489" s="657">
        <v>41751.225519128595</v>
      </c>
      <c r="J2489" s="657">
        <v>43051.879959293939</v>
      </c>
      <c r="K2489" s="654" t="s">
        <v>4272</v>
      </c>
      <c r="M2489" s="540"/>
      <c r="O2489" s="540"/>
    </row>
    <row r="2490" spans="1:15">
      <c r="A2490" s="565">
        <v>3184</v>
      </c>
      <c r="B2490" s="694" t="s">
        <v>7893</v>
      </c>
      <c r="C2490" s="566">
        <f t="shared" si="38"/>
        <v>3184</v>
      </c>
      <c r="D2490" s="698" t="s">
        <v>2249</v>
      </c>
      <c r="E2490" s="701" t="s">
        <v>10362</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3791</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3293</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3298</v>
      </c>
      <c r="C24" s="15">
        <f>A24</f>
        <v>1</v>
      </c>
      <c r="D24" s="41" t="b">
        <v>1</v>
      </c>
      <c r="E24" s="116" t="s">
        <v>3265</v>
      </c>
    </row>
    <row r="25" spans="1:6">
      <c r="A25" s="14">
        <v>2</v>
      </c>
      <c r="B25" s="32" t="s">
        <v>4278</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75" t="s">
        <v>12</v>
      </c>
      <c r="I37" s="976"/>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3293</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3300</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3304</v>
      </c>
    </row>
    <row r="65" spans="1:6">
      <c r="B65" s="418" t="s">
        <v>3299</v>
      </c>
      <c r="C65" t="s">
        <v>3302</v>
      </c>
    </row>
    <row r="66" spans="1:6">
      <c r="B66" s="418" t="s">
        <v>3301</v>
      </c>
      <c r="C66" t="s">
        <v>3303</v>
      </c>
    </row>
    <row r="68" spans="1:6">
      <c r="B68" s="13" t="s">
        <v>1637</v>
      </c>
      <c r="F68" s="561"/>
    </row>
    <row r="69" spans="1:6">
      <c r="A69" s="2" t="s">
        <v>493</v>
      </c>
      <c r="B69" s="2" t="s">
        <v>494</v>
      </c>
      <c r="C69" s="3" t="s">
        <v>495</v>
      </c>
      <c r="D69" s="2" t="s">
        <v>1638</v>
      </c>
      <c r="E69" s="415" t="s">
        <v>3293</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10617</v>
      </c>
      <c r="B1" s="259"/>
      <c r="C1" s="259"/>
      <c r="D1" s="259"/>
      <c r="E1" s="259"/>
      <c r="G1" s="259" t="s">
        <v>10613</v>
      </c>
      <c r="H1" s="259"/>
    </row>
    <row r="2" spans="1:8" ht="15.75" thickTop="1"/>
    <row r="3" spans="1:8">
      <c r="A3" s="453" t="s">
        <v>10607</v>
      </c>
      <c r="B3" s="453" t="s">
        <v>10614</v>
      </c>
      <c r="C3" s="453" t="s">
        <v>10623</v>
      </c>
      <c r="D3" s="453" t="s">
        <v>10613</v>
      </c>
      <c r="E3" s="453" t="s">
        <v>10617</v>
      </c>
      <c r="G3" s="453" t="s">
        <v>10614</v>
      </c>
      <c r="H3" s="453" t="s">
        <v>10615</v>
      </c>
    </row>
    <row r="4" spans="1:8">
      <c r="A4" s="813" t="s">
        <v>10609</v>
      </c>
      <c r="B4" s="813" t="s">
        <v>1694</v>
      </c>
      <c r="C4" s="813" t="s">
        <v>10618</v>
      </c>
      <c r="D4" s="813" t="b">
        <v>0</v>
      </c>
      <c r="E4" s="819">
        <v>0.129</v>
      </c>
      <c r="G4" s="813" t="s">
        <v>1694</v>
      </c>
      <c r="H4" s="452">
        <v>0.3</v>
      </c>
    </row>
    <row r="5" spans="1:8">
      <c r="A5" s="813" t="s">
        <v>10609</v>
      </c>
      <c r="B5" s="813" t="s">
        <v>1694</v>
      </c>
      <c r="C5" s="813" t="s">
        <v>10618</v>
      </c>
      <c r="D5" s="813" t="b">
        <v>1</v>
      </c>
      <c r="E5" s="819">
        <v>0.11990000000000001</v>
      </c>
      <c r="G5" s="813" t="s">
        <v>1695</v>
      </c>
      <c r="H5" s="452">
        <v>0.35</v>
      </c>
    </row>
    <row r="6" spans="1:8">
      <c r="A6" s="813" t="s">
        <v>10609</v>
      </c>
      <c r="B6" s="813" t="s">
        <v>1694</v>
      </c>
      <c r="C6" s="813">
        <v>60</v>
      </c>
      <c r="D6" s="813" t="b">
        <v>0</v>
      </c>
      <c r="E6" s="819">
        <v>0.13200000000000001</v>
      </c>
    </row>
    <row r="7" spans="1:8" s="701" customFormat="1">
      <c r="A7" s="813" t="s">
        <v>10609</v>
      </c>
      <c r="B7" s="813" t="s">
        <v>1694</v>
      </c>
      <c r="C7" s="813">
        <v>60</v>
      </c>
      <c r="D7" s="813" t="b">
        <v>1</v>
      </c>
      <c r="E7" s="819">
        <v>0.125</v>
      </c>
    </row>
    <row r="8" spans="1:8" s="701" customFormat="1">
      <c r="A8" s="813" t="s">
        <v>10609</v>
      </c>
      <c r="B8" s="813" t="s">
        <v>1695</v>
      </c>
      <c r="C8" s="813" t="s">
        <v>10618</v>
      </c>
      <c r="D8" s="813" t="b">
        <v>0</v>
      </c>
      <c r="E8" s="819">
        <v>0.13200000000000001</v>
      </c>
    </row>
    <row r="9" spans="1:8">
      <c r="A9" s="813" t="s">
        <v>10609</v>
      </c>
      <c r="B9" s="813" t="s">
        <v>1695</v>
      </c>
      <c r="C9" s="813" t="s">
        <v>10618</v>
      </c>
      <c r="D9" s="813" t="b">
        <v>1</v>
      </c>
      <c r="E9" s="819">
        <v>0.129</v>
      </c>
    </row>
    <row r="10" spans="1:8">
      <c r="A10" s="813" t="s">
        <v>10609</v>
      </c>
      <c r="B10" s="813" t="s">
        <v>1695</v>
      </c>
      <c r="C10" s="813">
        <v>60</v>
      </c>
      <c r="D10" s="813" t="b">
        <v>0</v>
      </c>
      <c r="E10" s="819">
        <v>0.1399</v>
      </c>
    </row>
    <row r="11" spans="1:8">
      <c r="A11" s="813" t="s">
        <v>10609</v>
      </c>
      <c r="B11" s="813" t="s">
        <v>1695</v>
      </c>
      <c r="C11" s="813">
        <v>60</v>
      </c>
      <c r="D11" s="813" t="b">
        <v>1</v>
      </c>
      <c r="E11" s="819">
        <v>0.13200000000000001</v>
      </c>
    </row>
    <row r="12" spans="1:8">
      <c r="A12" s="813" t="s">
        <v>10610</v>
      </c>
      <c r="B12" s="813" t="s">
        <v>1694</v>
      </c>
      <c r="C12" s="813" t="s">
        <v>10618</v>
      </c>
      <c r="D12" s="813" t="b">
        <v>0</v>
      </c>
      <c r="E12" s="819">
        <v>0.11990000000000001</v>
      </c>
    </row>
    <row r="13" spans="1:8">
      <c r="A13" s="813" t="s">
        <v>10610</v>
      </c>
      <c r="B13" s="813" t="s">
        <v>1694</v>
      </c>
      <c r="C13" s="813" t="s">
        <v>10618</v>
      </c>
      <c r="D13" s="813" t="b">
        <v>1</v>
      </c>
      <c r="E13" s="819">
        <v>0.115</v>
      </c>
    </row>
    <row r="14" spans="1:8">
      <c r="A14" s="813" t="s">
        <v>10610</v>
      </c>
      <c r="B14" s="813" t="s">
        <v>1694</v>
      </c>
      <c r="C14" s="813">
        <v>60</v>
      </c>
      <c r="D14" s="813" t="b">
        <v>0</v>
      </c>
      <c r="E14" s="819">
        <v>0.125</v>
      </c>
    </row>
    <row r="15" spans="1:8">
      <c r="A15" s="813" t="s">
        <v>10610</v>
      </c>
      <c r="B15" s="813" t="s">
        <v>1694</v>
      </c>
      <c r="C15" s="813">
        <v>60</v>
      </c>
      <c r="D15" s="813" t="b">
        <v>1</v>
      </c>
      <c r="E15" s="819">
        <v>0.11990000000000001</v>
      </c>
    </row>
    <row r="16" spans="1:8">
      <c r="A16" s="813" t="s">
        <v>10610</v>
      </c>
      <c r="B16" s="813" t="s">
        <v>1695</v>
      </c>
      <c r="C16" s="813" t="s">
        <v>10618</v>
      </c>
      <c r="D16" s="813" t="b">
        <v>0</v>
      </c>
      <c r="E16" s="819">
        <v>0.11990000000000001</v>
      </c>
    </row>
    <row r="17" spans="1:5">
      <c r="A17" s="813" t="s">
        <v>10610</v>
      </c>
      <c r="B17" s="813" t="s">
        <v>1695</v>
      </c>
      <c r="C17" s="813" t="s">
        <v>10618</v>
      </c>
      <c r="D17" s="813" t="b">
        <v>1</v>
      </c>
      <c r="E17" s="819">
        <v>0.115</v>
      </c>
    </row>
    <row r="18" spans="1:5">
      <c r="A18" s="813" t="s">
        <v>10610</v>
      </c>
      <c r="B18" s="813" t="s">
        <v>1695</v>
      </c>
      <c r="C18" s="813">
        <v>60</v>
      </c>
      <c r="D18" s="813" t="b">
        <v>0</v>
      </c>
      <c r="E18" s="819">
        <v>0.125</v>
      </c>
    </row>
    <row r="19" spans="1:5">
      <c r="A19" s="813" t="s">
        <v>10610</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 workbookViewId="1"/>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10598</v>
      </c>
      <c r="B1" s="259"/>
      <c r="C1" s="259"/>
    </row>
    <row r="2" spans="1:7" s="701" customFormat="1" ht="15.75" thickTop="1">
      <c r="D2"/>
    </row>
    <row r="3" spans="1:7">
      <c r="A3" s="453" t="s">
        <v>10598</v>
      </c>
      <c r="B3" s="453" t="s">
        <v>10601</v>
      </c>
      <c r="E3" s="701" t="s">
        <v>10604</v>
      </c>
      <c r="F3" s="454" t="s">
        <v>10600</v>
      </c>
    </row>
    <row r="4" spans="1:7">
      <c r="A4" s="868" t="s">
        <v>10599</v>
      </c>
      <c r="B4" s="809" t="s">
        <v>10602</v>
      </c>
      <c r="E4" s="451"/>
      <c r="F4" s="451"/>
      <c r="G4" s="451"/>
    </row>
    <row r="5" spans="1:7">
      <c r="A5" s="868" t="s">
        <v>10600</v>
      </c>
      <c r="B5" s="809" t="s">
        <v>10603</v>
      </c>
      <c r="F5" s="451"/>
    </row>
    <row r="6" spans="1:7">
      <c r="F6" s="451"/>
    </row>
    <row r="7" spans="1:7" ht="18" thickBot="1">
      <c r="A7" s="259" t="s">
        <v>10607</v>
      </c>
      <c r="B7" s="259"/>
      <c r="C7" s="259"/>
    </row>
    <row r="8" spans="1:7" ht="15.75" thickTop="1"/>
    <row r="9" spans="1:7">
      <c r="A9" s="453" t="s">
        <v>10607</v>
      </c>
      <c r="B9" s="453" t="s">
        <v>10601</v>
      </c>
      <c r="C9" s="453" t="s">
        <v>3819</v>
      </c>
      <c r="E9" s="701" t="s">
        <v>10611</v>
      </c>
      <c r="F9" s="454" t="s">
        <v>3284</v>
      </c>
    </row>
    <row r="10" spans="1:7">
      <c r="A10" s="809" t="s">
        <v>3284</v>
      </c>
      <c r="B10" s="809" t="s">
        <v>10609</v>
      </c>
      <c r="C10" s="60">
        <v>2.5000000000000001E-2</v>
      </c>
    </row>
    <row r="11" spans="1:7">
      <c r="A11" s="809" t="s">
        <v>10608</v>
      </c>
      <c r="B11" s="809" t="s">
        <v>10610</v>
      </c>
      <c r="C11" s="452">
        <v>0.01</v>
      </c>
    </row>
    <row r="13" spans="1:7" s="701" customFormat="1" ht="18" thickBot="1">
      <c r="A13" s="259" t="s">
        <v>10621</v>
      </c>
      <c r="B13" s="259"/>
      <c r="C13" s="259"/>
      <c r="D13"/>
    </row>
    <row r="14" spans="1:7" s="701" customFormat="1" ht="15.75" thickTop="1">
      <c r="D14"/>
    </row>
    <row r="15" spans="1:7">
      <c r="A15" s="453" t="s">
        <v>10614</v>
      </c>
      <c r="B15" s="453" t="s">
        <v>10607</v>
      </c>
      <c r="C15" s="453" t="s">
        <v>10620</v>
      </c>
    </row>
    <row r="16" spans="1:7">
      <c r="A16" s="818" t="s">
        <v>1694</v>
      </c>
      <c r="B16" s="818" t="s">
        <v>10609</v>
      </c>
      <c r="C16" s="819">
        <v>0.1</v>
      </c>
    </row>
    <row r="17" spans="1:3">
      <c r="A17" s="818" t="s">
        <v>1694</v>
      </c>
      <c r="B17" s="818" t="s">
        <v>10610</v>
      </c>
      <c r="C17" s="819">
        <v>0.15</v>
      </c>
    </row>
    <row r="18" spans="1:3">
      <c r="A18" s="818" t="s">
        <v>1695</v>
      </c>
      <c r="B18" s="818" t="s">
        <v>10609</v>
      </c>
      <c r="C18" s="819">
        <v>0.25</v>
      </c>
    </row>
    <row r="19" spans="1:3">
      <c r="A19" s="818" t="s">
        <v>1695</v>
      </c>
      <c r="B19" s="818" t="s">
        <v>10610</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96"/>
  <sheetViews>
    <sheetView tabSelected="1" topLeftCell="D163" zoomScale="85" zoomScaleNormal="85" workbookViewId="0">
      <selection activeCell="D197" sqref="D197"/>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3487</v>
      </c>
    </row>
    <row r="3" spans="1:4">
      <c r="A3" t="s">
        <v>1759</v>
      </c>
      <c r="B3" t="s">
        <v>3488</v>
      </c>
      <c r="C3" t="s">
        <v>3489</v>
      </c>
      <c r="D3" t="s">
        <v>3490</v>
      </c>
    </row>
    <row r="4" spans="1:4">
      <c r="A4" s="392">
        <v>41733</v>
      </c>
      <c r="B4" t="s">
        <v>3491</v>
      </c>
      <c r="C4" t="s">
        <v>3492</v>
      </c>
      <c r="D4" t="s">
        <v>3486</v>
      </c>
    </row>
    <row r="5" spans="1:4">
      <c r="A5" s="392">
        <v>41733</v>
      </c>
      <c r="B5" t="s">
        <v>3491</v>
      </c>
      <c r="C5" t="s">
        <v>3492</v>
      </c>
      <c r="D5" t="s">
        <v>3493</v>
      </c>
    </row>
    <row r="6" spans="1:4">
      <c r="A6" s="392">
        <v>41733</v>
      </c>
      <c r="B6" t="s">
        <v>3491</v>
      </c>
      <c r="C6" t="s">
        <v>3492</v>
      </c>
      <c r="D6" t="s">
        <v>3788</v>
      </c>
    </row>
    <row r="7" spans="1:4">
      <c r="A7" s="392">
        <v>41733</v>
      </c>
      <c r="B7" t="s">
        <v>3491</v>
      </c>
      <c r="C7" t="s">
        <v>3492</v>
      </c>
    </row>
    <row r="8" spans="1:4">
      <c r="A8" s="392">
        <v>41733</v>
      </c>
      <c r="B8" t="s">
        <v>3491</v>
      </c>
      <c r="C8" t="s">
        <v>3492</v>
      </c>
    </row>
    <row r="9" spans="1:4">
      <c r="A9" s="392">
        <v>41736</v>
      </c>
      <c r="B9" t="s">
        <v>3839</v>
      </c>
      <c r="C9" t="s">
        <v>3840</v>
      </c>
      <c r="D9" t="s">
        <v>3838</v>
      </c>
    </row>
    <row r="10" spans="1:4">
      <c r="A10" s="392">
        <v>41736</v>
      </c>
      <c r="B10" t="s">
        <v>3839</v>
      </c>
      <c r="C10" t="s">
        <v>3840</v>
      </c>
      <c r="D10" t="s">
        <v>3837</v>
      </c>
    </row>
    <row r="11" spans="1:4">
      <c r="A11" s="392">
        <v>41736</v>
      </c>
      <c r="B11" t="s">
        <v>3839</v>
      </c>
      <c r="C11" t="s">
        <v>3840</v>
      </c>
      <c r="D11" t="s">
        <v>3836</v>
      </c>
    </row>
    <row r="12" spans="1:4">
      <c r="A12" s="392">
        <v>41736</v>
      </c>
      <c r="B12" t="s">
        <v>3839</v>
      </c>
      <c r="C12" t="s">
        <v>3840</v>
      </c>
      <c r="D12" t="s">
        <v>3835</v>
      </c>
    </row>
    <row r="13" spans="1:4">
      <c r="A13" s="392">
        <v>41736</v>
      </c>
      <c r="B13" t="s">
        <v>3839</v>
      </c>
      <c r="C13" t="s">
        <v>3840</v>
      </c>
      <c r="D13" t="s">
        <v>3834</v>
      </c>
    </row>
    <row r="14" spans="1:4">
      <c r="A14" s="392">
        <v>41736</v>
      </c>
      <c r="B14" t="s">
        <v>3839</v>
      </c>
      <c r="C14" t="s">
        <v>3840</v>
      </c>
      <c r="D14" t="s">
        <v>3833</v>
      </c>
    </row>
    <row r="15" spans="1:4">
      <c r="A15" s="392">
        <v>41736</v>
      </c>
      <c r="B15" t="s">
        <v>3839</v>
      </c>
      <c r="C15" t="s">
        <v>3840</v>
      </c>
      <c r="D15" t="s">
        <v>3832</v>
      </c>
    </row>
    <row r="16" spans="1:4">
      <c r="A16" s="392">
        <v>41736</v>
      </c>
      <c r="B16" t="s">
        <v>3839</v>
      </c>
      <c r="C16" t="s">
        <v>3840</v>
      </c>
      <c r="D16" t="s">
        <v>3831</v>
      </c>
    </row>
    <row r="17" spans="1:5">
      <c r="A17" s="392">
        <v>41736</v>
      </c>
      <c r="B17" t="s">
        <v>3839</v>
      </c>
      <c r="C17" t="s">
        <v>3840</v>
      </c>
      <c r="D17" t="s">
        <v>3830</v>
      </c>
    </row>
    <row r="18" spans="1:5">
      <c r="A18" s="392">
        <v>41736</v>
      </c>
      <c r="B18" t="s">
        <v>3839</v>
      </c>
      <c r="C18" t="s">
        <v>3840</v>
      </c>
      <c r="D18" t="s">
        <v>3829</v>
      </c>
    </row>
    <row r="19" spans="1:5">
      <c r="A19" s="392">
        <v>41737</v>
      </c>
      <c r="B19" t="s">
        <v>3839</v>
      </c>
      <c r="C19" t="s">
        <v>3840</v>
      </c>
      <c r="D19" t="s">
        <v>3828</v>
      </c>
    </row>
    <row r="20" spans="1:5">
      <c r="A20" s="392">
        <v>41737</v>
      </c>
      <c r="B20" t="s">
        <v>3839</v>
      </c>
      <c r="C20" t="s">
        <v>3840</v>
      </c>
      <c r="D20" t="s">
        <v>3827</v>
      </c>
      <c r="E20" s="432"/>
    </row>
    <row r="21" spans="1:5">
      <c r="A21" s="392">
        <v>41738</v>
      </c>
      <c r="B21" t="s">
        <v>3839</v>
      </c>
      <c r="C21" t="s">
        <v>3840</v>
      </c>
      <c r="D21" t="s">
        <v>3826</v>
      </c>
    </row>
    <row r="22" spans="1:5">
      <c r="A22" s="392">
        <v>41738</v>
      </c>
      <c r="B22" t="s">
        <v>3839</v>
      </c>
      <c r="C22" t="s">
        <v>3840</v>
      </c>
      <c r="D22" t="s">
        <v>3825</v>
      </c>
    </row>
    <row r="23" spans="1:5">
      <c r="A23" s="392">
        <v>41738</v>
      </c>
      <c r="B23" t="s">
        <v>3839</v>
      </c>
      <c r="C23" t="s">
        <v>3840</v>
      </c>
      <c r="D23" t="s">
        <v>3824</v>
      </c>
    </row>
    <row r="24" spans="1:5">
      <c r="A24" s="392">
        <v>41738</v>
      </c>
      <c r="B24" t="s">
        <v>3839</v>
      </c>
      <c r="C24" t="s">
        <v>3840</v>
      </c>
      <c r="D24" t="s">
        <v>3823</v>
      </c>
    </row>
    <row r="25" spans="1:5">
      <c r="A25" s="392">
        <v>41738</v>
      </c>
      <c r="B25" t="s">
        <v>3839</v>
      </c>
      <c r="C25" t="s">
        <v>3840</v>
      </c>
      <c r="D25" t="s">
        <v>3822</v>
      </c>
    </row>
    <row r="26" spans="1:5">
      <c r="A26" s="392">
        <v>41739</v>
      </c>
      <c r="B26" t="s">
        <v>3839</v>
      </c>
      <c r="C26" t="s">
        <v>3840</v>
      </c>
      <c r="D26" t="s">
        <v>3821</v>
      </c>
    </row>
    <row r="27" spans="1:5">
      <c r="A27" s="392">
        <v>41739</v>
      </c>
      <c r="B27" t="s">
        <v>3842</v>
      </c>
      <c r="C27" t="s">
        <v>3840</v>
      </c>
      <c r="D27" t="s">
        <v>3841</v>
      </c>
    </row>
    <row r="28" spans="1:5">
      <c r="A28" s="392">
        <v>41744</v>
      </c>
      <c r="B28" t="s">
        <v>4274</v>
      </c>
      <c r="C28" t="s">
        <v>4275</v>
      </c>
      <c r="D28" t="s">
        <v>4273</v>
      </c>
    </row>
    <row r="29" spans="1:5">
      <c r="A29" s="392">
        <v>41757</v>
      </c>
      <c r="B29" t="s">
        <v>4274</v>
      </c>
      <c r="C29" t="s">
        <v>4275</v>
      </c>
      <c r="D29" t="s">
        <v>4277</v>
      </c>
    </row>
    <row r="30" spans="1:5">
      <c r="A30" s="392">
        <v>41766</v>
      </c>
      <c r="B30" t="s">
        <v>4274</v>
      </c>
      <c r="C30" t="s">
        <v>4275</v>
      </c>
      <c r="D30" t="s">
        <v>4282</v>
      </c>
    </row>
    <row r="31" spans="1:5">
      <c r="A31" s="392">
        <v>41766</v>
      </c>
      <c r="B31" t="s">
        <v>3491</v>
      </c>
      <c r="C31" t="s">
        <v>3492</v>
      </c>
      <c r="D31" t="s">
        <v>4283</v>
      </c>
    </row>
    <row r="32" spans="1:5">
      <c r="A32" s="392">
        <v>41766</v>
      </c>
      <c r="B32" t="s">
        <v>4274</v>
      </c>
      <c r="C32" t="s">
        <v>4275</v>
      </c>
      <c r="D32" t="s">
        <v>4285</v>
      </c>
    </row>
    <row r="33" spans="1:4">
      <c r="A33" s="392">
        <v>41771</v>
      </c>
      <c r="B33" t="s">
        <v>4274</v>
      </c>
      <c r="C33" t="s">
        <v>4275</v>
      </c>
      <c r="D33" t="s">
        <v>4311</v>
      </c>
    </row>
    <row r="34" spans="1:4">
      <c r="A34" s="392">
        <v>41772</v>
      </c>
      <c r="B34" t="s">
        <v>4274</v>
      </c>
      <c r="C34" t="s">
        <v>4275</v>
      </c>
      <c r="D34" t="s">
        <v>4312</v>
      </c>
    </row>
    <row r="35" spans="1:4">
      <c r="A35" s="392">
        <v>41782</v>
      </c>
      <c r="B35" t="s">
        <v>4314</v>
      </c>
      <c r="C35" t="s">
        <v>4275</v>
      </c>
      <c r="D35" t="s">
        <v>4313</v>
      </c>
    </row>
    <row r="36" spans="1:4">
      <c r="A36" s="392">
        <v>41785</v>
      </c>
      <c r="B36" t="s">
        <v>4314</v>
      </c>
      <c r="C36" t="s">
        <v>4275</v>
      </c>
      <c r="D36" t="s">
        <v>4322</v>
      </c>
    </row>
    <row r="37" spans="1:4">
      <c r="A37" s="392">
        <v>41792</v>
      </c>
      <c r="B37" t="s">
        <v>4314</v>
      </c>
      <c r="C37" t="s">
        <v>4275</v>
      </c>
      <c r="D37" t="s">
        <v>4323</v>
      </c>
    </row>
    <row r="38" spans="1:4">
      <c r="A38" s="392">
        <v>41803</v>
      </c>
      <c r="B38" t="s">
        <v>4314</v>
      </c>
      <c r="C38" t="s">
        <v>4275</v>
      </c>
      <c r="D38" t="s">
        <v>4324</v>
      </c>
    </row>
    <row r="39" spans="1:4">
      <c r="A39" s="392">
        <v>41814</v>
      </c>
      <c r="B39" t="s">
        <v>4314</v>
      </c>
      <c r="C39" t="s">
        <v>4275</v>
      </c>
      <c r="D39" t="s">
        <v>4344</v>
      </c>
    </row>
    <row r="40" spans="1:4">
      <c r="A40" s="392">
        <v>41822</v>
      </c>
      <c r="B40" t="s">
        <v>4274</v>
      </c>
      <c r="C40" t="s">
        <v>4275</v>
      </c>
      <c r="D40" t="s">
        <v>4346</v>
      </c>
    </row>
    <row r="41" spans="1:4">
      <c r="A41" s="392">
        <v>41830</v>
      </c>
      <c r="B41" t="s">
        <v>4274</v>
      </c>
      <c r="C41" t="s">
        <v>4275</v>
      </c>
      <c r="D41" t="s">
        <v>4347</v>
      </c>
    </row>
    <row r="42" spans="1:4">
      <c r="A42" s="392">
        <v>41841</v>
      </c>
      <c r="B42" t="s">
        <v>4274</v>
      </c>
      <c r="C42" t="s">
        <v>4275</v>
      </c>
      <c r="D42" t="s">
        <v>4369</v>
      </c>
    </row>
    <row r="43" spans="1:4">
      <c r="A43" s="392">
        <v>41842</v>
      </c>
      <c r="B43" t="s">
        <v>4371</v>
      </c>
      <c r="C43" t="s">
        <v>4372</v>
      </c>
      <c r="D43" t="s">
        <v>4370</v>
      </c>
    </row>
    <row r="44" spans="1:4">
      <c r="A44" s="392">
        <v>41843</v>
      </c>
      <c r="B44" t="s">
        <v>4274</v>
      </c>
      <c r="C44" t="s">
        <v>4275</v>
      </c>
      <c r="D44" t="s">
        <v>4373</v>
      </c>
    </row>
    <row r="45" spans="1:4">
      <c r="A45" s="392">
        <v>41849</v>
      </c>
      <c r="B45" t="s">
        <v>4371</v>
      </c>
      <c r="C45" t="s">
        <v>4372</v>
      </c>
      <c r="D45" t="s">
        <v>4382</v>
      </c>
    </row>
    <row r="46" spans="1:4">
      <c r="A46" s="392">
        <v>41850</v>
      </c>
      <c r="B46" t="s">
        <v>4274</v>
      </c>
      <c r="C46" t="s">
        <v>4275</v>
      </c>
      <c r="D46" t="s">
        <v>4383</v>
      </c>
    </row>
    <row r="47" spans="1:4">
      <c r="A47" s="392">
        <v>41852</v>
      </c>
      <c r="B47" t="s">
        <v>4274</v>
      </c>
      <c r="C47" t="s">
        <v>4275</v>
      </c>
      <c r="D47" t="s">
        <v>4386</v>
      </c>
    </row>
    <row r="48" spans="1:4">
      <c r="A48" s="392">
        <v>41865</v>
      </c>
      <c r="B48" t="s">
        <v>4314</v>
      </c>
      <c r="C48" t="s">
        <v>4275</v>
      </c>
      <c r="D48" t="s">
        <v>4387</v>
      </c>
    </row>
    <row r="49" spans="1:4">
      <c r="A49" s="392">
        <v>41866</v>
      </c>
      <c r="B49" t="s">
        <v>4371</v>
      </c>
      <c r="C49" t="s">
        <v>4399</v>
      </c>
      <c r="D49" t="s">
        <v>4398</v>
      </c>
    </row>
    <row r="50" spans="1:4">
      <c r="A50" s="392">
        <v>41877</v>
      </c>
      <c r="B50" t="s">
        <v>4450</v>
      </c>
      <c r="C50" t="s">
        <v>4451</v>
      </c>
      <c r="D50" t="s">
        <v>4449</v>
      </c>
    </row>
    <row r="51" spans="1:4">
      <c r="A51" s="392">
        <v>41883</v>
      </c>
      <c r="B51" t="s">
        <v>4450</v>
      </c>
      <c r="C51" t="s">
        <v>4451</v>
      </c>
      <c r="D51" t="s">
        <v>4461</v>
      </c>
    </row>
    <row r="52" spans="1:4">
      <c r="A52" s="392">
        <v>41900</v>
      </c>
      <c r="B52" t="s">
        <v>4450</v>
      </c>
      <c r="C52" t="s">
        <v>4451</v>
      </c>
      <c r="D52" t="s">
        <v>4477</v>
      </c>
    </row>
    <row r="53" spans="1:4">
      <c r="A53" s="392">
        <v>41907</v>
      </c>
      <c r="B53" t="s">
        <v>4450</v>
      </c>
      <c r="C53" t="s">
        <v>4451</v>
      </c>
      <c r="D53" t="s">
        <v>4478</v>
      </c>
    </row>
    <row r="54" spans="1:4">
      <c r="A54" s="392">
        <v>41907</v>
      </c>
      <c r="B54" t="s">
        <v>3839</v>
      </c>
      <c r="C54" t="s">
        <v>3840</v>
      </c>
      <c r="D54" t="s">
        <v>4479</v>
      </c>
    </row>
    <row r="55" spans="1:4">
      <c r="A55" s="392">
        <v>41907</v>
      </c>
      <c r="B55" t="s">
        <v>3839</v>
      </c>
      <c r="C55" t="s">
        <v>3840</v>
      </c>
      <c r="D55" t="s">
        <v>4481</v>
      </c>
    </row>
    <row r="56" spans="1:4">
      <c r="A56" s="392">
        <v>41908</v>
      </c>
      <c r="B56" t="s">
        <v>3839</v>
      </c>
      <c r="C56" t="s">
        <v>3840</v>
      </c>
      <c r="D56" t="s">
        <v>4482</v>
      </c>
    </row>
    <row r="57" spans="1:4">
      <c r="A57" s="392">
        <v>41908</v>
      </c>
      <c r="B57" t="s">
        <v>3839</v>
      </c>
      <c r="C57" t="s">
        <v>3840</v>
      </c>
      <c r="D57" t="s">
        <v>4483</v>
      </c>
    </row>
    <row r="58" spans="1:4">
      <c r="A58" s="392">
        <v>41908</v>
      </c>
      <c r="B58" t="s">
        <v>3839</v>
      </c>
      <c r="C58" t="s">
        <v>3840</v>
      </c>
      <c r="D58" t="s">
        <v>4484</v>
      </c>
    </row>
    <row r="59" spans="1:4">
      <c r="A59" s="392">
        <v>41908</v>
      </c>
      <c r="B59" t="s">
        <v>3839</v>
      </c>
      <c r="C59" t="s">
        <v>3840</v>
      </c>
      <c r="D59" t="s">
        <v>4485</v>
      </c>
    </row>
    <row r="60" spans="1:4" ht="45">
      <c r="A60" s="392">
        <v>41908</v>
      </c>
      <c r="B60" t="s">
        <v>3842</v>
      </c>
      <c r="C60" t="s">
        <v>3840</v>
      </c>
      <c r="D60" s="645" t="s">
        <v>4486</v>
      </c>
    </row>
    <row r="61" spans="1:4">
      <c r="A61" s="392">
        <v>41908</v>
      </c>
      <c r="B61" t="s">
        <v>3842</v>
      </c>
      <c r="C61" t="s">
        <v>3840</v>
      </c>
      <c r="D61" t="s">
        <v>4487</v>
      </c>
    </row>
    <row r="62" spans="1:4">
      <c r="A62" s="392">
        <v>41908</v>
      </c>
      <c r="B62" t="s">
        <v>3842</v>
      </c>
      <c r="C62" t="s">
        <v>3840</v>
      </c>
      <c r="D62" t="s">
        <v>4488</v>
      </c>
    </row>
    <row r="63" spans="1:4">
      <c r="A63" s="392">
        <v>41908</v>
      </c>
      <c r="B63" t="s">
        <v>3842</v>
      </c>
      <c r="C63" t="s">
        <v>3840</v>
      </c>
      <c r="D63" t="s">
        <v>4489</v>
      </c>
    </row>
    <row r="64" spans="1:4" ht="75">
      <c r="A64" s="392">
        <v>41912</v>
      </c>
      <c r="B64" t="s">
        <v>3842</v>
      </c>
      <c r="C64" t="s">
        <v>3840</v>
      </c>
      <c r="D64" s="645" t="s">
        <v>4490</v>
      </c>
    </row>
    <row r="65" spans="1:4" ht="45">
      <c r="A65" s="392">
        <v>41912</v>
      </c>
      <c r="B65" t="s">
        <v>3842</v>
      </c>
      <c r="C65" t="s">
        <v>3840</v>
      </c>
      <c r="D65" s="645" t="s">
        <v>4491</v>
      </c>
    </row>
    <row r="66" spans="1:4">
      <c r="A66" s="392">
        <v>41912</v>
      </c>
      <c r="B66" t="s">
        <v>3842</v>
      </c>
      <c r="C66" t="s">
        <v>3840</v>
      </c>
      <c r="D66" t="s">
        <v>4492</v>
      </c>
    </row>
    <row r="67" spans="1:4">
      <c r="A67" s="392">
        <v>41912</v>
      </c>
      <c r="B67" t="s">
        <v>3842</v>
      </c>
      <c r="C67" t="s">
        <v>3840</v>
      </c>
      <c r="D67" t="s">
        <v>4493</v>
      </c>
    </row>
    <row r="68" spans="1:4">
      <c r="A68" s="392">
        <v>41914</v>
      </c>
      <c r="B68" t="s">
        <v>4450</v>
      </c>
      <c r="C68" t="s">
        <v>4451</v>
      </c>
      <c r="D68" t="s">
        <v>4509</v>
      </c>
    </row>
    <row r="69" spans="1:4">
      <c r="A69" s="392">
        <v>41914</v>
      </c>
      <c r="B69" t="s">
        <v>4450</v>
      </c>
      <c r="C69" t="s">
        <v>4451</v>
      </c>
      <c r="D69" t="s">
        <v>4510</v>
      </c>
    </row>
    <row r="70" spans="1:4">
      <c r="A70" s="392">
        <v>41920</v>
      </c>
      <c r="B70" t="s">
        <v>3839</v>
      </c>
      <c r="C70" t="s">
        <v>3840</v>
      </c>
      <c r="D70" t="s">
        <v>4511</v>
      </c>
    </row>
    <row r="71" spans="1:4">
      <c r="A71" s="392">
        <v>41920</v>
      </c>
      <c r="B71" t="s">
        <v>3839</v>
      </c>
      <c r="C71" t="s">
        <v>3840</v>
      </c>
      <c r="D71" t="s">
        <v>4512</v>
      </c>
    </row>
    <row r="72" spans="1:4">
      <c r="A72" s="392">
        <v>41920</v>
      </c>
      <c r="B72" t="s">
        <v>3839</v>
      </c>
      <c r="C72" t="s">
        <v>3840</v>
      </c>
      <c r="D72" t="s">
        <v>4517</v>
      </c>
    </row>
    <row r="73" spans="1:4">
      <c r="A73" s="392">
        <v>41948</v>
      </c>
      <c r="B73" t="s">
        <v>4274</v>
      </c>
      <c r="C73" t="s">
        <v>4275</v>
      </c>
      <c r="D73" t="s">
        <v>4518</v>
      </c>
    </row>
    <row r="74" spans="1:4">
      <c r="A74" s="392">
        <v>41950</v>
      </c>
      <c r="B74" t="s">
        <v>4450</v>
      </c>
      <c r="C74" t="s">
        <v>4451</v>
      </c>
      <c r="D74" t="s">
        <v>4538</v>
      </c>
    </row>
    <row r="75" spans="1:4">
      <c r="A75" s="392">
        <v>41950</v>
      </c>
      <c r="B75" t="s">
        <v>4450</v>
      </c>
      <c r="C75" t="s">
        <v>4451</v>
      </c>
      <c r="D75" t="s">
        <v>4539</v>
      </c>
    </row>
    <row r="76" spans="1:4">
      <c r="A76" s="392">
        <v>42012</v>
      </c>
      <c r="B76" t="s">
        <v>4314</v>
      </c>
      <c r="C76" t="s">
        <v>4275</v>
      </c>
      <c r="D76" t="s">
        <v>4540</v>
      </c>
    </row>
    <row r="77" spans="1:4">
      <c r="A77" s="392">
        <v>42013</v>
      </c>
      <c r="B77" t="s">
        <v>4450</v>
      </c>
      <c r="C77" t="s">
        <v>4451</v>
      </c>
      <c r="D77" t="s">
        <v>5055</v>
      </c>
    </row>
    <row r="78" spans="1:4">
      <c r="A78" s="392">
        <v>42013</v>
      </c>
      <c r="B78" t="s">
        <v>4450</v>
      </c>
      <c r="C78" t="s">
        <v>4451</v>
      </c>
      <c r="D78" t="s">
        <v>5056</v>
      </c>
    </row>
    <row r="79" spans="1:4">
      <c r="A79" s="392">
        <v>42013</v>
      </c>
      <c r="B79" t="s">
        <v>4314</v>
      </c>
      <c r="C79" t="s">
        <v>4275</v>
      </c>
      <c r="D79" t="s">
        <v>5057</v>
      </c>
    </row>
    <row r="80" spans="1:4">
      <c r="A80" s="392">
        <v>42016</v>
      </c>
      <c r="B80" t="s">
        <v>4371</v>
      </c>
      <c r="C80" t="s">
        <v>4399</v>
      </c>
      <c r="D80" t="s">
        <v>5059</v>
      </c>
    </row>
    <row r="81" spans="1:4">
      <c r="A81" s="392">
        <v>42024</v>
      </c>
      <c r="B81" t="s">
        <v>4450</v>
      </c>
      <c r="C81" t="s">
        <v>4451</v>
      </c>
      <c r="D81" t="s">
        <v>5071</v>
      </c>
    </row>
    <row r="82" spans="1:4">
      <c r="A82" s="392">
        <v>42024</v>
      </c>
      <c r="B82" t="s">
        <v>4450</v>
      </c>
      <c r="C82" t="s">
        <v>4451</v>
      </c>
      <c r="D82" t="s">
        <v>5072</v>
      </c>
    </row>
    <row r="83" spans="1:4">
      <c r="A83" s="392">
        <v>42025</v>
      </c>
      <c r="B83" t="s">
        <v>4314</v>
      </c>
      <c r="C83" t="s">
        <v>4275</v>
      </c>
      <c r="D83" t="s">
        <v>5073</v>
      </c>
    </row>
    <row r="84" spans="1:4">
      <c r="A84" s="392">
        <v>42041</v>
      </c>
      <c r="B84" t="s">
        <v>4450</v>
      </c>
      <c r="C84" t="s">
        <v>4451</v>
      </c>
      <c r="D84" t="s">
        <v>5075</v>
      </c>
    </row>
    <row r="85" spans="1:4">
      <c r="A85" s="392">
        <v>42041</v>
      </c>
      <c r="B85" t="s">
        <v>4274</v>
      </c>
      <c r="C85" t="s">
        <v>5081</v>
      </c>
      <c r="D85" t="s">
        <v>5080</v>
      </c>
    </row>
    <row r="86" spans="1:4">
      <c r="A86" s="392">
        <v>42041</v>
      </c>
      <c r="B86" t="s">
        <v>4274</v>
      </c>
      <c r="C86" t="s">
        <v>5081</v>
      </c>
      <c r="D86" t="s">
        <v>5082</v>
      </c>
    </row>
    <row r="87" spans="1:4">
      <c r="A87">
        <v>42046</v>
      </c>
      <c r="B87" t="s">
        <v>4371</v>
      </c>
      <c r="C87" t="s">
        <v>4399</v>
      </c>
      <c r="D87" t="s">
        <v>5102</v>
      </c>
    </row>
    <row r="88" spans="1:4">
      <c r="A88">
        <v>42048</v>
      </c>
      <c r="B88" t="s">
        <v>4371</v>
      </c>
      <c r="C88" t="s">
        <v>4399</v>
      </c>
      <c r="D88" t="s">
        <v>5103</v>
      </c>
    </row>
    <row r="89" spans="1:4">
      <c r="A89">
        <v>42048</v>
      </c>
      <c r="B89" t="s">
        <v>4371</v>
      </c>
      <c r="C89" t="s">
        <v>4399</v>
      </c>
      <c r="D89" t="s">
        <v>5104</v>
      </c>
    </row>
    <row r="90" spans="1:4">
      <c r="A90">
        <v>42048</v>
      </c>
      <c r="B90" t="s">
        <v>4371</v>
      </c>
      <c r="C90" t="s">
        <v>4399</v>
      </c>
      <c r="D90" t="s">
        <v>5105</v>
      </c>
    </row>
    <row r="91" spans="1:4">
      <c r="A91">
        <v>42048</v>
      </c>
      <c r="B91" t="s">
        <v>4371</v>
      </c>
      <c r="C91" t="s">
        <v>4399</v>
      </c>
      <c r="D91" t="s">
        <v>5106</v>
      </c>
    </row>
    <row r="92" spans="1:4">
      <c r="A92">
        <v>42048</v>
      </c>
      <c r="B92" t="s">
        <v>4371</v>
      </c>
      <c r="C92" t="s">
        <v>4399</v>
      </c>
      <c r="D92" t="s">
        <v>5107</v>
      </c>
    </row>
    <row r="93" spans="1:4">
      <c r="A93">
        <v>42051</v>
      </c>
      <c r="B93" t="s">
        <v>4371</v>
      </c>
      <c r="C93" t="s">
        <v>4399</v>
      </c>
      <c r="D93" t="s">
        <v>5108</v>
      </c>
    </row>
    <row r="94" spans="1:4">
      <c r="A94">
        <v>42052</v>
      </c>
      <c r="B94" t="s">
        <v>4371</v>
      </c>
      <c r="C94" t="s">
        <v>4399</v>
      </c>
      <c r="D94" t="s">
        <v>5109</v>
      </c>
    </row>
    <row r="95" spans="1:4">
      <c r="A95" s="392">
        <v>42058</v>
      </c>
      <c r="B95" t="s">
        <v>4274</v>
      </c>
      <c r="C95" t="s">
        <v>5081</v>
      </c>
      <c r="D95" t="s">
        <v>5110</v>
      </c>
    </row>
    <row r="96" spans="1:4">
      <c r="A96" s="392">
        <v>42067</v>
      </c>
      <c r="B96" t="s">
        <v>4274</v>
      </c>
      <c r="C96" t="s">
        <v>5081</v>
      </c>
      <c r="D96" t="s">
        <v>5117</v>
      </c>
    </row>
    <row r="97" spans="1:4">
      <c r="A97" s="392">
        <v>42069</v>
      </c>
      <c r="B97" t="s">
        <v>4274</v>
      </c>
      <c r="C97" t="s">
        <v>5081</v>
      </c>
      <c r="D97" t="s">
        <v>5119</v>
      </c>
    </row>
    <row r="98" spans="1:4">
      <c r="A98" s="392">
        <v>42072</v>
      </c>
      <c r="B98" t="s">
        <v>4274</v>
      </c>
      <c r="C98" t="s">
        <v>5081</v>
      </c>
      <c r="D98" t="s">
        <v>5120</v>
      </c>
    </row>
    <row r="99" spans="1:4">
      <c r="A99" s="392">
        <v>42072</v>
      </c>
      <c r="B99" t="s">
        <v>4274</v>
      </c>
      <c r="C99" t="s">
        <v>5081</v>
      </c>
      <c r="D99" t="s">
        <v>5121</v>
      </c>
    </row>
    <row r="100" spans="1:4">
      <c r="A100" s="392">
        <v>42073</v>
      </c>
      <c r="B100" t="s">
        <v>4371</v>
      </c>
      <c r="C100" t="s">
        <v>4399</v>
      </c>
      <c r="D100" t="s">
        <v>5122</v>
      </c>
    </row>
    <row r="101" spans="1:4">
      <c r="A101" s="392">
        <v>42073</v>
      </c>
      <c r="B101" t="s">
        <v>4371</v>
      </c>
      <c r="C101" t="s">
        <v>4399</v>
      </c>
      <c r="D101" t="s">
        <v>5123</v>
      </c>
    </row>
    <row r="102" spans="1:4">
      <c r="A102" s="392">
        <v>42073</v>
      </c>
      <c r="B102" t="s">
        <v>4371</v>
      </c>
      <c r="C102" t="s">
        <v>4399</v>
      </c>
      <c r="D102" t="s">
        <v>5125</v>
      </c>
    </row>
    <row r="103" spans="1:4">
      <c r="A103" s="392">
        <v>42075</v>
      </c>
      <c r="B103" t="s">
        <v>4450</v>
      </c>
      <c r="C103" t="s">
        <v>4451</v>
      </c>
      <c r="D103" t="s">
        <v>5126</v>
      </c>
    </row>
    <row r="104" spans="1:4">
      <c r="A104" s="392">
        <v>42076</v>
      </c>
      <c r="B104" t="s">
        <v>4450</v>
      </c>
      <c r="C104" t="s">
        <v>4451</v>
      </c>
      <c r="D104" t="s">
        <v>5163</v>
      </c>
    </row>
    <row r="105" spans="1:4">
      <c r="A105" s="392">
        <v>42081</v>
      </c>
      <c r="B105" t="s">
        <v>4450</v>
      </c>
      <c r="C105" t="s">
        <v>4451</v>
      </c>
      <c r="D105" t="s">
        <v>5164</v>
      </c>
    </row>
    <row r="106" spans="1:4">
      <c r="A106" s="392">
        <v>42130</v>
      </c>
      <c r="B106" t="s">
        <v>4371</v>
      </c>
      <c r="C106" t="s">
        <v>4399</v>
      </c>
      <c r="D106" t="s">
        <v>10363</v>
      </c>
    </row>
    <row r="107" spans="1:4">
      <c r="A107" s="392">
        <v>42130</v>
      </c>
      <c r="B107" t="s">
        <v>4371</v>
      </c>
      <c r="C107" t="s">
        <v>4399</v>
      </c>
      <c r="D107" s="701" t="s">
        <v>10364</v>
      </c>
    </row>
    <row r="108" spans="1:4" ht="45">
      <c r="A108" s="392">
        <v>42130</v>
      </c>
      <c r="B108" s="701" t="s">
        <v>3839</v>
      </c>
      <c r="C108" s="701" t="s">
        <v>3840</v>
      </c>
      <c r="D108" s="645" t="s">
        <v>10365</v>
      </c>
    </row>
    <row r="109" spans="1:4" ht="45">
      <c r="A109" s="392">
        <v>42130</v>
      </c>
      <c r="B109" s="701" t="s">
        <v>3839</v>
      </c>
      <c r="C109" s="701" t="s">
        <v>3840</v>
      </c>
      <c r="D109" s="645" t="s">
        <v>10366</v>
      </c>
    </row>
    <row r="110" spans="1:4" ht="45">
      <c r="A110" s="392">
        <v>42130</v>
      </c>
      <c r="B110" s="701" t="s">
        <v>4314</v>
      </c>
      <c r="C110" s="701" t="s">
        <v>5081</v>
      </c>
      <c r="D110" s="645" t="s">
        <v>10365</v>
      </c>
    </row>
    <row r="111" spans="1:4">
      <c r="A111" s="392">
        <v>42130</v>
      </c>
      <c r="B111" t="s">
        <v>4371</v>
      </c>
      <c r="C111" t="s">
        <v>4399</v>
      </c>
      <c r="D111" t="s">
        <v>10367</v>
      </c>
    </row>
    <row r="112" spans="1:4">
      <c r="A112" s="392">
        <v>42131</v>
      </c>
      <c r="B112" t="s">
        <v>4371</v>
      </c>
      <c r="C112" t="s">
        <v>4399</v>
      </c>
      <c r="D112" t="s">
        <v>10368</v>
      </c>
    </row>
    <row r="113" spans="1:4">
      <c r="A113" s="392">
        <v>42131</v>
      </c>
      <c r="B113" t="s">
        <v>4371</v>
      </c>
      <c r="C113" t="s">
        <v>4399</v>
      </c>
      <c r="D113" t="s">
        <v>10369</v>
      </c>
    </row>
    <row r="114" spans="1:4">
      <c r="A114" s="392">
        <v>42136</v>
      </c>
      <c r="B114" s="701" t="s">
        <v>4274</v>
      </c>
      <c r="C114" s="701" t="s">
        <v>5081</v>
      </c>
      <c r="D114" s="701" t="s">
        <v>10370</v>
      </c>
    </row>
    <row r="115" spans="1:4">
      <c r="A115" s="392">
        <v>42136</v>
      </c>
      <c r="B115" t="s">
        <v>4371</v>
      </c>
      <c r="C115" t="s">
        <v>4399</v>
      </c>
      <c r="D115" t="s">
        <v>10371</v>
      </c>
    </row>
    <row r="116" spans="1:4">
      <c r="A116" s="392">
        <v>42137</v>
      </c>
      <c r="B116" s="701" t="s">
        <v>4274</v>
      </c>
      <c r="C116" s="701" t="s">
        <v>5081</v>
      </c>
      <c r="D116" s="701" t="s">
        <v>10372</v>
      </c>
    </row>
    <row r="117" spans="1:4">
      <c r="A117" s="392">
        <v>42137</v>
      </c>
      <c r="B117" t="s">
        <v>4371</v>
      </c>
      <c r="C117" t="s">
        <v>4399</v>
      </c>
      <c r="D117" t="s">
        <v>10373</v>
      </c>
    </row>
    <row r="118" spans="1:4">
      <c r="A118" s="392">
        <v>42142</v>
      </c>
      <c r="B118" t="s">
        <v>4371</v>
      </c>
      <c r="C118" t="s">
        <v>4399</v>
      </c>
      <c r="D118" s="701" t="s">
        <v>10375</v>
      </c>
    </row>
    <row r="119" spans="1:4">
      <c r="A119" s="392">
        <v>42143</v>
      </c>
      <c r="B119" t="s">
        <v>4371</v>
      </c>
      <c r="C119" t="s">
        <v>4399</v>
      </c>
      <c r="D119" t="s">
        <v>10374</v>
      </c>
    </row>
    <row r="120" spans="1:4">
      <c r="A120" s="392">
        <v>42145</v>
      </c>
      <c r="B120" s="701" t="s">
        <v>4274</v>
      </c>
      <c r="C120" s="701" t="s">
        <v>5081</v>
      </c>
      <c r="D120" s="701" t="s">
        <v>10376</v>
      </c>
    </row>
    <row r="121" spans="1:4">
      <c r="A121" s="392">
        <v>42145</v>
      </c>
      <c r="B121" t="s">
        <v>4371</v>
      </c>
      <c r="C121" t="s">
        <v>4399</v>
      </c>
      <c r="D121" t="s">
        <v>10377</v>
      </c>
    </row>
    <row r="122" spans="1:4">
      <c r="A122" s="392">
        <v>42145</v>
      </c>
      <c r="B122" t="s">
        <v>4371</v>
      </c>
      <c r="C122" t="s">
        <v>4399</v>
      </c>
      <c r="D122" t="s">
        <v>10390</v>
      </c>
    </row>
    <row r="123" spans="1:4">
      <c r="A123" s="392">
        <v>42145</v>
      </c>
      <c r="B123" t="s">
        <v>4371</v>
      </c>
      <c r="C123" t="s">
        <v>4399</v>
      </c>
      <c r="D123" t="s">
        <v>10391</v>
      </c>
    </row>
    <row r="124" spans="1:4">
      <c r="A124" s="392">
        <v>42152</v>
      </c>
      <c r="B124" t="s">
        <v>4371</v>
      </c>
      <c r="C124" t="s">
        <v>4399</v>
      </c>
      <c r="D124" t="s">
        <v>10393</v>
      </c>
    </row>
    <row r="125" spans="1:4" ht="90">
      <c r="A125" s="392">
        <v>42156</v>
      </c>
      <c r="B125" t="s">
        <v>4371</v>
      </c>
      <c r="C125" t="s">
        <v>4399</v>
      </c>
      <c r="D125" s="645" t="s">
        <v>10394</v>
      </c>
    </row>
    <row r="126" spans="1:4">
      <c r="A126" s="392">
        <v>42156</v>
      </c>
      <c r="B126" t="s">
        <v>4371</v>
      </c>
      <c r="C126" t="s">
        <v>4399</v>
      </c>
      <c r="D126" t="s">
        <v>10396</v>
      </c>
    </row>
    <row r="127" spans="1:4">
      <c r="A127" s="392">
        <v>42157</v>
      </c>
      <c r="B127" t="s">
        <v>4371</v>
      </c>
      <c r="C127" t="s">
        <v>4399</v>
      </c>
      <c r="D127" t="s">
        <v>10395</v>
      </c>
    </row>
    <row r="128" spans="1:4">
      <c r="A128" s="392">
        <v>42158</v>
      </c>
      <c r="B128" t="s">
        <v>4450</v>
      </c>
      <c r="C128" t="s">
        <v>4451</v>
      </c>
      <c r="D128" t="s">
        <v>10493</v>
      </c>
    </row>
    <row r="129" spans="1:4">
      <c r="A129" s="392">
        <v>42165</v>
      </c>
      <c r="B129" t="s">
        <v>4450</v>
      </c>
      <c r="C129" t="s">
        <v>4451</v>
      </c>
      <c r="D129" t="s">
        <v>10510</v>
      </c>
    </row>
    <row r="130" spans="1:4">
      <c r="A130" s="392">
        <v>42165</v>
      </c>
      <c r="B130" t="s">
        <v>4371</v>
      </c>
      <c r="C130" t="s">
        <v>4399</v>
      </c>
      <c r="D130" t="s">
        <v>10511</v>
      </c>
    </row>
    <row r="131" spans="1:4">
      <c r="A131" s="392">
        <v>42166</v>
      </c>
      <c r="B131" t="s">
        <v>4450</v>
      </c>
      <c r="C131" t="s">
        <v>4451</v>
      </c>
      <c r="D131" t="s">
        <v>10518</v>
      </c>
    </row>
    <row r="132" spans="1:4">
      <c r="A132" s="392">
        <v>42172</v>
      </c>
      <c r="B132" s="701" t="s">
        <v>4274</v>
      </c>
      <c r="C132" s="701" t="s">
        <v>5081</v>
      </c>
      <c r="D132" s="701" t="s">
        <v>10519</v>
      </c>
    </row>
    <row r="133" spans="1:4" ht="45">
      <c r="A133" s="392">
        <v>42177</v>
      </c>
      <c r="B133" s="701" t="s">
        <v>3839</v>
      </c>
      <c r="C133" s="701" t="s">
        <v>3840</v>
      </c>
      <c r="D133" s="645" t="s">
        <v>10526</v>
      </c>
    </row>
    <row r="134" spans="1:4" ht="180">
      <c r="A134" s="392">
        <v>42178</v>
      </c>
      <c r="B134" s="701" t="s">
        <v>3839</v>
      </c>
      <c r="C134" s="701" t="s">
        <v>3840</v>
      </c>
      <c r="D134" s="645" t="s">
        <v>10528</v>
      </c>
    </row>
    <row r="135" spans="1:4">
      <c r="A135" s="392">
        <v>42178</v>
      </c>
      <c r="B135" s="701" t="s">
        <v>3839</v>
      </c>
      <c r="C135" s="701" t="s">
        <v>3840</v>
      </c>
      <c r="D135" s="701" t="s">
        <v>10529</v>
      </c>
    </row>
    <row r="136" spans="1:4">
      <c r="A136" s="392">
        <v>42178</v>
      </c>
      <c r="B136" s="701" t="s">
        <v>3839</v>
      </c>
      <c r="C136" s="701" t="s">
        <v>3840</v>
      </c>
      <c r="D136" s="701" t="s">
        <v>10530</v>
      </c>
    </row>
    <row r="137" spans="1:4">
      <c r="A137" s="392">
        <v>42181</v>
      </c>
      <c r="B137" s="701" t="s">
        <v>4314</v>
      </c>
      <c r="C137" s="701" t="s">
        <v>5081</v>
      </c>
      <c r="D137" s="701" t="s">
        <v>10531</v>
      </c>
    </row>
    <row r="138" spans="1:4">
      <c r="A138" s="392">
        <v>42181</v>
      </c>
      <c r="B138" s="701" t="s">
        <v>4314</v>
      </c>
      <c r="C138" s="701" t="s">
        <v>5081</v>
      </c>
      <c r="D138" s="701" t="s">
        <v>10533</v>
      </c>
    </row>
    <row r="139" spans="1:4">
      <c r="A139" s="392">
        <v>42181</v>
      </c>
      <c r="B139" t="s">
        <v>4371</v>
      </c>
      <c r="C139" t="s">
        <v>4399</v>
      </c>
      <c r="D139" t="s">
        <v>10534</v>
      </c>
    </row>
    <row r="140" spans="1:4">
      <c r="A140" s="392">
        <v>42181</v>
      </c>
      <c r="B140" t="s">
        <v>4371</v>
      </c>
      <c r="C140" t="s">
        <v>4399</v>
      </c>
      <c r="D140" t="s">
        <v>10535</v>
      </c>
    </row>
    <row r="141" spans="1:4">
      <c r="A141" s="392">
        <v>42184</v>
      </c>
      <c r="B141" s="701" t="s">
        <v>3839</v>
      </c>
      <c r="C141" s="701" t="s">
        <v>3840</v>
      </c>
      <c r="D141" s="701" t="s">
        <v>10536</v>
      </c>
    </row>
    <row r="142" spans="1:4">
      <c r="A142" s="392">
        <v>42184</v>
      </c>
      <c r="B142" s="701" t="s">
        <v>3839</v>
      </c>
      <c r="C142" s="701" t="s">
        <v>3840</v>
      </c>
      <c r="D142" s="701" t="s">
        <v>10537</v>
      </c>
    </row>
    <row r="143" spans="1:4">
      <c r="A143" s="392">
        <v>42184</v>
      </c>
      <c r="B143" s="701" t="s">
        <v>3839</v>
      </c>
      <c r="C143" s="701" t="s">
        <v>3840</v>
      </c>
      <c r="D143" s="701" t="s">
        <v>10538</v>
      </c>
    </row>
    <row r="144" spans="1:4">
      <c r="A144" s="392">
        <v>42184</v>
      </c>
      <c r="B144" s="701" t="s">
        <v>3839</v>
      </c>
      <c r="C144" s="701" t="s">
        <v>3840</v>
      </c>
      <c r="D144" s="701" t="s">
        <v>10539</v>
      </c>
    </row>
    <row r="145" spans="1:4">
      <c r="A145" s="392">
        <v>42261</v>
      </c>
      <c r="B145" s="701" t="s">
        <v>3839</v>
      </c>
      <c r="C145" s="701" t="s">
        <v>3840</v>
      </c>
      <c r="D145" s="701" t="s">
        <v>10540</v>
      </c>
    </row>
    <row r="146" spans="1:4">
      <c r="A146" s="392">
        <v>42262</v>
      </c>
      <c r="B146" s="701" t="s">
        <v>3839</v>
      </c>
      <c r="C146" s="701" t="s">
        <v>3840</v>
      </c>
      <c r="D146" s="701" t="s">
        <v>10575</v>
      </c>
    </row>
    <row r="147" spans="1:4">
      <c r="A147" s="392">
        <v>42264</v>
      </c>
      <c r="B147" s="701" t="s">
        <v>3839</v>
      </c>
      <c r="C147" s="701" t="s">
        <v>3840</v>
      </c>
      <c r="D147" s="701" t="s">
        <v>10576</v>
      </c>
    </row>
    <row r="148" spans="1:4">
      <c r="A148" s="392">
        <v>42264</v>
      </c>
      <c r="B148" s="701" t="s">
        <v>3839</v>
      </c>
      <c r="C148" s="701" t="s">
        <v>3840</v>
      </c>
      <c r="D148" s="701" t="s">
        <v>10577</v>
      </c>
    </row>
    <row r="149" spans="1:4">
      <c r="A149" s="392">
        <v>42265</v>
      </c>
      <c r="B149" s="701" t="s">
        <v>3839</v>
      </c>
      <c r="C149" s="701" t="s">
        <v>3840</v>
      </c>
      <c r="D149" s="701" t="s">
        <v>10578</v>
      </c>
    </row>
    <row r="150" spans="1:4">
      <c r="A150" s="392">
        <v>42265</v>
      </c>
      <c r="B150" s="701" t="s">
        <v>3839</v>
      </c>
      <c r="C150" s="701" t="s">
        <v>3840</v>
      </c>
      <c r="D150" s="701" t="s">
        <v>10579</v>
      </c>
    </row>
    <row r="151" spans="1:4">
      <c r="A151" s="392">
        <v>42265</v>
      </c>
      <c r="B151" s="701" t="s">
        <v>3839</v>
      </c>
      <c r="C151" s="701" t="s">
        <v>3840</v>
      </c>
      <c r="D151" s="701" t="s">
        <v>10580</v>
      </c>
    </row>
    <row r="152" spans="1:4">
      <c r="A152" s="808">
        <v>42265</v>
      </c>
      <c r="B152" s="402" t="s">
        <v>3839</v>
      </c>
      <c r="C152" s="402" t="s">
        <v>3840</v>
      </c>
      <c r="D152" s="402" t="s">
        <v>10583</v>
      </c>
    </row>
    <row r="154" spans="1:4">
      <c r="D154" s="401" t="s">
        <v>10597</v>
      </c>
    </row>
    <row r="156" spans="1:4">
      <c r="A156" s="810"/>
      <c r="B156" s="810"/>
      <c r="C156" s="811">
        <v>1</v>
      </c>
      <c r="D156" s="812" t="s">
        <v>10587</v>
      </c>
    </row>
    <row r="157" spans="1:4">
      <c r="D157" t="s">
        <v>10586</v>
      </c>
    </row>
    <row r="158" spans="1:4">
      <c r="D158" t="s">
        <v>10585</v>
      </c>
    </row>
    <row r="159" spans="1:4">
      <c r="D159" s="701"/>
    </row>
    <row r="160" spans="1:4">
      <c r="A160" s="810"/>
      <c r="B160" s="810"/>
      <c r="C160" s="811">
        <v>2</v>
      </c>
      <c r="D160" s="812" t="s">
        <v>10584</v>
      </c>
    </row>
    <row r="161" spans="1:4">
      <c r="D161" s="701" t="s">
        <v>10589</v>
      </c>
    </row>
    <row r="162" spans="1:4">
      <c r="D162" s="411" t="s">
        <v>10595</v>
      </c>
    </row>
    <row r="164" spans="1:4">
      <c r="A164" s="810"/>
      <c r="B164" s="810"/>
      <c r="C164" s="811">
        <v>3</v>
      </c>
      <c r="D164" s="812" t="s">
        <v>10591</v>
      </c>
    </row>
    <row r="165" spans="1:4">
      <c r="D165" s="411" t="s">
        <v>10592</v>
      </c>
    </row>
    <row r="167" spans="1:4">
      <c r="A167" s="810"/>
      <c r="B167" s="810"/>
      <c r="C167" s="811">
        <v>4</v>
      </c>
      <c r="D167" s="812" t="s">
        <v>10593</v>
      </c>
    </row>
    <row r="168" spans="1:4">
      <c r="D168" s="411" t="s">
        <v>10596</v>
      </c>
    </row>
    <row r="169" spans="1:4">
      <c r="D169" s="411" t="s">
        <v>10594</v>
      </c>
    </row>
    <row r="171" spans="1:4">
      <c r="A171" s="808">
        <v>42272</v>
      </c>
      <c r="B171" s="402" t="s">
        <v>3839</v>
      </c>
      <c r="C171" s="402" t="s">
        <v>3840</v>
      </c>
      <c r="D171" s="402" t="s">
        <v>10605</v>
      </c>
    </row>
    <row r="172" spans="1:4">
      <c r="D172" s="701" t="s">
        <v>10606</v>
      </c>
    </row>
    <row r="173" spans="1:4">
      <c r="D173" s="701" t="s">
        <v>10612</v>
      </c>
    </row>
    <row r="174" spans="1:4">
      <c r="D174" s="701" t="s">
        <v>10619</v>
      </c>
    </row>
    <row r="175" spans="1:4">
      <c r="D175" s="701" t="s">
        <v>10622</v>
      </c>
    </row>
    <row r="176" spans="1:4">
      <c r="D176" s="701" t="s">
        <v>10625</v>
      </c>
    </row>
    <row r="177" spans="4:4">
      <c r="D177" s="701" t="s">
        <v>10626</v>
      </c>
    </row>
    <row r="178" spans="4:4">
      <c r="D178" s="701" t="s">
        <v>10628</v>
      </c>
    </row>
    <row r="179" spans="4:4">
      <c r="D179" s="701" t="s">
        <v>10629</v>
      </c>
    </row>
    <row r="180" spans="4:4">
      <c r="D180" s="701" t="s">
        <v>10630</v>
      </c>
    </row>
    <row r="181" spans="4:4">
      <c r="D181" s="701" t="s">
        <v>10631</v>
      </c>
    </row>
    <row r="182" spans="4:4">
      <c r="D182" s="701" t="s">
        <v>10646</v>
      </c>
    </row>
    <row r="183" spans="4:4">
      <c r="D183" s="701" t="s">
        <v>10648</v>
      </c>
    </row>
    <row r="184" spans="4:4">
      <c r="D184" s="843" t="s">
        <v>10652</v>
      </c>
    </row>
    <row r="185" spans="4:4">
      <c r="D185" s="843" t="s">
        <v>10653</v>
      </c>
    </row>
    <row r="186" spans="4:4">
      <c r="D186" s="843" t="s">
        <v>10654</v>
      </c>
    </row>
    <row r="187" spans="4:4">
      <c r="D187" s="843" t="s">
        <v>10659</v>
      </c>
    </row>
    <row r="188" spans="4:4">
      <c r="D188" s="844" t="s">
        <v>10667</v>
      </c>
    </row>
    <row r="189" spans="4:4">
      <c r="D189" s="844" t="s">
        <v>10675</v>
      </c>
    </row>
    <row r="190" spans="4:4">
      <c r="D190" s="867" t="s">
        <v>10678</v>
      </c>
    </row>
    <row r="191" spans="4:4">
      <c r="D191" s="867" t="s">
        <v>10679</v>
      </c>
    </row>
    <row r="192" spans="4:4">
      <c r="D192" s="867" t="s">
        <v>10680</v>
      </c>
    </row>
    <row r="193" spans="4:4">
      <c r="D193" s="867" t="s">
        <v>10682</v>
      </c>
    </row>
    <row r="194" spans="4:4">
      <c r="D194" s="867" t="s">
        <v>10683</v>
      </c>
    </row>
    <row r="195" spans="4:4">
      <c r="D195" s="867" t="s">
        <v>10684</v>
      </c>
    </row>
    <row r="196" spans="4:4">
      <c r="D196" s="869" t="s">
        <v>10688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640</vt:i4>
      </vt:variant>
    </vt:vector>
  </HeadingPairs>
  <TitlesOfParts>
    <vt:vector size="663"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2015-09-23T18:35:55Z</dcterms:modified>
</cp:coreProperties>
</file>