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19092" yWindow="-12" windowWidth="19152" windowHeight="11772"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builtInGroupCount="18"/>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71027"/>
  <fileRecoveryPr autoRecover="0"/>
</workbook>
</file>

<file path=xl/calcChain.xml><?xml version="1.0" encoding="utf-8"?>
<calcChain xmlns="http://schemas.openxmlformats.org/spreadsheetml/2006/main">
  <c r="D5" i="27" l="1"/>
  <c r="D15" i="27" l="1"/>
  <c r="K4" i="96" l="1"/>
  <c r="K5" i="96"/>
  <c r="K6" i="96"/>
  <c r="K7" i="96"/>
  <c r="K8" i="96"/>
  <c r="K9" i="96"/>
  <c r="E133" i="1" l="1"/>
  <c r="C12" i="94" l="1"/>
  <c r="C24" i="94"/>
  <c r="D24" i="94" s="1"/>
  <c r="B21" i="94"/>
  <c r="B8" i="8"/>
  <c r="I10" i="8" s="1"/>
  <c r="O6"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I8" i="96" s="1"/>
  <c r="L8" i="96" s="1"/>
  <c r="C223" i="5"/>
  <c r="C224" i="5"/>
  <c r="C225" i="5"/>
  <c r="C226" i="5"/>
  <c r="C227" i="5"/>
  <c r="I7" i="96" s="1"/>
  <c r="L7" i="96" s="1"/>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I9" i="96" s="1"/>
  <c r="L9" i="96" s="1"/>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I6" i="96" s="1"/>
  <c r="L6" i="96" s="1"/>
  <c r="C592" i="5"/>
  <c r="C593" i="5"/>
  <c r="I5" i="96" s="1"/>
  <c r="L5" i="96" s="1"/>
  <c r="C594" i="5"/>
  <c r="C595" i="5"/>
  <c r="C596" i="5"/>
  <c r="I4" i="96" s="1"/>
  <c r="L4" i="96" s="1"/>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D12" i="94" l="1"/>
  <c r="X136" i="1" l="1"/>
  <c r="Y136" i="1" s="1"/>
  <c r="X102" i="1"/>
  <c r="Y102" i="1" s="1"/>
  <c r="X103" i="1"/>
  <c r="X59" i="1"/>
  <c r="Y59" i="1"/>
  <c r="X60" i="1"/>
  <c r="Y60" i="1"/>
  <c r="X61" i="1"/>
  <c r="X62" i="1"/>
  <c r="X63" i="1"/>
  <c r="X64" i="1"/>
  <c r="X65" i="1"/>
  <c r="X66" i="1"/>
  <c r="X67" i="1"/>
  <c r="X68" i="1"/>
  <c r="X76" i="1"/>
  <c r="Y76" i="1" s="1"/>
  <c r="X77" i="1"/>
  <c r="X78" i="1"/>
  <c r="X94" i="1"/>
  <c r="Y94" i="1"/>
  <c r="Y50" i="1"/>
  <c r="X50" i="1"/>
  <c r="X51"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139" i="1" s="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B19" i="94" s="1"/>
  <c r="R12" i="1"/>
  <c r="B8" i="1"/>
  <c r="E44" i="1" s="1"/>
  <c r="E9" i="1"/>
  <c r="B7" i="1"/>
  <c r="E118" i="1" s="1"/>
  <c r="B11" i="1"/>
  <c r="E64" i="1" s="1"/>
  <c r="E65" i="1" s="1"/>
  <c r="O27" i="1"/>
  <c r="AA20" i="1"/>
  <c r="E5" i="5"/>
  <c r="X111" i="1"/>
  <c r="E69" i="1"/>
  <c r="E156" i="1"/>
  <c r="F52" i="7"/>
  <c r="F98" i="1"/>
  <c r="F22" i="7"/>
  <c r="F101" i="1"/>
  <c r="E70" i="7"/>
  <c r="F103" i="1"/>
  <c r="F32" i="1"/>
  <c r="F31" i="1" s="1"/>
  <c r="G32" i="1"/>
  <c r="G31" i="1" s="1"/>
  <c r="P19" i="1"/>
  <c r="P23" i="1"/>
  <c r="Q23" i="1" s="1"/>
  <c r="B4" i="27" s="1"/>
  <c r="AA32" i="1"/>
  <c r="AA33" i="1"/>
  <c r="Y38" i="1"/>
  <c r="AA43" i="1" s="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D35" i="27"/>
  <c r="C12" i="28"/>
  <c r="E134" i="1"/>
  <c r="H29" i="31"/>
  <c r="B18" i="80" s="1"/>
  <c r="B38" i="80" s="1"/>
  <c r="B10" i="31"/>
  <c r="B18" i="84" s="1"/>
  <c r="K9" i="31"/>
  <c r="B17" i="85" s="1"/>
  <c r="K28" i="31"/>
  <c r="B17" i="78" s="1"/>
  <c r="B21" i="78" s="1"/>
  <c r="E29" i="31"/>
  <c r="B18" i="81" s="1"/>
  <c r="B29" i="31"/>
  <c r="B18" i="82" s="1"/>
  <c r="H10" i="31"/>
  <c r="B18" i="83" s="1"/>
  <c r="B41" i="83" s="1"/>
  <c r="B18" i="31"/>
  <c r="B26" i="84" s="1"/>
  <c r="D7" i="28"/>
  <c r="H18" i="31" l="1"/>
  <c r="B26" i="83" s="1"/>
  <c r="P27" i="1"/>
  <c r="Q27" i="1" s="1"/>
  <c r="Q30" i="1" s="1"/>
  <c r="Q33" i="1" s="1"/>
  <c r="C3" i="27" s="1"/>
  <c r="Q19" i="1"/>
  <c r="B6" i="8"/>
  <c r="H7" i="8" s="1"/>
  <c r="B8" i="94"/>
  <c r="B6" i="95" s="1"/>
  <c r="B7" i="94"/>
  <c r="B5" i="95" s="1"/>
  <c r="J8" i="95" s="1"/>
  <c r="E43" i="1"/>
  <c r="E41" i="1"/>
  <c r="E42" i="1"/>
  <c r="E40" i="1"/>
  <c r="F47" i="1"/>
  <c r="G47" i="1"/>
  <c r="F172" i="1"/>
  <c r="E60" i="1"/>
  <c r="E61" i="1" s="1"/>
  <c r="E119" i="1"/>
  <c r="E135" i="1" s="1"/>
  <c r="B31" i="31" s="1"/>
  <c r="B20" i="82" s="1"/>
  <c r="E116" i="1"/>
  <c r="Y47" i="1" s="1"/>
  <c r="E115" i="1"/>
  <c r="E117" i="1"/>
  <c r="B9" i="94" s="1"/>
  <c r="B7" i="95" s="1"/>
  <c r="K8" i="95" s="1"/>
  <c r="C47" i="3"/>
  <c r="E58" i="1"/>
  <c r="E59" i="1"/>
  <c r="E62" i="1"/>
  <c r="E164" i="1" s="1"/>
  <c r="E165" i="1" s="1"/>
  <c r="Y56" i="1"/>
  <c r="AA65" i="1" s="1"/>
  <c r="Y108" i="1"/>
  <c r="R19" i="1"/>
  <c r="X112" i="1"/>
  <c r="Y111" i="1"/>
  <c r="Y73" i="1"/>
  <c r="AA76"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3" i="1" s="1"/>
  <c r="B33" i="80"/>
  <c r="B33" i="81"/>
  <c r="B33" i="82"/>
  <c r="AA39" i="1" l="1" a="1"/>
  <c r="AA39" i="1" s="1"/>
  <c r="B7" i="8"/>
  <c r="I7" i="8" s="1"/>
  <c r="I9" i="8" s="1"/>
  <c r="I12" i="8" s="1"/>
  <c r="L6" i="8" s="1"/>
  <c r="K9" i="95"/>
  <c r="N5" i="95" s="1"/>
  <c r="H9" i="26"/>
  <c r="W139" i="1"/>
  <c r="E176" i="1"/>
  <c r="D16" i="28" s="1"/>
  <c r="S19" i="1"/>
  <c r="T19" i="1" s="1"/>
  <c r="B48" i="27" s="1"/>
  <c r="E68" i="1"/>
  <c r="E72" i="1" s="1"/>
  <c r="E63" i="1"/>
  <c r="AA60" i="1"/>
  <c r="AA66" i="1"/>
  <c r="AA67" i="1"/>
  <c r="AA68" i="1"/>
  <c r="AA59" i="1"/>
  <c r="AA61" i="1"/>
  <c r="AA62" i="1"/>
  <c r="AA63" i="1"/>
  <c r="AA64" i="1"/>
  <c r="AA111" i="1"/>
  <c r="D7" i="5"/>
  <c r="Y112" i="1"/>
  <c r="AA112" i="1" s="1"/>
  <c r="AA78" i="1"/>
  <c r="AA77" i="1"/>
  <c r="AA51" i="1"/>
  <c r="AA50"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8" i="1" a="1"/>
  <c r="AA48" i="1" s="1"/>
  <c r="E71" i="1"/>
  <c r="F107" i="1" s="1"/>
  <c r="F106" i="1" s="1"/>
  <c r="AA57" i="1" a="1"/>
  <c r="AA57" i="1" s="1"/>
  <c r="E8" i="5"/>
  <c r="Y113" i="1"/>
  <c r="AA113" i="1" s="1"/>
  <c r="AA74" i="1" a="1"/>
  <c r="AA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4" i="1" s="1"/>
  <c r="AA114"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5" i="1"/>
  <c r="AA115" i="1" s="1"/>
  <c r="AA109" i="1" s="1" a="1"/>
  <c r="AA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G87" i="1" l="1"/>
  <c r="E21" i="1"/>
  <c r="X139" i="1" s="1"/>
  <c r="Y139" i="1" s="1"/>
  <c r="Y141" i="1" s="1"/>
  <c r="Y144" i="1" s="1"/>
  <c r="E20" i="1"/>
  <c r="E19" i="1"/>
  <c r="O22" i="81"/>
  <c r="O22" i="82"/>
  <c r="L22" i="83"/>
  <c r="L22" i="84"/>
  <c r="G23" i="9"/>
  <c r="O23" i="80" s="1"/>
  <c r="F23" i="9"/>
  <c r="B24" i="28" s="1"/>
  <c r="J24" i="9"/>
  <c r="U25" i="9"/>
  <c r="V24" i="9"/>
  <c r="AA147" i="1" l="1"/>
  <c r="AA148" i="1"/>
  <c r="AA149" i="1"/>
  <c r="AA150" i="1"/>
  <c r="AA151" i="1"/>
  <c r="E22" i="1"/>
  <c r="E26" i="1" s="1"/>
  <c r="G24" i="9"/>
  <c r="O24" i="80" s="1"/>
  <c r="L23" i="83"/>
  <c r="O23" i="81"/>
  <c r="L23" i="84"/>
  <c r="O23" i="82"/>
  <c r="F24" i="9"/>
  <c r="B25" i="28" s="1"/>
  <c r="J25" i="9"/>
  <c r="U26" i="9"/>
  <c r="V25" i="9"/>
  <c r="E31" i="1" l="1"/>
  <c r="AA145" i="1" a="1"/>
  <c r="AA145"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F81" i="1" l="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F84" i="1" l="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1" i="1" s="1"/>
  <c r="AA94" i="1" s="1"/>
  <c r="AA92" i="1" s="1" a="1"/>
  <c r="AA92" i="1" s="1"/>
  <c r="O28" i="82"/>
  <c r="O28" i="81"/>
  <c r="L28" i="84"/>
  <c r="L28" i="83"/>
  <c r="F29" i="9"/>
  <c r="B30" i="28" s="1"/>
  <c r="G29" i="9"/>
  <c r="O29" i="80" s="1"/>
  <c r="J30" i="9"/>
  <c r="U31" i="9"/>
  <c r="V30" i="9"/>
  <c r="E145" i="1" l="1"/>
  <c r="E162" i="1" s="1"/>
  <c r="C11" i="28"/>
  <c r="E124" i="1"/>
  <c r="E127" i="1" s="1"/>
  <c r="Y83" i="1"/>
  <c r="AA86" i="1" s="1"/>
  <c r="AA84" i="1" s="1" a="1"/>
  <c r="AA84" i="1" s="1"/>
  <c r="D32" i="27"/>
  <c r="Y99" i="1"/>
  <c r="AA102"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3" i="1"/>
  <c r="AA100" i="1" s="1" a="1"/>
  <c r="AA100" i="1" s="1"/>
  <c r="E148" i="1"/>
  <c r="F45" i="1"/>
  <c r="E45" i="1" s="1"/>
  <c r="F97" i="1" s="1"/>
  <c r="F95" i="1" s="1"/>
  <c r="G31" i="9"/>
  <c r="O31" i="80" s="1"/>
  <c r="O30" i="81"/>
  <c r="L30" i="84"/>
  <c r="L30" i="83"/>
  <c r="O30" i="82"/>
  <c r="F31" i="9"/>
  <c r="B32" i="28" s="1"/>
  <c r="J32" i="9"/>
  <c r="U33" i="9"/>
  <c r="V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shapeId="0">
      <text>
        <r>
          <rPr>
            <b/>
            <sz val="9"/>
            <color indexed="81"/>
            <rFont val="Tahoma"/>
            <family val="2"/>
          </rPr>
          <t>El Servas:</t>
        </r>
        <r>
          <rPr>
            <sz val="9"/>
            <color indexed="81"/>
            <rFont val="Tahoma"/>
            <family val="2"/>
          </rPr>
          <t xml:space="preserve">
Se usa en DV de [CapturaPorcentajeEnganche]</t>
        </r>
      </text>
    </comment>
    <comment ref="E16" authorId="0" shapeId="0">
      <text>
        <r>
          <rPr>
            <b/>
            <sz val="9"/>
            <color indexed="81"/>
            <rFont val="Tahoma"/>
            <family val="2"/>
          </rPr>
          <t>El Servas:</t>
        </r>
        <r>
          <rPr>
            <sz val="9"/>
            <color indexed="81"/>
            <rFont val="Tahoma"/>
            <family val="2"/>
          </rPr>
          <t xml:space="preserve">
Se usa en DV de [CapturaPorcentajeEnganche]</t>
        </r>
      </text>
    </comment>
    <comment ref="H31"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shape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<sst xmlns="http://schemas.openxmlformats.org/spreadsheetml/2006/main" count="17896" uniqueCount="11032">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</sst>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2"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2"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workbookViewId="0"/>
  </sheetViews>
  <sheetFormatPr defaultColWidth="9.109375" defaultRowHeight="14.4" x14ac:dyDescent="0.3"/>
  <cols>
    <col min="1" max="1" width="3.5546875" style="741" customWidth="1"/>
    <col min="2" max="2" width="27.33203125" style="741" customWidth="1"/>
    <col min="3" max="3" width="3.5546875" style="741" customWidth="1"/>
    <col min="4" max="4" width="9.33203125" style="741" customWidth="1"/>
    <col min="5" max="5" width="9.109375" style="741" customWidth="1"/>
    <col min="6" max="7" width="9.33203125" style="741" customWidth="1"/>
    <col min="8" max="11" width="10.109375" style="741" customWidth="1"/>
    <col min="12" max="12" width="6.6640625" style="741" customWidth="1"/>
    <col min="13" max="13" width="8.5546875" style="741" customWidth="1"/>
    <col min="14" max="14" width="7" style="741" customWidth="1"/>
    <col min="15" max="16384" width="9.109375" style="741"/>
  </cols>
  <sheetData>
    <row r="1" spans="1:13" x14ac:dyDescent="0.3">
      <c r="A1" s="740" t="s">
        <v>488</v>
      </c>
    </row>
    <row r="2" spans="1:13" x14ac:dyDescent="0.3">
      <c r="B2" s="742" t="s">
        <v>5590</v>
      </c>
      <c r="C2" s="743"/>
      <c r="D2" s="743"/>
      <c r="E2" s="743"/>
      <c r="F2" s="743"/>
      <c r="G2" s="743"/>
      <c r="H2" s="743"/>
      <c r="I2" s="743"/>
      <c r="J2" s="744" t="s">
        <v>5591</v>
      </c>
      <c r="K2" s="745" t="s">
        <v>5592</v>
      </c>
      <c r="L2" s="746" t="s">
        <v>10999</v>
      </c>
      <c r="M2" s="747"/>
    </row>
    <row r="4" spans="1:13" x14ac:dyDescent="0.3">
      <c r="B4" s="748">
        <v>2</v>
      </c>
      <c r="C4" s="749">
        <v>0</v>
      </c>
      <c r="D4" s="750" t="s">
        <v>5593</v>
      </c>
      <c r="E4" s="751"/>
      <c r="F4" s="751"/>
      <c r="G4" s="751"/>
      <c r="H4" s="751"/>
      <c r="I4" s="751"/>
      <c r="J4" s="751"/>
      <c r="K4" s="752"/>
      <c r="M4" s="740"/>
    </row>
    <row r="5" spans="1:13" ht="17.25" customHeight="1" x14ac:dyDescent="0.3">
      <c r="A5" s="740"/>
      <c r="B5" s="753" t="s">
        <v>3332</v>
      </c>
      <c r="C5" s="849"/>
      <c r="D5" s="916"/>
      <c r="E5" s="917"/>
      <c r="F5" s="917"/>
      <c r="G5" s="917"/>
      <c r="H5" s="917"/>
      <c r="I5" s="917"/>
      <c r="J5" s="917"/>
      <c r="K5" s="918"/>
      <c r="M5" s="740"/>
    </row>
    <row r="6" spans="1:13" ht="17.25" customHeight="1" x14ac:dyDescent="0.3">
      <c r="B6" s="753" t="s">
        <v>3331</v>
      </c>
      <c r="C6" s="849"/>
      <c r="M6" s="740"/>
    </row>
    <row r="7" spans="1:13" ht="17.25" customHeight="1" x14ac:dyDescent="0.3">
      <c r="B7" s="753"/>
      <c r="C7" s="849"/>
      <c r="D7" s="754"/>
      <c r="E7" s="754"/>
      <c r="F7" s="755" t="s">
        <v>5594</v>
      </c>
      <c r="G7" s="756"/>
      <c r="H7" s="756"/>
      <c r="I7" s="756"/>
      <c r="J7" s="756"/>
      <c r="K7" s="756"/>
    </row>
    <row r="8" spans="1:13" ht="17.25" customHeight="1" x14ac:dyDescent="0.3">
      <c r="B8" s="757"/>
      <c r="D8" s="754"/>
      <c r="E8" s="754"/>
      <c r="F8" s="754"/>
      <c r="G8" s="756"/>
      <c r="H8" s="756"/>
      <c r="I8" s="756"/>
      <c r="J8" s="756"/>
      <c r="K8" s="756"/>
    </row>
    <row r="9" spans="1:13" ht="17.25" customHeight="1" x14ac:dyDescent="0.3">
      <c r="B9" s="757"/>
    </row>
    <row r="10" spans="1:13" ht="17.25" customHeight="1" x14ac:dyDescent="0.3">
      <c r="B10" s="757"/>
      <c r="D10" s="758"/>
      <c r="E10" s="758"/>
      <c r="F10" s="759" t="s">
        <v>5595</v>
      </c>
      <c r="G10" s="760"/>
      <c r="H10" s="760"/>
      <c r="I10" s="760"/>
      <c r="J10" s="760"/>
      <c r="K10" s="760"/>
    </row>
    <row r="11" spans="1:13" ht="17.25" customHeight="1" x14ac:dyDescent="0.3">
      <c r="B11" s="761"/>
      <c r="D11" s="758"/>
      <c r="E11" s="758"/>
      <c r="F11" s="758"/>
      <c r="G11" s="760"/>
      <c r="H11" s="760"/>
      <c r="I11" s="760"/>
      <c r="J11" s="762" t="s">
        <v>5596</v>
      </c>
      <c r="K11" s="853" t="s">
        <v>10997</v>
      </c>
      <c r="L11" s="849"/>
    </row>
    <row r="12" spans="1:13" ht="17.25" customHeight="1" x14ac:dyDescent="0.3">
      <c r="B12" s="761"/>
    </row>
    <row r="13" spans="1:13" ht="17.25" customHeight="1" x14ac:dyDescent="0.3">
      <c r="B13" s="761"/>
      <c r="D13" s="763"/>
      <c r="E13" s="763"/>
      <c r="F13" s="764" t="s">
        <v>5597</v>
      </c>
      <c r="G13" s="765"/>
      <c r="H13" s="765"/>
      <c r="I13" s="765"/>
      <c r="J13" s="765"/>
      <c r="K13" s="765"/>
    </row>
    <row r="14" spans="1:13" ht="17.25" customHeight="1" x14ac:dyDescent="0.3">
      <c r="B14" s="761"/>
      <c r="D14" s="763"/>
      <c r="E14" s="763"/>
      <c r="F14" s="763"/>
      <c r="G14" s="765"/>
      <c r="H14" s="765"/>
      <c r="I14" s="765"/>
      <c r="J14" s="765"/>
      <c r="K14" s="765"/>
    </row>
    <row r="15" spans="1:13" ht="17.25" customHeight="1" x14ac:dyDescent="0.3">
      <c r="B15" s="761"/>
      <c r="M15" s="740"/>
    </row>
    <row r="16" spans="1:13" ht="17.25" customHeight="1" x14ac:dyDescent="0.3">
      <c r="B16" s="761"/>
      <c r="D16" s="766" t="s">
        <v>5598</v>
      </c>
      <c r="E16" s="767"/>
      <c r="F16" s="767"/>
      <c r="G16" s="767"/>
      <c r="H16" s="767"/>
      <c r="I16" s="767"/>
      <c r="J16" s="767"/>
      <c r="K16" s="767"/>
    </row>
    <row r="17" spans="2:11" ht="17.25" customHeight="1" x14ac:dyDescent="0.3">
      <c r="B17" s="761"/>
      <c r="D17" s="768" t="b">
        <v>1</v>
      </c>
      <c r="E17" s="768" t="s">
        <v>4932</v>
      </c>
      <c r="F17" s="768"/>
      <c r="G17" s="768"/>
      <c r="H17" s="768"/>
      <c r="I17" s="768"/>
    </row>
    <row r="18" spans="2:11" ht="17.25" customHeight="1" x14ac:dyDescent="0.3">
      <c r="B18" s="761"/>
      <c r="D18" s="768" t="b">
        <v>0</v>
      </c>
      <c r="E18" s="768" t="s">
        <v>4933</v>
      </c>
      <c r="F18" s="768"/>
      <c r="J18" s="769"/>
      <c r="K18" s="769"/>
    </row>
    <row r="19" spans="2:11" ht="17.25" customHeight="1" x14ac:dyDescent="0.3">
      <c r="B19" s="761"/>
      <c r="D19" s="768" t="b">
        <v>1</v>
      </c>
      <c r="E19" s="768" t="s">
        <v>4934</v>
      </c>
      <c r="F19" s="768"/>
      <c r="G19" s="770" t="s">
        <v>488</v>
      </c>
      <c r="H19" s="771"/>
      <c r="I19" s="772" t="s">
        <v>5599</v>
      </c>
      <c r="J19" s="773"/>
      <c r="K19" s="774"/>
    </row>
    <row r="20" spans="2:11" ht="17.25" customHeight="1" x14ac:dyDescent="0.3">
      <c r="B20" s="761"/>
      <c r="D20" s="768" t="b">
        <v>0</v>
      </c>
      <c r="E20" s="768" t="s">
        <v>4935</v>
      </c>
      <c r="F20" s="768"/>
      <c r="G20" s="919" t="s">
        <v>5089</v>
      </c>
      <c r="H20" s="920"/>
      <c r="I20" s="920"/>
      <c r="J20" s="920"/>
      <c r="K20" s="921"/>
    </row>
    <row r="21" spans="2:11" ht="17.25" customHeight="1" x14ac:dyDescent="0.3">
      <c r="B21" s="761"/>
      <c r="D21" s="768" t="b">
        <v>0</v>
      </c>
      <c r="E21" s="768" t="s">
        <v>5600</v>
      </c>
      <c r="F21" s="768"/>
      <c r="G21" s="849"/>
      <c r="H21" s="849"/>
      <c r="I21" s="849"/>
      <c r="J21" s="849"/>
      <c r="K21" s="849"/>
    </row>
    <row r="22" spans="2:11" ht="17.25" customHeight="1" x14ac:dyDescent="0.3">
      <c r="B22" s="761"/>
    </row>
    <row r="24" spans="2:11" x14ac:dyDescent="0.3">
      <c r="B24" s="775"/>
      <c r="C24" s="849"/>
      <c r="D24" s="849"/>
      <c r="E24" s="849"/>
      <c r="F24" s="849"/>
    </row>
    <row r="25" spans="2:11" x14ac:dyDescent="0.3">
      <c r="B25" s="776"/>
      <c r="C25" s="849"/>
      <c r="D25" s="849"/>
      <c r="E25" s="849"/>
      <c r="F25" s="849"/>
      <c r="G25" s="849"/>
      <c r="H25" s="849"/>
      <c r="I25" s="849"/>
      <c r="J25" s="849"/>
      <c r="K25" s="849"/>
    </row>
    <row r="26" spans="2:11" x14ac:dyDescent="0.3">
      <c r="B26" s="777" t="s">
        <v>5601</v>
      </c>
    </row>
    <row r="28" spans="2:11" x14ac:dyDescent="0.3">
      <c r="B28" s="742" t="s">
        <v>5602</v>
      </c>
      <c r="C28" s="743"/>
      <c r="D28" s="743"/>
      <c r="E28" s="743"/>
      <c r="F28" s="743"/>
      <c r="G28" s="743"/>
      <c r="H28" s="743"/>
      <c r="I28" s="743"/>
      <c r="J28" s="743"/>
      <c r="K28" s="743"/>
    </row>
    <row r="30" spans="2:11" ht="19.5" customHeight="1" x14ac:dyDescent="0.3">
      <c r="B30" s="778"/>
      <c r="C30" s="754"/>
      <c r="D30" s="779" t="s">
        <v>5603</v>
      </c>
      <c r="E30" s="754"/>
      <c r="F30" s="754"/>
      <c r="G30" s="754"/>
      <c r="H30" s="754"/>
      <c r="I30" s="754"/>
      <c r="J30" s="754"/>
      <c r="K30" s="754"/>
    </row>
    <row r="32" spans="2:11" ht="19.5" customHeight="1" x14ac:dyDescent="0.3">
      <c r="B32" s="763"/>
      <c r="C32" s="763"/>
      <c r="D32" s="780" t="s">
        <v>5604</v>
      </c>
      <c r="E32" s="763"/>
      <c r="F32" s="763"/>
      <c r="G32" s="763"/>
      <c r="H32" s="763"/>
      <c r="I32" s="763"/>
      <c r="J32" s="763"/>
      <c r="K32" s="763"/>
    </row>
    <row r="33" spans="5:6" x14ac:dyDescent="0.3">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x14ac:dyDescent="0.3"/>
  <cols>
    <col min="1" max="1" width="2" style="849" bestFit="1" customWidth="1"/>
    <col min="2" max="2" width="51.5546875" style="849" customWidth="1"/>
    <col min="3" max="3" width="51.5546875" style="849" bestFit="1" customWidth="1"/>
    <col min="4" max="4" width="29" style="849" customWidth="1"/>
    <col min="5" max="5" width="92.44140625" style="849" bestFit="1" customWidth="1"/>
    <col min="6" max="16384" width="9.109375" style="849"/>
  </cols>
  <sheetData>
    <row r="2" spans="2:3" x14ac:dyDescent="0.3">
      <c r="B2" s="278" t="s">
        <v>5576</v>
      </c>
      <c r="C2" s="265"/>
    </row>
    <row r="4" spans="2:3" x14ac:dyDescent="0.3">
      <c r="B4" s="734" t="s">
        <v>5577</v>
      </c>
      <c r="C4" s="735" t="b">
        <v>1</v>
      </c>
    </row>
    <row r="5" spans="2:3" x14ac:dyDescent="0.3">
      <c r="B5" s="736" t="s">
        <v>2113</v>
      </c>
      <c r="C5" s="735" t="s">
        <v>4937</v>
      </c>
    </row>
    <row r="6" spans="2:3" x14ac:dyDescent="0.3">
      <c r="B6" s="736" t="s">
        <v>5578</v>
      </c>
      <c r="C6" s="737" t="s">
        <v>5579</v>
      </c>
    </row>
    <row r="8" spans="2:3" x14ac:dyDescent="0.3">
      <c r="B8" s="278" t="s">
        <v>5580</v>
      </c>
      <c r="C8" s="265"/>
    </row>
    <row r="10" spans="2:3" x14ac:dyDescent="0.3">
      <c r="B10" s="738" t="s">
        <v>488</v>
      </c>
      <c r="C10" s="739" t="s">
        <v>488</v>
      </c>
    </row>
    <row r="11" spans="2:3" ht="45" customHeight="1" x14ac:dyDescent="0.3">
      <c r="B11" s="922" t="s">
        <v>488</v>
      </c>
      <c r="C11" s="923"/>
    </row>
    <row r="13" spans="2:3" x14ac:dyDescent="0.3">
      <c r="B13" s="278" t="s">
        <v>5581</v>
      </c>
      <c r="C13" s="265"/>
    </row>
    <row r="14" spans="2:3" x14ac:dyDescent="0.3">
      <c r="B14" s="849" t="s">
        <v>488</v>
      </c>
    </row>
    <row r="15" spans="2:3" x14ac:dyDescent="0.3">
      <c r="B15" s="556" t="s">
        <v>5582</v>
      </c>
      <c r="C15" s="556" t="s">
        <v>5583</v>
      </c>
    </row>
    <row r="16" spans="2:3" x14ac:dyDescent="0.3">
      <c r="B16" s="850" t="s">
        <v>5584</v>
      </c>
      <c r="C16" s="849" t="s">
        <v>5585</v>
      </c>
    </row>
    <row r="17" spans="2:4" x14ac:dyDescent="0.3">
      <c r="B17" s="850" t="s">
        <v>5586</v>
      </c>
      <c r="C17" s="849" t="s">
        <v>5587</v>
      </c>
      <c r="D17" s="851"/>
    </row>
    <row r="18" spans="2:4" x14ac:dyDescent="0.3">
      <c r="B18" s="849" t="s">
        <v>488</v>
      </c>
    </row>
    <row r="19" spans="2:4" x14ac:dyDescent="0.3">
      <c r="B19" s="317" t="s">
        <v>5588</v>
      </c>
      <c r="C19" s="317" t="s">
        <v>5589</v>
      </c>
    </row>
    <row r="20" spans="2:4" x14ac:dyDescent="0.3">
      <c r="B20" s="850" t="s">
        <v>5088</v>
      </c>
      <c r="C20" s="850" t="s">
        <v>5092</v>
      </c>
    </row>
    <row r="21" spans="2:4" x14ac:dyDescent="0.3">
      <c r="B21" s="850" t="s">
        <v>5082</v>
      </c>
      <c r="C21" s="850" t="s">
        <v>5093</v>
      </c>
    </row>
    <row r="22" spans="2:4" x14ac:dyDescent="0.3">
      <c r="B22" s="850" t="s">
        <v>5081</v>
      </c>
      <c r="C22" s="850" t="s">
        <v>5094</v>
      </c>
    </row>
    <row r="23" spans="2:4" x14ac:dyDescent="0.3">
      <c r="B23" s="890" t="s">
        <v>11022</v>
      </c>
      <c r="C23" s="890" t="s">
        <v>11021</v>
      </c>
    </row>
    <row r="24" spans="2:4" x14ac:dyDescent="0.3">
      <c r="B24" s="895"/>
      <c r="C24" s="895"/>
    </row>
    <row r="25" spans="2:4" x14ac:dyDescent="0.3">
      <c r="B25" s="852" t="s">
        <v>11000</v>
      </c>
      <c r="C25" s="852" t="s">
        <v>11001</v>
      </c>
    </row>
    <row r="26" spans="2:4" x14ac:dyDescent="0.3">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tabSelected="1" zoomScale="85" zoomScaleNormal="85" workbookViewId="0"/>
  </sheetViews>
  <sheetFormatPr defaultColWidth="9.109375" defaultRowHeight="13.8" x14ac:dyDescent="0.25"/>
  <cols>
    <col min="1" max="1" width="2.6640625" style="321" customWidth="1"/>
    <col min="2" max="2" width="38.6640625" style="321" customWidth="1"/>
    <col min="3" max="3" width="20.6640625" style="321" customWidth="1"/>
    <col min="4" max="4" width="38.6640625" style="321" customWidth="1"/>
    <col min="5" max="5" width="2.6640625" style="394" customWidth="1"/>
    <col min="6" max="6" width="3" style="321" customWidth="1"/>
    <col min="7" max="7" width="21" style="321" customWidth="1"/>
    <col min="8" max="8" width="21" style="323" customWidth="1"/>
    <col min="9" max="9" width="2.6640625" style="323" customWidth="1"/>
    <col min="10" max="10" width="17.33203125" style="323" customWidth="1"/>
    <col min="11" max="11" width="14.33203125" style="323" customWidth="1"/>
    <col min="12" max="12" width="14.33203125" style="321" customWidth="1"/>
    <col min="13" max="16384" width="9.109375" style="321"/>
  </cols>
  <sheetData>
    <row r="1" spans="1:12" ht="24.75" customHeight="1" thickBot="1" x14ac:dyDescent="0.3">
      <c r="A1" s="320"/>
    </row>
    <row r="2" spans="1:12" ht="21.75" customHeight="1" x14ac:dyDescent="0.4">
      <c r="B2" s="446"/>
      <c r="C2" s="447" t="str">
        <f ca="1">"Simulador Autos " &amp; CondiciónAuto.Descripcion &amp; "s"</f>
        <v>Simulador Autos Nuevos</v>
      </c>
      <c r="D2" s="448"/>
    </row>
    <row r="3" spans="1:12" ht="21.75" customHeight="1" thickBot="1" x14ac:dyDescent="0.3">
      <c r="B3" s="449"/>
      <c r="C3" s="450" t="str">
        <f>Nombre_Tarifa</f>
        <v>Tradicional</v>
      </c>
      <c r="D3" s="451"/>
    </row>
    <row r="4" spans="1:12" ht="19.5" customHeight="1" thickBot="1" x14ac:dyDescent="0.3">
      <c r="B4" s="452" t="str">
        <f>Nombre_Producto</f>
        <v>AutoEstrene Banorte</v>
      </c>
      <c r="C4" s="453" t="s">
        <v>3144</v>
      </c>
      <c r="D4" s="454"/>
      <c r="F4" s="322"/>
      <c r="G4" s="322"/>
      <c r="H4" s="322"/>
      <c r="I4" s="322"/>
    </row>
    <row r="5" spans="1:12" s="323" customFormat="1" ht="15" customHeight="1" x14ac:dyDescent="0.3">
      <c r="B5" s="930" t="s">
        <v>3145</v>
      </c>
      <c r="C5" s="931"/>
      <c r="D5" s="868">
        <f ca="1">TODAY()</f>
        <v>42584</v>
      </c>
      <c r="E5" s="394"/>
      <c r="F5" s="324"/>
      <c r="G5" s="859" t="s">
        <v>11004</v>
      </c>
      <c r="H5" s="857"/>
      <c r="J5" s="860" t="s">
        <v>11007</v>
      </c>
      <c r="K5" s="861"/>
      <c r="L5" s="862"/>
    </row>
    <row r="6" spans="1:12" s="323" customFormat="1" ht="15" customHeight="1" x14ac:dyDescent="0.3">
      <c r="B6" s="928" t="s">
        <v>3146</v>
      </c>
      <c r="C6" s="927"/>
      <c r="D6" s="869">
        <v>150000</v>
      </c>
      <c r="E6" s="394"/>
      <c r="G6" s="863" t="s">
        <v>4947</v>
      </c>
      <c r="H6" s="864" t="s">
        <v>4942</v>
      </c>
      <c r="J6"/>
      <c r="K6" s="439" t="s">
        <v>11006</v>
      </c>
      <c r="L6" s="439" t="s">
        <v>11005</v>
      </c>
    </row>
    <row r="7" spans="1:12" s="323" customFormat="1" ht="15" customHeight="1" x14ac:dyDescent="0.3">
      <c r="B7" s="926" t="s">
        <v>1574</v>
      </c>
      <c r="C7" s="927"/>
      <c r="D7" s="870" t="s">
        <v>1576</v>
      </c>
      <c r="E7" s="394"/>
      <c r="G7" s="863" t="s">
        <v>4952</v>
      </c>
      <c r="H7" s="864" t="s">
        <v>3157</v>
      </c>
      <c r="J7" s="417" t="s">
        <v>426</v>
      </c>
      <c r="K7" s="858">
        <v>35000</v>
      </c>
      <c r="L7" s="858" t="s">
        <v>2105</v>
      </c>
    </row>
    <row r="8" spans="1:12" s="323" customFormat="1" ht="15" customHeight="1" x14ac:dyDescent="0.3">
      <c r="B8" s="928" t="s">
        <v>439</v>
      </c>
      <c r="C8" s="927"/>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x14ac:dyDescent="0.3">
      <c r="B9" s="932" t="s">
        <v>3147</v>
      </c>
      <c r="C9" s="927"/>
      <c r="D9" s="352" t="s">
        <v>1627</v>
      </c>
      <c r="E9" s="507"/>
      <c r="G9" s="863" t="s">
        <v>1622</v>
      </c>
      <c r="H9" s="865">
        <v>0</v>
      </c>
      <c r="J9" s="417" t="s">
        <v>5095</v>
      </c>
      <c r="K9" s="858">
        <v>0</v>
      </c>
      <c r="L9" s="858">
        <f ca="1">ValorFactura * 4%</f>
        <v>6000</v>
      </c>
    </row>
    <row r="10" spans="1:12" s="323" customFormat="1" ht="15" customHeight="1" x14ac:dyDescent="0.3">
      <c r="B10" s="928" t="s">
        <v>3148</v>
      </c>
      <c r="C10" s="927"/>
      <c r="D10" s="353">
        <v>2016</v>
      </c>
      <c r="E10" s="394"/>
      <c r="J10"/>
      <c r="K10"/>
    </row>
    <row r="11" spans="1:12" s="323" customFormat="1" ht="15" customHeight="1" x14ac:dyDescent="0.3">
      <c r="B11" s="926" t="s">
        <v>2150</v>
      </c>
      <c r="C11" s="929"/>
      <c r="D11" s="881" t="s">
        <v>2180</v>
      </c>
      <c r="E11" s="394"/>
      <c r="J11"/>
      <c r="K11"/>
    </row>
    <row r="12" spans="1:12" s="323" customFormat="1" ht="15" customHeight="1" x14ac:dyDescent="0.3">
      <c r="B12" s="928" t="s">
        <v>3149</v>
      </c>
      <c r="C12" s="925"/>
      <c r="D12" s="871" t="s">
        <v>2349</v>
      </c>
      <c r="E12" s="394"/>
      <c r="G12"/>
      <c r="H12"/>
      <c r="J12"/>
      <c r="K12"/>
    </row>
    <row r="13" spans="1:12" s="323" customFormat="1" ht="15" hidden="1" customHeight="1" x14ac:dyDescent="0.3">
      <c r="B13" s="924" t="s">
        <v>3156</v>
      </c>
      <c r="C13" s="925"/>
      <c r="D13" s="894">
        <v>9.9000000000000005E-2</v>
      </c>
      <c r="E13" s="394"/>
      <c r="G13" s="877"/>
      <c r="H13" s="877"/>
      <c r="J13" s="877"/>
      <c r="K13" s="877"/>
    </row>
    <row r="14" spans="1:12" ht="15" customHeight="1" x14ac:dyDescent="0.3">
      <c r="B14" s="926" t="s">
        <v>5</v>
      </c>
      <c r="C14" s="927"/>
      <c r="D14" s="892">
        <v>0.1</v>
      </c>
      <c r="J14"/>
      <c r="K14"/>
    </row>
    <row r="15" spans="1:12" ht="15" customHeight="1" x14ac:dyDescent="0.3">
      <c r="B15" s="928" t="s">
        <v>6</v>
      </c>
      <c r="C15" s="927"/>
      <c r="D15" s="891">
        <f>CapturaPorcentajeEnganche * CapturaValorFactura</f>
        <v>15000</v>
      </c>
      <c r="H15" s="326"/>
      <c r="I15" s="321"/>
      <c r="J15"/>
      <c r="K15"/>
    </row>
    <row r="16" spans="1:12" ht="15" customHeight="1" x14ac:dyDescent="0.3">
      <c r="B16" s="926" t="s">
        <v>3151</v>
      </c>
      <c r="C16" s="927"/>
      <c r="D16" s="893">
        <v>2.5000000000000001E-2</v>
      </c>
      <c r="J16"/>
      <c r="K16"/>
    </row>
    <row r="17" spans="1:7" s="323" customFormat="1" ht="15.75" customHeight="1" x14ac:dyDescent="0.25">
      <c r="B17" s="928" t="s">
        <v>3622</v>
      </c>
      <c r="C17" s="927"/>
      <c r="D17" s="353" t="s">
        <v>1584</v>
      </c>
      <c r="E17" s="394"/>
      <c r="G17" s="325"/>
    </row>
    <row r="18" spans="1:7" s="323" customFormat="1" ht="15.75" customHeight="1" x14ac:dyDescent="0.25">
      <c r="B18" s="926" t="s">
        <v>4781</v>
      </c>
      <c r="C18" s="927"/>
      <c r="D18" s="893" t="s">
        <v>4784</v>
      </c>
      <c r="E18" s="394"/>
      <c r="G18" s="325"/>
    </row>
    <row r="19" spans="1:7" s="323" customFormat="1" ht="15.75" customHeight="1" x14ac:dyDescent="0.25">
      <c r="B19" s="928" t="s">
        <v>4780</v>
      </c>
      <c r="C19" s="927"/>
      <c r="D19" s="891">
        <v>6000</v>
      </c>
      <c r="E19" s="394"/>
      <c r="G19" s="325"/>
    </row>
    <row r="20" spans="1:7" s="323" customFormat="1" ht="15.75" customHeight="1" x14ac:dyDescent="0.25">
      <c r="B20" s="933" t="s">
        <v>3636</v>
      </c>
      <c r="C20" s="934"/>
      <c r="D20" s="935"/>
      <c r="E20" s="394"/>
      <c r="G20" s="325"/>
    </row>
    <row r="21" spans="1:7" s="323" customFormat="1" ht="15.75" hidden="1" customHeight="1" x14ac:dyDescent="0.25">
      <c r="B21" s="944" t="s">
        <v>4069</v>
      </c>
      <c r="C21" s="945"/>
      <c r="D21" s="352" t="s">
        <v>1569</v>
      </c>
      <c r="E21" s="394"/>
    </row>
    <row r="22" spans="1:7" s="323" customFormat="1" ht="15.75" customHeight="1" x14ac:dyDescent="0.25">
      <c r="B22" s="924" t="s">
        <v>4789</v>
      </c>
      <c r="C22" s="936"/>
      <c r="D22" s="353" t="s">
        <v>1568</v>
      </c>
      <c r="E22" s="394"/>
    </row>
    <row r="23" spans="1:7" s="323" customFormat="1" ht="15.75" customHeight="1" thickBot="1" x14ac:dyDescent="0.3">
      <c r="B23" s="937" t="s">
        <v>4791</v>
      </c>
      <c r="C23" s="936"/>
      <c r="D23" s="353" t="s">
        <v>1568</v>
      </c>
      <c r="E23" s="394"/>
      <c r="G23" s="327"/>
    </row>
    <row r="24" spans="1:7" s="323" customFormat="1" ht="15.75" hidden="1" customHeight="1" thickBot="1" x14ac:dyDescent="0.3">
      <c r="A24" s="321"/>
      <c r="B24" s="942" t="s">
        <v>4790</v>
      </c>
      <c r="C24" s="943"/>
      <c r="D24" s="354" t="s">
        <v>1569</v>
      </c>
      <c r="E24" s="394"/>
      <c r="F24" s="321"/>
      <c r="G24" s="321"/>
    </row>
    <row r="25" spans="1:7" ht="15.75" customHeight="1" thickBot="1" x14ac:dyDescent="0.3">
      <c r="B25" s="940" t="s">
        <v>4238</v>
      </c>
      <c r="C25" s="941"/>
      <c r="D25" s="941"/>
    </row>
    <row r="26" spans="1:7" ht="15" customHeight="1" x14ac:dyDescent="0.25">
      <c r="B26" s="938" t="s">
        <v>1620</v>
      </c>
      <c r="C26" s="939"/>
      <c r="D26" s="328">
        <f ca="1">MontoEnganche</f>
        <v>15000</v>
      </c>
    </row>
    <row r="27" spans="1:7" ht="15" customHeight="1" x14ac:dyDescent="0.25">
      <c r="B27" s="928" t="s">
        <v>10924</v>
      </c>
      <c r="C27" s="946"/>
      <c r="D27" s="329">
        <f ca="1">PrimaVida * Seguro.EsContado?</f>
        <v>0</v>
      </c>
    </row>
    <row r="28" spans="1:7" ht="15" customHeight="1" x14ac:dyDescent="0.25">
      <c r="B28" s="928" t="s">
        <v>10925</v>
      </c>
      <c r="C28" s="946"/>
      <c r="D28" s="329">
        <f ca="1">PrimaDaños * Seguro.EsContado?</f>
        <v>0</v>
      </c>
    </row>
    <row r="29" spans="1:7" x14ac:dyDescent="0.25">
      <c r="B29" s="928" t="s">
        <v>3150</v>
      </c>
      <c r="C29" s="946"/>
      <c r="D29" s="329">
        <f ca="1">MontoComisionPorAperturaConIva</f>
        <v>4322.21094894</v>
      </c>
    </row>
    <row r="30" spans="1:7" x14ac:dyDescent="0.25">
      <c r="B30" s="947" t="s">
        <v>3152</v>
      </c>
      <c r="C30" s="948"/>
      <c r="D30" s="330">
        <f ca="1">+D29+D27+D26+D28</f>
        <v>19322.210948939999</v>
      </c>
    </row>
    <row r="31" spans="1:7" ht="5.0999999999999996" customHeight="1" x14ac:dyDescent="0.25">
      <c r="B31" s="331"/>
      <c r="C31" s="332"/>
      <c r="D31" s="333"/>
    </row>
    <row r="32" spans="1:7" ht="15" customHeight="1" x14ac:dyDescent="0.25">
      <c r="B32" s="924" t="s">
        <v>3154</v>
      </c>
      <c r="C32" s="936"/>
      <c r="D32" s="329">
        <f ca="1">MontoFinanciarAuto</f>
        <v>135000</v>
      </c>
    </row>
    <row r="33" spans="2:11" ht="15" customHeight="1" x14ac:dyDescent="0.25">
      <c r="B33" s="924" t="s">
        <v>10990</v>
      </c>
      <c r="C33" s="936"/>
      <c r="D33" s="329">
        <f ca="1">PrimaVida * Seguro.EsFinanciado?</f>
        <v>1002.0500000000001</v>
      </c>
    </row>
    <row r="34" spans="2:11" ht="15" customHeight="1" x14ac:dyDescent="0.25">
      <c r="B34" s="924" t="s">
        <v>10989</v>
      </c>
      <c r="C34" s="936"/>
      <c r="D34" s="329">
        <f ca="1">PrimaDaños * Seguro.EsFinanciado?</f>
        <v>7039.7068599999993</v>
      </c>
      <c r="G34" s="334"/>
    </row>
    <row r="35" spans="2:11" ht="15" customHeight="1" x14ac:dyDescent="0.25">
      <c r="B35" s="924" t="s">
        <v>4782</v>
      </c>
      <c r="C35" s="936"/>
      <c r="D35" s="329">
        <f>MontoGtiaExt</f>
        <v>6000</v>
      </c>
      <c r="G35" s="334"/>
    </row>
    <row r="36" spans="2:11" ht="15" customHeight="1" thickBot="1" x14ac:dyDescent="0.3">
      <c r="B36" s="958" t="s">
        <v>3155</v>
      </c>
      <c r="C36" s="959"/>
      <c r="D36" s="335">
        <f ca="1">MontoFinanciarTotal</f>
        <v>149041.75685999999</v>
      </c>
    </row>
    <row r="37" spans="2:11" ht="19.5" customHeight="1" thickBot="1" x14ac:dyDescent="0.3">
      <c r="B37" s="940" t="str">
        <f>"Pago " &amp; SELECCION_FRECUENCIA &amp; " Estimado con I.V.A. Incluido"</f>
        <v>Pago Mensual Estimado con I.V.A. Incluido</v>
      </c>
      <c r="C37" s="941"/>
      <c r="D37" s="941"/>
    </row>
    <row r="38" spans="2:11" ht="15" customHeight="1" x14ac:dyDescent="0.25">
      <c r="B38" s="336" t="s">
        <v>436</v>
      </c>
      <c r="C38" s="337" t="s">
        <v>1614</v>
      </c>
      <c r="D38" s="338" t="s">
        <v>3153</v>
      </c>
    </row>
    <row r="39" spans="2:11" ht="15" customHeight="1" x14ac:dyDescent="0.25">
      <c r="B39" s="339">
        <f>IF(Calculos!J17="","",Calculos!J17)</f>
        <v>12</v>
      </c>
      <c r="C39" s="340">
        <f>IF(Calculos!K17="","",Calculos!K17)</f>
        <v>0.129</v>
      </c>
      <c r="D39" s="341">
        <f>IF(Calculos!L17="","",Calculos!L17)</f>
        <v>13413.47</v>
      </c>
    </row>
    <row r="40" spans="2:11" ht="15" customHeight="1" x14ac:dyDescent="0.25">
      <c r="B40" s="342">
        <f>IF(Calculos!J18="","",Calculos!J18)</f>
        <v>24</v>
      </c>
      <c r="C40" s="343">
        <f>IF(Calculos!K18="","",Calculos!K18)</f>
        <v>0.129</v>
      </c>
      <c r="D40" s="344">
        <f>IF(Calculos!L18="","",Calculos!L18)</f>
        <v>7523.44</v>
      </c>
    </row>
    <row r="41" spans="2:11" ht="15" customHeight="1" x14ac:dyDescent="0.25">
      <c r="B41" s="339">
        <f>IF(Calculos!J19="","",Calculos!J19)</f>
        <v>36</v>
      </c>
      <c r="C41" s="340">
        <f>IF(Calculos!K19="","",Calculos!K19)</f>
        <v>0.129</v>
      </c>
      <c r="D41" s="341">
        <f>IF(Calculos!L19="","",Calculos!L19)</f>
        <v>5573.53</v>
      </c>
    </row>
    <row r="42" spans="2:11" ht="15" customHeight="1" x14ac:dyDescent="0.25">
      <c r="B42" s="342">
        <f>IF(Calculos!J20="","",Calculos!J20)</f>
        <v>48</v>
      </c>
      <c r="C42" s="343">
        <f>IF(Calculos!K20="","",Calculos!K20)</f>
        <v>0.129</v>
      </c>
      <c r="D42" s="344">
        <f>IF(Calculos!L20="","",Calculos!L20)</f>
        <v>4608.54</v>
      </c>
    </row>
    <row r="43" spans="2:11" ht="15" customHeight="1" thickBot="1" x14ac:dyDescent="0.3">
      <c r="B43" s="345">
        <f>IF(Calculos!J21="","",Calculos!J21)</f>
        <v>60</v>
      </c>
      <c r="C43" s="346">
        <f>IF(Calculos!K21="","",Calculos!K21)</f>
        <v>0.129</v>
      </c>
      <c r="D43" s="347">
        <f>IF(Calculos!L21="","",Calculos!L21)</f>
        <v>4037.41</v>
      </c>
    </row>
    <row r="44" spans="2:11" s="348" customFormat="1" ht="15" customHeight="1" thickBot="1" x14ac:dyDescent="0.3">
      <c r="E44" s="394"/>
      <c r="H44" s="349"/>
      <c r="I44" s="349"/>
      <c r="J44" s="349"/>
      <c r="K44" s="349"/>
    </row>
    <row r="45" spans="2:11" ht="12" customHeight="1" x14ac:dyDescent="0.25">
      <c r="B45" s="960" t="str">
        <f ca="1">LEYENDA_DIAS_INTERESES_PRIMER_PAGO</f>
        <v>El monto de su primer pago será mayor que el resto, ya que incluye más días de interés.</v>
      </c>
      <c r="C45" s="961"/>
      <c r="D45" s="962"/>
    </row>
    <row r="46" spans="2:11" ht="30" customHeight="1" x14ac:dyDescent="0.25">
      <c r="B46" s="963" t="str">
        <f ca="1">+Leyenda.Seguro.1</f>
        <v>* Costo del Seguro Banorte por el primer año por $8,041.76, incluye Indeminización Valor Factura Primer Año, Reparación en Agencia y Auto Sustituto.</v>
      </c>
      <c r="C46" s="964"/>
      <c r="D46" s="965"/>
    </row>
    <row r="47" spans="2:11" ht="30" customHeight="1" x14ac:dyDescent="0.25">
      <c r="B47" s="955" t="str">
        <f ca="1">+Leyenda_coberturas_adicionales_cotizacion</f>
        <v>Incluye la(s) siguiente(s) cobertura(s) adicional(es):</v>
      </c>
      <c r="C47" s="956"/>
      <c r="D47" s="957"/>
    </row>
    <row r="48" spans="2:11" ht="24.9" hidden="1" customHeight="1" x14ac:dyDescent="0.25">
      <c r="B48" s="966"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7"/>
      <c r="D48" s="968"/>
    </row>
    <row r="49" spans="2:5" ht="24.9" hidden="1" customHeight="1" x14ac:dyDescent="0.25">
      <c r="B49" s="966"/>
      <c r="C49" s="967"/>
      <c r="D49" s="968"/>
    </row>
    <row r="50" spans="2:5" ht="24.9" hidden="1" customHeight="1" x14ac:dyDescent="0.25">
      <c r="B50" s="966"/>
      <c r="C50" s="967"/>
      <c r="D50" s="968"/>
    </row>
    <row r="51" spans="2:5" ht="24.9" hidden="1" customHeight="1" x14ac:dyDescent="0.25">
      <c r="B51" s="966"/>
      <c r="C51" s="967"/>
      <c r="D51" s="968"/>
    </row>
    <row r="52" spans="2:5" ht="24.9" hidden="1" customHeight="1" x14ac:dyDescent="0.25">
      <c r="B52" s="966"/>
      <c r="C52" s="967"/>
      <c r="D52" s="968"/>
    </row>
    <row r="53" spans="2:5" x14ac:dyDescent="0.25">
      <c r="B53" s="969" t="s">
        <v>4221</v>
      </c>
      <c r="C53" s="970"/>
      <c r="D53" s="971"/>
    </row>
    <row r="54" spans="2:5" x14ac:dyDescent="0.25">
      <c r="B54" s="374" t="s">
        <v>4222</v>
      </c>
      <c r="C54" s="350"/>
      <c r="D54" s="351"/>
    </row>
    <row r="55" spans="2:5" ht="15" customHeight="1" x14ac:dyDescent="0.25">
      <c r="B55" s="949" t="s">
        <v>3639</v>
      </c>
      <c r="C55" s="950"/>
      <c r="D55" s="951"/>
    </row>
    <row r="56" spans="2:5" x14ac:dyDescent="0.25">
      <c r="B56" s="949"/>
      <c r="C56" s="950"/>
      <c r="D56" s="951"/>
    </row>
    <row r="57" spans="2:5" ht="14.4" thickBot="1" x14ac:dyDescent="0.3">
      <c r="B57" s="952"/>
      <c r="C57" s="953"/>
      <c r="D57" s="954"/>
    </row>
    <row r="58" spans="2:5" ht="5.0999999999999996" customHeight="1" x14ac:dyDescent="0.25"/>
    <row r="59" spans="2:5" ht="24.75" customHeight="1" x14ac:dyDescent="0.25"/>
    <row r="60" spans="2:5" ht="14.4" thickBot="1" x14ac:dyDescent="0.3">
      <c r="E60" s="856"/>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defaultColWidth="9.109375" defaultRowHeight="13.8" x14ac:dyDescent="0.25"/>
  <cols>
    <col min="1" max="2" width="10.88671875" style="321" customWidth="1"/>
    <col min="3" max="3" width="10.6640625" style="321" customWidth="1"/>
    <col min="4" max="5" width="12.6640625" style="321" customWidth="1"/>
    <col min="6" max="6" width="10.6640625" style="321" customWidth="1"/>
    <col min="7" max="8" width="12.6640625" style="321" customWidth="1"/>
    <col min="9" max="9" width="10.6640625" style="321" customWidth="1"/>
    <col min="10" max="10" width="3.44140625" style="321" customWidth="1"/>
    <col min="11" max="16384" width="9.109375" style="321"/>
  </cols>
  <sheetData>
    <row r="1" spans="1:12" hidden="1" x14ac:dyDescent="0.25"/>
    <row r="2" spans="1:12" hidden="1" x14ac:dyDescent="0.25"/>
    <row r="3" spans="1:12" hidden="1" x14ac:dyDescent="0.25">
      <c r="A3" s="554"/>
      <c r="B3" s="554"/>
      <c r="C3" s="554"/>
      <c r="D3" s="554"/>
      <c r="E3" s="554"/>
      <c r="F3" s="554"/>
      <c r="G3" s="554"/>
      <c r="H3" s="554"/>
      <c r="I3" s="554"/>
    </row>
    <row r="4" spans="1:12" ht="18.600000000000001" hidden="1" x14ac:dyDescent="0.3">
      <c r="A4" s="555"/>
      <c r="B4" s="555"/>
      <c r="C4" s="555"/>
      <c r="D4" s="555"/>
      <c r="E4" s="555"/>
      <c r="F4" s="555"/>
      <c r="G4" s="555"/>
      <c r="H4" s="555"/>
      <c r="I4" s="555"/>
    </row>
    <row r="5" spans="1:12" ht="14.4" thickBot="1" x14ac:dyDescent="0.3"/>
    <row r="6" spans="1:12" s="323" customFormat="1" ht="17.399999999999999" x14ac:dyDescent="0.3">
      <c r="A6" s="455"/>
      <c r="B6" s="456"/>
      <c r="C6" s="456"/>
      <c r="D6" s="973" t="s">
        <v>3159</v>
      </c>
      <c r="E6" s="973"/>
      <c r="F6" s="973"/>
      <c r="G6" s="973"/>
      <c r="H6" s="456"/>
      <c r="I6" s="457"/>
    </row>
    <row r="7" spans="1:12" s="323" customFormat="1" ht="15.6" thickBot="1" x14ac:dyDescent="0.35">
      <c r="A7" s="458"/>
      <c r="B7" s="459"/>
      <c r="C7" s="459"/>
      <c r="D7" s="974" t="str">
        <f ca="1">IF(ID_CONDICION_AUTO=1,"Autos Nuevos",IF(ID_CONDICION_AUTO=2,"Autos Seminuevos",""))</f>
        <v>Autos Nuevos</v>
      </c>
      <c r="E7" s="974"/>
      <c r="F7" s="974"/>
      <c r="G7" s="974"/>
      <c r="H7" s="459"/>
      <c r="I7" s="460"/>
    </row>
    <row r="8" spans="1:12" s="323" customFormat="1" ht="14.4" thickBot="1" x14ac:dyDescent="0.35"/>
    <row r="9" spans="1:12" s="323" customFormat="1" ht="15" customHeight="1" x14ac:dyDescent="0.3">
      <c r="A9" s="527" t="s">
        <v>3160</v>
      </c>
      <c r="B9" s="528"/>
      <c r="C9" s="529">
        <f ca="1">ValorFactura</f>
        <v>150000</v>
      </c>
      <c r="D9" s="530"/>
      <c r="E9" s="528"/>
      <c r="F9" s="528"/>
      <c r="G9" s="531" t="s">
        <v>1686</v>
      </c>
      <c r="H9" s="532">
        <f ca="1">CapturaFechaCotizacion</f>
        <v>42584</v>
      </c>
      <c r="I9" s="533"/>
    </row>
    <row r="10" spans="1:12" s="323" customFormat="1" ht="15" customHeight="1" x14ac:dyDescent="0.3">
      <c r="A10" s="534" t="s">
        <v>1620</v>
      </c>
      <c r="B10" s="535"/>
      <c r="C10" s="536">
        <f ca="1">MontoEnganche</f>
        <v>15000</v>
      </c>
      <c r="D10" s="535"/>
      <c r="E10" s="535" t="str">
        <f ca="1">LeyendaAportacionAdicional</f>
        <v/>
      </c>
      <c r="F10" s="535"/>
      <c r="G10" s="535"/>
      <c r="H10" s="535"/>
      <c r="I10" s="537"/>
    </row>
    <row r="11" spans="1:12" s="323" customFormat="1" ht="15" customHeight="1" x14ac:dyDescent="0.25">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x14ac:dyDescent="0.3">
      <c r="A12" s="534" t="s">
        <v>4788</v>
      </c>
      <c r="B12" s="535"/>
      <c r="C12" s="536">
        <f>MontoGtiaExt</f>
        <v>6000</v>
      </c>
      <c r="D12" s="539">
        <v>11243.62</v>
      </c>
      <c r="E12" s="535"/>
      <c r="F12" s="535"/>
      <c r="G12" s="535"/>
      <c r="H12" s="535"/>
      <c r="I12" s="537"/>
    </row>
    <row r="13" spans="1:12" ht="15" customHeight="1" x14ac:dyDescent="0.25">
      <c r="A13" s="534" t="s">
        <v>4997</v>
      </c>
      <c r="B13" s="535"/>
      <c r="C13" s="616" t="s">
        <v>1601</v>
      </c>
      <c r="D13" s="616" t="s">
        <v>1552</v>
      </c>
      <c r="E13" s="535"/>
      <c r="F13" s="535"/>
      <c r="G13" s="540" t="s">
        <v>3156</v>
      </c>
      <c r="H13" s="541">
        <f ca="1">TasaInteres</f>
        <v>0.129</v>
      </c>
      <c r="I13" s="537"/>
    </row>
    <row r="14" spans="1:12" ht="27.9" customHeight="1" x14ac:dyDescent="0.3">
      <c r="A14" s="975" t="s">
        <v>3164</v>
      </c>
      <c r="B14" s="976"/>
      <c r="C14" s="980" t="s">
        <v>1639</v>
      </c>
      <c r="D14" s="980"/>
      <c r="E14" s="542"/>
      <c r="F14" s="535"/>
      <c r="G14" s="543" t="s">
        <v>1687</v>
      </c>
      <c r="H14" s="544">
        <f ca="1">CAT!CAT</f>
        <v>0.32942108186708352</v>
      </c>
      <c r="I14" s="545" t="s">
        <v>1688</v>
      </c>
    </row>
    <row r="15" spans="1:12" ht="15" customHeight="1" x14ac:dyDescent="0.25">
      <c r="A15" s="571" t="s">
        <v>3162</v>
      </c>
      <c r="B15" s="572"/>
      <c r="C15" s="535" t="str">
        <f>SELECCION_TIPO_PERSONA</f>
        <v>Física</v>
      </c>
      <c r="D15" s="542"/>
      <c r="E15" s="542"/>
      <c r="F15" s="535"/>
      <c r="G15" s="540" t="s">
        <v>1690</v>
      </c>
      <c r="H15" s="546">
        <f ca="1">NumeroDePagos-H16</f>
        <v>0</v>
      </c>
      <c r="I15" s="537"/>
    </row>
    <row r="16" spans="1:12" ht="15" customHeight="1" thickBot="1" x14ac:dyDescent="0.3">
      <c r="A16" s="680" t="s">
        <v>3163</v>
      </c>
      <c r="B16" s="547"/>
      <c r="C16" s="373" t="s">
        <v>3157</v>
      </c>
      <c r="D16" s="548" t="str">
        <f ca="1">Leyenda.Seguro.2</f>
        <v>Con Seguro Anual Financiado.</v>
      </c>
      <c r="E16" s="549"/>
      <c r="F16" s="547"/>
      <c r="G16" s="550" t="s">
        <v>1691</v>
      </c>
      <c r="H16" s="551">
        <f ca="1">MIN(COUNTIF(C20:C279,"&lt;&gt;0"),NumeroDePagos)</f>
        <v>12</v>
      </c>
      <c r="I16" s="552"/>
    </row>
    <row r="17" spans="1:9" ht="15" thickBot="1" x14ac:dyDescent="0.35">
      <c r="A17" s="526"/>
      <c r="B17" s="524"/>
      <c r="C17" s="524"/>
      <c r="D17" s="524"/>
      <c r="E17" s="525"/>
      <c r="F17" s="524"/>
      <c r="G17" s="524"/>
      <c r="H17" s="524"/>
      <c r="I17" s="524"/>
    </row>
    <row r="18" spans="1:9" s="375" customFormat="1" ht="15" customHeight="1" thickBot="1" x14ac:dyDescent="0.3">
      <c r="A18" s="981" t="s">
        <v>3158</v>
      </c>
      <c r="B18" s="982"/>
      <c r="C18" s="982"/>
      <c r="D18" s="982"/>
      <c r="E18" s="983"/>
      <c r="F18" s="982"/>
      <c r="G18" s="982"/>
      <c r="H18" s="982"/>
      <c r="I18" s="984"/>
    </row>
    <row r="19" spans="1:9" ht="22.8" x14ac:dyDescent="0.25">
      <c r="A19" s="355" t="s">
        <v>1682</v>
      </c>
      <c r="B19" s="355" t="s">
        <v>1683</v>
      </c>
      <c r="C19" s="355" t="s">
        <v>1632</v>
      </c>
      <c r="D19" s="355" t="s">
        <v>1684</v>
      </c>
      <c r="E19" s="355" t="s">
        <v>1634</v>
      </c>
      <c r="F19" s="355" t="s">
        <v>1685</v>
      </c>
      <c r="G19" s="355" t="s">
        <v>1635</v>
      </c>
      <c r="H19" s="355" t="s">
        <v>4936</v>
      </c>
      <c r="I19" s="355" t="s">
        <v>1636</v>
      </c>
    </row>
    <row r="20" spans="1:9" ht="15" customHeight="1" x14ac:dyDescent="0.25">
      <c r="A20" s="361">
        <v>1</v>
      </c>
      <c r="B20" s="362">
        <f t="shared" ref="B20:B83" ca="1" si="0">INDEX(Fechas_Pago,_AmortizacionesTablaCliente)</f>
        <v>42616</v>
      </c>
      <c r="C20" s="363">
        <f ca="1">INDEX(T_Merger!__Saldo_Inicial,_AmortizacionesTablaCliente)</f>
        <v>149041.75685999999</v>
      </c>
      <c r="D20" s="363">
        <f ca="1">INDEX(T_Merger!__Capital,_AmortizacionesTablaCliente)</f>
        <v>11619.004092347395</v>
      </c>
      <c r="E20" s="363">
        <f ca="1">INDEX(T_Merger!__Interes,_AmortizacionesTablaCliente)</f>
        <v>1709.0121453279999</v>
      </c>
      <c r="F20" s="363">
        <f ca="1">INDEX(T_Merger!__IVA,_AmortizacionesTablaCliente)</f>
        <v>205.08145743935998</v>
      </c>
      <c r="G20" s="363">
        <f ca="1">INDEX(T_Merger!__Pago,_AmortizacionesTablaCliente)</f>
        <v>13533.097695114755</v>
      </c>
      <c r="H20" s="493">
        <v>0</v>
      </c>
      <c r="I20" s="364">
        <f ca="1">INDEX(T_Merger!__Saldo_Final,_AmortizacionesTablaCliente)</f>
        <v>137422.75276765259</v>
      </c>
    </row>
    <row r="21" spans="1:9" ht="15" customHeight="1" x14ac:dyDescent="0.25">
      <c r="A21" s="365">
        <v>2</v>
      </c>
      <c r="B21" s="366">
        <f t="shared" ca="1" si="0"/>
        <v>42646</v>
      </c>
      <c r="C21" s="367">
        <f ca="1">INDEX(T_Merger!__Saldo_Inicial,_AmortizacionesTablaCliente)</f>
        <v>137422.75276765259</v>
      </c>
      <c r="D21" s="367">
        <f ca="1">INDEX(T_Merger!__Capital,_AmortizacionesTablaCliente)</f>
        <v>11758.896901619257</v>
      </c>
      <c r="E21" s="367">
        <f ca="1">INDEX(T_Merger!__Interes,_AmortizacionesTablaCliente)</f>
        <v>1477.2945922522654</v>
      </c>
      <c r="F21" s="367">
        <f ca="1">INDEX(T_Merger!__IVA,_AmortizacionesTablaCliente)</f>
        <v>177.27535107027182</v>
      </c>
      <c r="G21" s="367">
        <f ca="1">INDEX(T_Merger!__Pago,_AmortizacionesTablaCliente)</f>
        <v>13413.466844941793</v>
      </c>
      <c r="H21" s="494">
        <v>0</v>
      </c>
      <c r="I21" s="368">
        <f ca="1">INDEX(T_Merger!__Saldo_Final,_AmortizacionesTablaCliente)</f>
        <v>125663.85586603334</v>
      </c>
    </row>
    <row r="22" spans="1:9" ht="15" customHeight="1" x14ac:dyDescent="0.25">
      <c r="A22" s="365">
        <v>3</v>
      </c>
      <c r="B22" s="366">
        <f t="shared" ca="1" si="0"/>
        <v>42677</v>
      </c>
      <c r="C22" s="367">
        <f ca="1">INDEX(T_Merger!__Saldo_Inicial,_AmortizacionesTablaCliente)</f>
        <v>125663.85586603334</v>
      </c>
      <c r="D22" s="367">
        <f ca="1">INDEX(T_Merger!__Capital,_AmortizacionesTablaCliente)</f>
        <v>11900.474020314754</v>
      </c>
      <c r="E22" s="367">
        <f ca="1">INDEX(T_Merger!__Interes,_AmortizacionesTablaCliente)</f>
        <v>1350.8864505598585</v>
      </c>
      <c r="F22" s="367">
        <f ca="1">INDEX(T_Merger!__IVA,_AmortizacionesTablaCliente)</f>
        <v>162.10637406718303</v>
      </c>
      <c r="G22" s="367">
        <f ca="1">INDEX(T_Merger!__Pago,_AmortizacionesTablaCliente)</f>
        <v>13413.466844941797</v>
      </c>
      <c r="H22" s="494">
        <v>0</v>
      </c>
      <c r="I22" s="368">
        <f ca="1">INDEX(T_Merger!__Saldo_Final,_AmortizacionesTablaCliente)</f>
        <v>113763.38184571858</v>
      </c>
    </row>
    <row r="23" spans="1:9" ht="15" customHeight="1" x14ac:dyDescent="0.25">
      <c r="A23" s="365">
        <v>4</v>
      </c>
      <c r="B23" s="366">
        <f t="shared" ca="1" si="0"/>
        <v>42707</v>
      </c>
      <c r="C23" s="367">
        <f ca="1">INDEX(T_Merger!__Saldo_Inicial,_AmortizacionesTablaCliente)</f>
        <v>113763.38184571858</v>
      </c>
      <c r="D23" s="367">
        <f ca="1">INDEX(T_Merger!__Capital,_AmortizacionesTablaCliente)</f>
        <v>12043.755727519343</v>
      </c>
      <c r="E23" s="367">
        <f ca="1">INDEX(T_Merger!__Interes,_AmortizacionesTablaCliente)</f>
        <v>1222.9563548414749</v>
      </c>
      <c r="F23" s="367">
        <f ca="1">INDEX(T_Merger!__IVA,_AmortizacionesTablaCliente)</f>
        <v>146.75476258097697</v>
      </c>
      <c r="G23" s="367">
        <f ca="1">INDEX(T_Merger!__Pago,_AmortizacionesTablaCliente)</f>
        <v>13413.466844941795</v>
      </c>
      <c r="H23" s="494">
        <v>0</v>
      </c>
      <c r="I23" s="368">
        <f ca="1">INDEX(T_Merger!__Saldo_Final,_AmortizacionesTablaCliente)</f>
        <v>101719.62611819924</v>
      </c>
    </row>
    <row r="24" spans="1:9" x14ac:dyDescent="0.25">
      <c r="A24" s="365">
        <v>5</v>
      </c>
      <c r="B24" s="366">
        <f t="shared" ca="1" si="0"/>
        <v>42738</v>
      </c>
      <c r="C24" s="367">
        <f ca="1">INDEX(T_Merger!__Saldo_Inicial,_AmortizacionesTablaCliente)</f>
        <v>101719.62611819924</v>
      </c>
      <c r="D24" s="367">
        <f ca="1">INDEX(T_Merger!__Capital,_AmortizacionesTablaCliente)</f>
        <v>12188.762546478676</v>
      </c>
      <c r="E24" s="367">
        <f ca="1">INDEX(T_Merger!__Interes,_AmortizacionesTablaCliente)</f>
        <v>1093.4859807706418</v>
      </c>
      <c r="F24" s="367">
        <f ca="1">INDEX(T_Merger!__IVA,_AmortizacionesTablaCliente)</f>
        <v>131.21831769247703</v>
      </c>
      <c r="G24" s="367">
        <f ca="1">INDEX(T_Merger!__Pago,_AmortizacionesTablaCliente)</f>
        <v>13413.466844941795</v>
      </c>
      <c r="H24" s="494">
        <v>0</v>
      </c>
      <c r="I24" s="368">
        <f ca="1">INDEX(T_Merger!__Saldo_Final,_AmortizacionesTablaCliente)</f>
        <v>89530.863571720576</v>
      </c>
    </row>
    <row r="25" spans="1:9" x14ac:dyDescent="0.25">
      <c r="A25" s="365">
        <v>6</v>
      </c>
      <c r="B25" s="366">
        <f t="shared" ca="1" si="0"/>
        <v>42769</v>
      </c>
      <c r="C25" s="367">
        <f ca="1">INDEX(T_Merger!__Saldo_Inicial,_AmortizacionesTablaCliente)</f>
        <v>89530.863571720576</v>
      </c>
      <c r="D25" s="367">
        <f ca="1">INDEX(T_Merger!__Capital,_AmortizacionesTablaCliente)</f>
        <v>12335.51524753828</v>
      </c>
      <c r="E25" s="367">
        <f ca="1">INDEX(T_Merger!__Interes,_AmortizacionesTablaCliente)</f>
        <v>962.45678339599624</v>
      </c>
      <c r="F25" s="367">
        <f ca="1">INDEX(T_Merger!__IVA,_AmortizacionesTablaCliente)</f>
        <v>115.49481400751955</v>
      </c>
      <c r="G25" s="367">
        <f ca="1">INDEX(T_Merger!__Pago,_AmortizacionesTablaCliente)</f>
        <v>13413.466844941795</v>
      </c>
      <c r="H25" s="494">
        <v>0</v>
      </c>
      <c r="I25" s="368">
        <f ca="1">INDEX(T_Merger!__Saldo_Final,_AmortizacionesTablaCliente)</f>
        <v>77195.348324182298</v>
      </c>
    </row>
    <row r="26" spans="1:9" x14ac:dyDescent="0.25">
      <c r="A26" s="365">
        <v>7</v>
      </c>
      <c r="B26" s="366">
        <f t="shared" ca="1" si="0"/>
        <v>42797</v>
      </c>
      <c r="C26" s="367">
        <f ca="1">INDEX(T_Merger!__Saldo_Inicial,_AmortizacionesTablaCliente)</f>
        <v>77195.348324182298</v>
      </c>
      <c r="D26" s="367">
        <f ca="1">INDEX(T_Merger!__Capital,_AmortizacionesTablaCliente)</f>
        <v>12484.03485111864</v>
      </c>
      <c r="E26" s="367">
        <f ca="1">INDEX(T_Merger!__Interes,_AmortizacionesTablaCliente)</f>
        <v>829.84999448495967</v>
      </c>
      <c r="F26" s="367">
        <f ca="1">INDEX(T_Merger!__IVA,_AmortizacionesTablaCliente)</f>
        <v>99.58199933819516</v>
      </c>
      <c r="G26" s="367">
        <f ca="1">INDEX(T_Merger!__Pago,_AmortizacionesTablaCliente)</f>
        <v>13413.466844941795</v>
      </c>
      <c r="H26" s="494">
        <v>0</v>
      </c>
      <c r="I26" s="368">
        <f ca="1">INDEX(T_Merger!__Saldo_Final,_AmortizacionesTablaCliente)</f>
        <v>64711.313473063659</v>
      </c>
    </row>
    <row r="27" spans="1:9" x14ac:dyDescent="0.25">
      <c r="A27" s="365">
        <v>8</v>
      </c>
      <c r="B27" s="366">
        <f t="shared" ca="1" si="0"/>
        <v>42828</v>
      </c>
      <c r="C27" s="367">
        <f ca="1">INDEX(T_Merger!__Saldo_Inicial,_AmortizacionesTablaCliente)</f>
        <v>64711.313473063659</v>
      </c>
      <c r="D27" s="367">
        <f ca="1">INDEX(T_Merger!__Capital,_AmortizacionesTablaCliente)</f>
        <v>12634.342630726109</v>
      </c>
      <c r="E27" s="367">
        <f ca="1">INDEX(T_Merger!__Interes,_AmortizacionesTablaCliente)</f>
        <v>695.64661983543431</v>
      </c>
      <c r="F27" s="367">
        <f ca="1">INDEX(T_Merger!__IVA,_AmortizacionesTablaCliente)</f>
        <v>83.477594380252114</v>
      </c>
      <c r="G27" s="367">
        <f ca="1">INDEX(T_Merger!__Pago,_AmortizacionesTablaCliente)</f>
        <v>13413.466844941795</v>
      </c>
      <c r="H27" s="494">
        <v>0</v>
      </c>
      <c r="I27" s="368">
        <f ca="1">INDEX(T_Merger!__Saldo_Final,_AmortizacionesTablaCliente)</f>
        <v>52076.970842337549</v>
      </c>
    </row>
    <row r="28" spans="1:9" x14ac:dyDescent="0.25">
      <c r="A28" s="365">
        <v>9</v>
      </c>
      <c r="B28" s="366">
        <f t="shared" ca="1" si="0"/>
        <v>42858</v>
      </c>
      <c r="C28" s="367">
        <f ca="1">INDEX(T_Merger!__Saldo_Inicial,_AmortizacionesTablaCliente)</f>
        <v>52076.970842337549</v>
      </c>
      <c r="D28" s="367">
        <f ca="1">INDEX(T_Merger!__Capital,_AmortizacionesTablaCliente)</f>
        <v>12786.460116000051</v>
      </c>
      <c r="E28" s="367">
        <f ca="1">INDEX(T_Merger!__Interes,_AmortizacionesTablaCliente)</f>
        <v>559.82743655512866</v>
      </c>
      <c r="F28" s="367">
        <f ca="1">INDEX(T_Merger!__IVA,_AmortizacionesTablaCliente)</f>
        <v>67.17929238661543</v>
      </c>
      <c r="G28" s="367">
        <f ca="1">INDEX(T_Merger!__Pago,_AmortizacionesTablaCliente)</f>
        <v>13413.466844941795</v>
      </c>
      <c r="H28" s="494">
        <v>0</v>
      </c>
      <c r="I28" s="368">
        <f ca="1">INDEX(T_Merger!__Saldo_Final,_AmortizacionesTablaCliente)</f>
        <v>39290.510726337496</v>
      </c>
    </row>
    <row r="29" spans="1:9" x14ac:dyDescent="0.25">
      <c r="A29" s="365">
        <v>10</v>
      </c>
      <c r="B29" s="366">
        <f t="shared" ca="1" si="0"/>
        <v>42889</v>
      </c>
      <c r="C29" s="367">
        <f ca="1">INDEX(T_Merger!__Saldo_Inicial,_AmortizacionesTablaCliente)</f>
        <v>39290.510726337496</v>
      </c>
      <c r="D29" s="367">
        <f ca="1">INDEX(T_Merger!__Capital,_AmortizacionesTablaCliente)</f>
        <v>12940.409095796691</v>
      </c>
      <c r="E29" s="367">
        <f ca="1">INDEX(T_Merger!__Interes,_AmortizacionesTablaCliente)</f>
        <v>422.37299030812807</v>
      </c>
      <c r="F29" s="367">
        <f ca="1">INDEX(T_Merger!__IVA,_AmortizacionesTablaCliente)</f>
        <v>50.684758836975369</v>
      </c>
      <c r="G29" s="367">
        <f ca="1">INDEX(T_Merger!__Pago,_AmortizacionesTablaCliente)</f>
        <v>13413.466844941793</v>
      </c>
      <c r="H29" s="494">
        <v>0</v>
      </c>
      <c r="I29" s="368">
        <f ca="1">INDEX(T_Merger!__Saldo_Final,_AmortizacionesTablaCliente)</f>
        <v>26350.101630540805</v>
      </c>
    </row>
    <row r="30" spans="1:9" x14ac:dyDescent="0.25">
      <c r="A30" s="365">
        <v>11</v>
      </c>
      <c r="B30" s="366">
        <f t="shared" ca="1" si="0"/>
        <v>42919</v>
      </c>
      <c r="C30" s="367">
        <f ca="1">INDEX(T_Merger!__Saldo_Inicial,_AmortizacionesTablaCliente)</f>
        <v>26350.101630540805</v>
      </c>
      <c r="D30" s="367">
        <f ca="1">INDEX(T_Merger!__Capital,_AmortizacionesTablaCliente)</f>
        <v>13096.211621310084</v>
      </c>
      <c r="E30" s="367">
        <f ca="1">INDEX(T_Merger!__Interes,_AmortizacionesTablaCliente)</f>
        <v>283.26359252831367</v>
      </c>
      <c r="F30" s="367">
        <f ca="1">INDEX(T_Merger!__IVA,_AmortizacionesTablaCliente)</f>
        <v>33.991631103397637</v>
      </c>
      <c r="G30" s="367">
        <f ca="1">INDEX(T_Merger!__Pago,_AmortizacionesTablaCliente)</f>
        <v>13413.466844941795</v>
      </c>
      <c r="H30" s="494">
        <v>0</v>
      </c>
      <c r="I30" s="368">
        <f ca="1">INDEX(T_Merger!__Saldo_Final,_AmortizacionesTablaCliente)</f>
        <v>13253.890009230721</v>
      </c>
    </row>
    <row r="31" spans="1:9" x14ac:dyDescent="0.25">
      <c r="A31" s="365">
        <v>12</v>
      </c>
      <c r="B31" s="366">
        <f t="shared" ca="1" si="0"/>
        <v>42950</v>
      </c>
      <c r="C31" s="367">
        <f ca="1">INDEX(T_Merger!__Saldo_Inicial,_AmortizacionesTablaCliente)</f>
        <v>13253.890009230721</v>
      </c>
      <c r="D31" s="367">
        <f ca="1">INDEX(T_Merger!__Capital,_AmortizacionesTablaCliente)</f>
        <v>13253.890009230714</v>
      </c>
      <c r="E31" s="367">
        <f ca="1">INDEX(T_Merger!__Interes,_AmortizacionesTablaCliente)</f>
        <v>142.47931759923026</v>
      </c>
      <c r="F31" s="367">
        <f ca="1">INDEX(T_Merger!__IVA,_AmortizacionesTablaCliente)</f>
        <v>17.097518111907629</v>
      </c>
      <c r="G31" s="367">
        <f ca="1">INDEX(T_Merger!__Pago,_AmortizacionesTablaCliente)</f>
        <v>13413.466844941853</v>
      </c>
      <c r="H31" s="494">
        <v>0</v>
      </c>
      <c r="I31" s="368">
        <f ca="1">INDEX(T_Merger!__Saldo_Final,_AmortizacionesTablaCliente)</f>
        <v>7.2759576141834259E-12</v>
      </c>
    </row>
    <row r="32" spans="1:9" hidden="1" x14ac:dyDescent="0.25">
      <c r="A32" s="365">
        <v>13</v>
      </c>
      <c r="B32" s="366">
        <f t="shared" ca="1" si="0"/>
        <v>42981</v>
      </c>
      <c r="C32" s="367">
        <f ca="1">INDEX(T_Merger!__Saldo_Inicial,_AmortizacionesTablaCliente)</f>
        <v>7.2759576141834259E-12</v>
      </c>
      <c r="D32" s="367">
        <f ca="1">INDEX(T_Merger!__Capital,_AmortizacionesTablaCliente)</f>
        <v>0</v>
      </c>
      <c r="E32" s="367">
        <f ca="1">INDEX(T_Merger!__Interes,_AmortizacionesTablaCliente)</f>
        <v>7.8216544352471822E-14</v>
      </c>
      <c r="F32" s="367">
        <f ca="1">INDEX(T_Merger!__IVA,_AmortizacionesTablaCliente)</f>
        <v>9.3859853222966188E-15</v>
      </c>
      <c r="G32" s="367">
        <f ca="1">INDEX(T_Merger!__Pago,_AmortizacionesTablaCliente)</f>
        <v>8.7602529674768438E-14</v>
      </c>
      <c r="H32" s="494">
        <v>0</v>
      </c>
      <c r="I32" s="368">
        <f ca="1">INDEX(T_Merger!__Saldo_Final,_AmortizacionesTablaCliente)</f>
        <v>7.2759576141834259E-12</v>
      </c>
    </row>
    <row r="33" spans="1:9" hidden="1" x14ac:dyDescent="0.25">
      <c r="A33" s="365">
        <v>14</v>
      </c>
      <c r="B33" s="366">
        <f t="shared" ca="1" si="0"/>
        <v>43011</v>
      </c>
      <c r="C33" s="367">
        <f ca="1">INDEX(T_Merger!__Saldo_Inicial,_AmortizacionesTablaCliente)</f>
        <v>7.2759576141834259E-12</v>
      </c>
      <c r="D33" s="367">
        <f ca="1">INDEX(T_Merger!__Capital,_AmortizacionesTablaCliente)</f>
        <v>0</v>
      </c>
      <c r="E33" s="367">
        <f ca="1">INDEX(T_Merger!__Interes,_AmortizacionesTablaCliente)</f>
        <v>7.8216544352471822E-14</v>
      </c>
      <c r="F33" s="367">
        <f ca="1">INDEX(T_Merger!__IVA,_AmortizacionesTablaCliente)</f>
        <v>9.3859853222966188E-15</v>
      </c>
      <c r="G33" s="367">
        <f ca="1">INDEX(T_Merger!__Pago,_AmortizacionesTablaCliente)</f>
        <v>8.7602529674768438E-14</v>
      </c>
      <c r="H33" s="494">
        <v>0</v>
      </c>
      <c r="I33" s="368">
        <f ca="1">INDEX(T_Merger!__Saldo_Final,_AmortizacionesTablaCliente)</f>
        <v>7.2759576141834259E-12</v>
      </c>
    </row>
    <row r="34" spans="1:9" hidden="1" x14ac:dyDescent="0.25">
      <c r="A34" s="365">
        <v>15</v>
      </c>
      <c r="B34" s="366">
        <f t="shared" ca="1" si="0"/>
        <v>43042</v>
      </c>
      <c r="C34" s="367">
        <f ca="1">INDEX(T_Merger!__Saldo_Inicial,_AmortizacionesTablaCliente)</f>
        <v>7.2759576141834259E-12</v>
      </c>
      <c r="D34" s="367">
        <f ca="1">INDEX(T_Merger!__Capital,_AmortizacionesTablaCliente)</f>
        <v>0</v>
      </c>
      <c r="E34" s="367">
        <f ca="1">INDEX(T_Merger!__Interes,_AmortizacionesTablaCliente)</f>
        <v>7.8216544352471822E-14</v>
      </c>
      <c r="F34" s="367">
        <f ca="1">INDEX(T_Merger!__IVA,_AmortizacionesTablaCliente)</f>
        <v>9.3859853222966188E-15</v>
      </c>
      <c r="G34" s="367">
        <f ca="1">INDEX(T_Merger!__Pago,_AmortizacionesTablaCliente)</f>
        <v>8.7602529674768438E-14</v>
      </c>
      <c r="H34" s="494">
        <v>0</v>
      </c>
      <c r="I34" s="368">
        <f ca="1">INDEX(T_Merger!__Saldo_Final,_AmortizacionesTablaCliente)</f>
        <v>7.2759576141834259E-12</v>
      </c>
    </row>
    <row r="35" spans="1:9" hidden="1" x14ac:dyDescent="0.25">
      <c r="A35" s="365">
        <v>16</v>
      </c>
      <c r="B35" s="366">
        <f t="shared" ca="1" si="0"/>
        <v>43072</v>
      </c>
      <c r="C35" s="367">
        <f ca="1">INDEX(T_Merger!__Saldo_Inicial,_AmortizacionesTablaCliente)</f>
        <v>7.2759576141834259E-12</v>
      </c>
      <c r="D35" s="367">
        <f ca="1">INDEX(T_Merger!__Capital,_AmortizacionesTablaCliente)</f>
        <v>0</v>
      </c>
      <c r="E35" s="367">
        <f ca="1">INDEX(T_Merger!__Interes,_AmortizacionesTablaCliente)</f>
        <v>7.8216544352471822E-14</v>
      </c>
      <c r="F35" s="367">
        <f ca="1">INDEX(T_Merger!__IVA,_AmortizacionesTablaCliente)</f>
        <v>9.3859853222966188E-15</v>
      </c>
      <c r="G35" s="367">
        <f ca="1">INDEX(T_Merger!__Pago,_AmortizacionesTablaCliente)</f>
        <v>8.7602529674768438E-14</v>
      </c>
      <c r="H35" s="494">
        <v>0</v>
      </c>
      <c r="I35" s="368">
        <f ca="1">INDEX(T_Merger!__Saldo_Final,_AmortizacionesTablaCliente)</f>
        <v>7.2759576141834259E-12</v>
      </c>
    </row>
    <row r="36" spans="1:9" hidden="1" x14ac:dyDescent="0.25">
      <c r="A36" s="365">
        <v>17</v>
      </c>
      <c r="B36" s="366">
        <f t="shared" ca="1" si="0"/>
        <v>43103</v>
      </c>
      <c r="C36" s="367">
        <f ca="1">INDEX(T_Merger!__Saldo_Inicial,_AmortizacionesTablaCliente)</f>
        <v>7.2759576141834259E-12</v>
      </c>
      <c r="D36" s="367">
        <f ca="1">INDEX(T_Merger!__Capital,_AmortizacionesTablaCliente)</f>
        <v>0</v>
      </c>
      <c r="E36" s="367">
        <f ca="1">INDEX(T_Merger!__Interes,_AmortizacionesTablaCliente)</f>
        <v>7.8216544352471822E-14</v>
      </c>
      <c r="F36" s="367">
        <f ca="1">INDEX(T_Merger!__IVA,_AmortizacionesTablaCliente)</f>
        <v>9.3859853222966188E-15</v>
      </c>
      <c r="G36" s="367">
        <f ca="1">INDEX(T_Merger!__Pago,_AmortizacionesTablaCliente)</f>
        <v>8.7602529674768438E-14</v>
      </c>
      <c r="H36" s="494">
        <v>0</v>
      </c>
      <c r="I36" s="368">
        <f ca="1">INDEX(T_Merger!__Saldo_Final,_AmortizacionesTablaCliente)</f>
        <v>7.2759576141834259E-12</v>
      </c>
    </row>
    <row r="37" spans="1:9" hidden="1" x14ac:dyDescent="0.25">
      <c r="A37" s="365">
        <v>18</v>
      </c>
      <c r="B37" s="366">
        <f t="shared" ca="1" si="0"/>
        <v>43134</v>
      </c>
      <c r="C37" s="367">
        <f ca="1">INDEX(T_Merger!__Saldo_Inicial,_AmortizacionesTablaCliente)</f>
        <v>7.2759576141834259E-12</v>
      </c>
      <c r="D37" s="367">
        <f ca="1">INDEX(T_Merger!__Capital,_AmortizacionesTablaCliente)</f>
        <v>0</v>
      </c>
      <c r="E37" s="367">
        <f ca="1">INDEX(T_Merger!__Interes,_AmortizacionesTablaCliente)</f>
        <v>7.8216544352471822E-14</v>
      </c>
      <c r="F37" s="367">
        <f ca="1">INDEX(T_Merger!__IVA,_AmortizacionesTablaCliente)</f>
        <v>9.3859853222966188E-15</v>
      </c>
      <c r="G37" s="367">
        <f ca="1">INDEX(T_Merger!__Pago,_AmortizacionesTablaCliente)</f>
        <v>8.7602529674768438E-14</v>
      </c>
      <c r="H37" s="494">
        <v>0</v>
      </c>
      <c r="I37" s="368">
        <f ca="1">INDEX(T_Merger!__Saldo_Final,_AmortizacionesTablaCliente)</f>
        <v>7.2759576141834259E-12</v>
      </c>
    </row>
    <row r="38" spans="1:9" hidden="1" x14ac:dyDescent="0.25">
      <c r="A38" s="365">
        <v>19</v>
      </c>
      <c r="B38" s="366">
        <f t="shared" ca="1" si="0"/>
        <v>43162</v>
      </c>
      <c r="C38" s="367">
        <f ca="1">INDEX(T_Merger!__Saldo_Inicial,_AmortizacionesTablaCliente)</f>
        <v>7.2759576141834259E-12</v>
      </c>
      <c r="D38" s="367">
        <f ca="1">INDEX(T_Merger!__Capital,_AmortizacionesTablaCliente)</f>
        <v>0</v>
      </c>
      <c r="E38" s="367">
        <f ca="1">INDEX(T_Merger!__Interes,_AmortizacionesTablaCliente)</f>
        <v>7.8216544352471822E-14</v>
      </c>
      <c r="F38" s="367">
        <f ca="1">INDEX(T_Merger!__IVA,_AmortizacionesTablaCliente)</f>
        <v>9.3859853222966188E-15</v>
      </c>
      <c r="G38" s="367">
        <f ca="1">INDEX(T_Merger!__Pago,_AmortizacionesTablaCliente)</f>
        <v>8.7602529674768438E-14</v>
      </c>
      <c r="H38" s="494">
        <v>0</v>
      </c>
      <c r="I38" s="368">
        <f ca="1">INDEX(T_Merger!__Saldo_Final,_AmortizacionesTablaCliente)</f>
        <v>7.2759576141834259E-12</v>
      </c>
    </row>
    <row r="39" spans="1:9" hidden="1" x14ac:dyDescent="0.25">
      <c r="A39" s="365">
        <v>20</v>
      </c>
      <c r="B39" s="366">
        <f t="shared" ca="1" si="0"/>
        <v>43193</v>
      </c>
      <c r="C39" s="367">
        <f ca="1">INDEX(T_Merger!__Saldo_Inicial,_AmortizacionesTablaCliente)</f>
        <v>7.2759576141834259E-12</v>
      </c>
      <c r="D39" s="367">
        <f ca="1">INDEX(T_Merger!__Capital,_AmortizacionesTablaCliente)</f>
        <v>0</v>
      </c>
      <c r="E39" s="367">
        <f ca="1">INDEX(T_Merger!__Interes,_AmortizacionesTablaCliente)</f>
        <v>7.8216544352471822E-14</v>
      </c>
      <c r="F39" s="367">
        <f ca="1">INDEX(T_Merger!__IVA,_AmortizacionesTablaCliente)</f>
        <v>9.3859853222966188E-15</v>
      </c>
      <c r="G39" s="367">
        <f ca="1">INDEX(T_Merger!__Pago,_AmortizacionesTablaCliente)</f>
        <v>8.7602529674768438E-14</v>
      </c>
      <c r="H39" s="494">
        <v>0</v>
      </c>
      <c r="I39" s="368">
        <f ca="1">INDEX(T_Merger!__Saldo_Final,_AmortizacionesTablaCliente)</f>
        <v>7.2759576141834259E-12</v>
      </c>
    </row>
    <row r="40" spans="1:9" hidden="1" x14ac:dyDescent="0.25">
      <c r="A40" s="365">
        <v>21</v>
      </c>
      <c r="B40" s="366">
        <f t="shared" ca="1" si="0"/>
        <v>43223</v>
      </c>
      <c r="C40" s="367">
        <f ca="1">INDEX(T_Merger!__Saldo_Inicial,_AmortizacionesTablaCliente)</f>
        <v>7.2759576141834259E-12</v>
      </c>
      <c r="D40" s="367">
        <f ca="1">INDEX(T_Merger!__Capital,_AmortizacionesTablaCliente)</f>
        <v>0</v>
      </c>
      <c r="E40" s="367">
        <f ca="1">INDEX(T_Merger!__Interes,_AmortizacionesTablaCliente)</f>
        <v>7.8216544352471822E-14</v>
      </c>
      <c r="F40" s="367">
        <f ca="1">INDEX(T_Merger!__IVA,_AmortizacionesTablaCliente)</f>
        <v>9.3859853222966188E-15</v>
      </c>
      <c r="G40" s="367">
        <f ca="1">INDEX(T_Merger!__Pago,_AmortizacionesTablaCliente)</f>
        <v>8.7602529674768438E-14</v>
      </c>
      <c r="H40" s="494">
        <v>0</v>
      </c>
      <c r="I40" s="368">
        <f ca="1">INDEX(T_Merger!__Saldo_Final,_AmortizacionesTablaCliente)</f>
        <v>7.2759576141834259E-12</v>
      </c>
    </row>
    <row r="41" spans="1:9" hidden="1" x14ac:dyDescent="0.25">
      <c r="A41" s="365">
        <v>22</v>
      </c>
      <c r="B41" s="366">
        <f t="shared" ca="1" si="0"/>
        <v>43254</v>
      </c>
      <c r="C41" s="367">
        <f ca="1">INDEX(T_Merger!__Saldo_Inicial,_AmortizacionesTablaCliente)</f>
        <v>7.2759576141834259E-12</v>
      </c>
      <c r="D41" s="367">
        <f ca="1">INDEX(T_Merger!__Capital,_AmortizacionesTablaCliente)</f>
        <v>0</v>
      </c>
      <c r="E41" s="367">
        <f ca="1">INDEX(T_Merger!__Interes,_AmortizacionesTablaCliente)</f>
        <v>7.8216544352471822E-14</v>
      </c>
      <c r="F41" s="367">
        <f ca="1">INDEX(T_Merger!__IVA,_AmortizacionesTablaCliente)</f>
        <v>9.3859853222966188E-15</v>
      </c>
      <c r="G41" s="367">
        <f ca="1">INDEX(T_Merger!__Pago,_AmortizacionesTablaCliente)</f>
        <v>8.7602529674768438E-14</v>
      </c>
      <c r="H41" s="494">
        <v>0</v>
      </c>
      <c r="I41" s="368">
        <f ca="1">INDEX(T_Merger!__Saldo_Final,_AmortizacionesTablaCliente)</f>
        <v>7.2759576141834259E-12</v>
      </c>
    </row>
    <row r="42" spans="1:9" hidden="1" x14ac:dyDescent="0.25">
      <c r="A42" s="365">
        <v>23</v>
      </c>
      <c r="B42" s="366">
        <f t="shared" ca="1" si="0"/>
        <v>43284</v>
      </c>
      <c r="C42" s="367">
        <f ca="1">INDEX(T_Merger!__Saldo_Inicial,_AmortizacionesTablaCliente)</f>
        <v>7.2759576141834259E-12</v>
      </c>
      <c r="D42" s="367">
        <f ca="1">INDEX(T_Merger!__Capital,_AmortizacionesTablaCliente)</f>
        <v>0</v>
      </c>
      <c r="E42" s="520">
        <f ca="1">INDEX(T_Merger!__Interes,_AmortizacionesTablaCliente)</f>
        <v>7.8216544352471822E-14</v>
      </c>
      <c r="F42" s="367">
        <f ca="1">INDEX(T_Merger!__IVA,_AmortizacionesTablaCliente)</f>
        <v>9.3859853222966188E-15</v>
      </c>
      <c r="G42" s="367">
        <f ca="1">INDEX(T_Merger!__Pago,_AmortizacionesTablaCliente)</f>
        <v>8.7602529674768438E-14</v>
      </c>
      <c r="H42" s="494">
        <v>0</v>
      </c>
      <c r="I42" s="368">
        <f ca="1">INDEX(T_Merger!__Saldo_Final,_AmortizacionesTablaCliente)</f>
        <v>7.2759576141834259E-12</v>
      </c>
    </row>
    <row r="43" spans="1:9" hidden="1" x14ac:dyDescent="0.25">
      <c r="A43" s="365">
        <v>24</v>
      </c>
      <c r="B43" s="366">
        <f t="shared" ca="1" si="0"/>
        <v>43315</v>
      </c>
      <c r="C43" s="367">
        <f ca="1">INDEX(T_Merger!__Saldo_Inicial,_AmortizacionesTablaCliente)</f>
        <v>7.2759576141834259E-12</v>
      </c>
      <c r="D43" s="367">
        <f ca="1">INDEX(T_Merger!__Capital,_AmortizacionesTablaCliente)</f>
        <v>0</v>
      </c>
      <c r="E43" s="522">
        <f ca="1">INDEX(T_Merger!__Interes,_AmortizacionesTablaCliente)</f>
        <v>7.8216544352471822E-14</v>
      </c>
      <c r="F43" s="367">
        <f ca="1">INDEX(T_Merger!__IVA,_AmortizacionesTablaCliente)</f>
        <v>9.3859853222966188E-15</v>
      </c>
      <c r="G43" s="367">
        <f ca="1">INDEX(T_Merger!__Pago,_AmortizacionesTablaCliente)</f>
        <v>8.7602529674768438E-14</v>
      </c>
      <c r="H43" s="494">
        <v>0</v>
      </c>
      <c r="I43" s="368">
        <f ca="1">INDEX(T_Merger!__Saldo_Final,_AmortizacionesTablaCliente)</f>
        <v>7.2759576141834259E-12</v>
      </c>
    </row>
    <row r="44" spans="1:9" hidden="1" x14ac:dyDescent="0.25">
      <c r="A44" s="365">
        <v>25</v>
      </c>
      <c r="B44" s="366">
        <f t="shared" ca="1" si="0"/>
        <v>43346</v>
      </c>
      <c r="C44" s="367">
        <f ca="1">INDEX(T_Merger!__Saldo_Inicial,_AmortizacionesTablaCliente)</f>
        <v>7.2759576141834259E-12</v>
      </c>
      <c r="D44" s="367">
        <f ca="1">INDEX(T_Merger!__Capital,_AmortizacionesTablaCliente)</f>
        <v>0</v>
      </c>
      <c r="E44" s="522">
        <f ca="1">INDEX(T_Merger!__Interes,_AmortizacionesTablaCliente)</f>
        <v>7.8216544352471822E-14</v>
      </c>
      <c r="F44" s="367">
        <f ca="1">INDEX(T_Merger!__IVA,_AmortizacionesTablaCliente)</f>
        <v>9.3859853222966188E-15</v>
      </c>
      <c r="G44" s="367">
        <f ca="1">INDEX(T_Merger!__Pago,_AmortizacionesTablaCliente)</f>
        <v>8.7602529674768438E-14</v>
      </c>
      <c r="H44" s="494">
        <v>0</v>
      </c>
      <c r="I44" s="368">
        <f ca="1">INDEX(T_Merger!__Saldo_Final,_AmortizacionesTablaCliente)</f>
        <v>7.2759576141834259E-12</v>
      </c>
    </row>
    <row r="45" spans="1:9" hidden="1" x14ac:dyDescent="0.25">
      <c r="A45" s="365">
        <v>26</v>
      </c>
      <c r="B45" s="366">
        <f t="shared" ca="1" si="0"/>
        <v>43376</v>
      </c>
      <c r="C45" s="367">
        <f ca="1">INDEX(T_Merger!__Saldo_Inicial,_AmortizacionesTablaCliente)</f>
        <v>7.2759576141834259E-12</v>
      </c>
      <c r="D45" s="367">
        <f ca="1">INDEX(T_Merger!__Capital,_AmortizacionesTablaCliente)</f>
        <v>0</v>
      </c>
      <c r="E45" s="522">
        <f ca="1">INDEX(T_Merger!__Interes,_AmortizacionesTablaCliente)</f>
        <v>7.8216544352471822E-14</v>
      </c>
      <c r="F45" s="367">
        <f ca="1">INDEX(T_Merger!__IVA,_AmortizacionesTablaCliente)</f>
        <v>9.3859853222966188E-15</v>
      </c>
      <c r="G45" s="367">
        <f ca="1">INDEX(T_Merger!__Pago,_AmortizacionesTablaCliente)</f>
        <v>8.7602529674768438E-14</v>
      </c>
      <c r="H45" s="494">
        <v>0</v>
      </c>
      <c r="I45" s="368">
        <f ca="1">INDEX(T_Merger!__Saldo_Final,_AmortizacionesTablaCliente)</f>
        <v>7.2759576141834259E-12</v>
      </c>
    </row>
    <row r="46" spans="1:9" hidden="1" x14ac:dyDescent="0.25">
      <c r="A46" s="365">
        <v>27</v>
      </c>
      <c r="B46" s="366">
        <f t="shared" ca="1" si="0"/>
        <v>43407</v>
      </c>
      <c r="C46" s="367">
        <f ca="1">INDEX(T_Merger!__Saldo_Inicial,_AmortizacionesTablaCliente)</f>
        <v>7.2759576141834259E-12</v>
      </c>
      <c r="D46" s="367">
        <f ca="1">INDEX(T_Merger!__Capital,_AmortizacionesTablaCliente)</f>
        <v>0</v>
      </c>
      <c r="E46" s="522">
        <f ca="1">INDEX(T_Merger!__Interes,_AmortizacionesTablaCliente)</f>
        <v>7.8216544352471822E-14</v>
      </c>
      <c r="F46" s="367">
        <f ca="1">INDEX(T_Merger!__IVA,_AmortizacionesTablaCliente)</f>
        <v>9.3859853222966188E-15</v>
      </c>
      <c r="G46" s="367">
        <f ca="1">INDEX(T_Merger!__Pago,_AmortizacionesTablaCliente)</f>
        <v>8.7602529674768438E-14</v>
      </c>
      <c r="H46" s="494">
        <v>0</v>
      </c>
      <c r="I46" s="368">
        <f ca="1">INDEX(T_Merger!__Saldo_Final,_AmortizacionesTablaCliente)</f>
        <v>7.2759576141834259E-12</v>
      </c>
    </row>
    <row r="47" spans="1:9" hidden="1" x14ac:dyDescent="0.25">
      <c r="A47" s="365">
        <v>28</v>
      </c>
      <c r="B47" s="366">
        <f t="shared" ca="1" si="0"/>
        <v>43437</v>
      </c>
      <c r="C47" s="367">
        <f ca="1">INDEX(T_Merger!__Saldo_Inicial,_AmortizacionesTablaCliente)</f>
        <v>7.2759576141834259E-12</v>
      </c>
      <c r="D47" s="367">
        <f ca="1">INDEX(T_Merger!__Capital,_AmortizacionesTablaCliente)</f>
        <v>0</v>
      </c>
      <c r="E47" s="522">
        <f ca="1">INDEX(T_Merger!__Interes,_AmortizacionesTablaCliente)</f>
        <v>7.8216544352471822E-14</v>
      </c>
      <c r="F47" s="367">
        <f ca="1">INDEX(T_Merger!__IVA,_AmortizacionesTablaCliente)</f>
        <v>9.3859853222966188E-15</v>
      </c>
      <c r="G47" s="367">
        <f ca="1">INDEX(T_Merger!__Pago,_AmortizacionesTablaCliente)</f>
        <v>8.7602529674768438E-14</v>
      </c>
      <c r="H47" s="494">
        <v>0</v>
      </c>
      <c r="I47" s="368">
        <f ca="1">INDEX(T_Merger!__Saldo_Final,_AmortizacionesTablaCliente)</f>
        <v>7.2759576141834259E-12</v>
      </c>
    </row>
    <row r="48" spans="1:9" hidden="1" x14ac:dyDescent="0.25">
      <c r="A48" s="365">
        <v>29</v>
      </c>
      <c r="B48" s="366">
        <f t="shared" ca="1" si="0"/>
        <v>43468</v>
      </c>
      <c r="C48" s="367">
        <f ca="1">INDEX(T_Merger!__Saldo_Inicial,_AmortizacionesTablaCliente)</f>
        <v>7.2759576141834259E-12</v>
      </c>
      <c r="D48" s="367">
        <f ca="1">INDEX(T_Merger!__Capital,_AmortizacionesTablaCliente)</f>
        <v>0</v>
      </c>
      <c r="E48" s="522">
        <f ca="1">INDEX(T_Merger!__Interes,_AmortizacionesTablaCliente)</f>
        <v>7.8216544352471822E-14</v>
      </c>
      <c r="F48" s="367">
        <f ca="1">INDEX(T_Merger!__IVA,_AmortizacionesTablaCliente)</f>
        <v>9.3859853222966188E-15</v>
      </c>
      <c r="G48" s="367">
        <f ca="1">INDEX(T_Merger!__Pago,_AmortizacionesTablaCliente)</f>
        <v>8.7602529674768438E-14</v>
      </c>
      <c r="H48" s="494">
        <v>0</v>
      </c>
      <c r="I48" s="368">
        <f ca="1">INDEX(T_Merger!__Saldo_Final,_AmortizacionesTablaCliente)</f>
        <v>7.2759576141834259E-12</v>
      </c>
    </row>
    <row r="49" spans="1:9" hidden="1" x14ac:dyDescent="0.25">
      <c r="A49" s="365">
        <v>30</v>
      </c>
      <c r="B49" s="366">
        <f t="shared" ca="1" si="0"/>
        <v>43499</v>
      </c>
      <c r="C49" s="367">
        <f ca="1">INDEX(T_Merger!__Saldo_Inicial,_AmortizacionesTablaCliente)</f>
        <v>7.2759576141834259E-12</v>
      </c>
      <c r="D49" s="367">
        <f ca="1">INDEX(T_Merger!__Capital,_AmortizacionesTablaCliente)</f>
        <v>0</v>
      </c>
      <c r="E49" s="522">
        <f ca="1">INDEX(T_Merger!__Interes,_AmortizacionesTablaCliente)</f>
        <v>7.8216544352471822E-14</v>
      </c>
      <c r="F49" s="367">
        <f ca="1">INDEX(T_Merger!__IVA,_AmortizacionesTablaCliente)</f>
        <v>9.3859853222966188E-15</v>
      </c>
      <c r="G49" s="367">
        <f ca="1">INDEX(T_Merger!__Pago,_AmortizacionesTablaCliente)</f>
        <v>8.7602529674768438E-14</v>
      </c>
      <c r="H49" s="494">
        <v>0</v>
      </c>
      <c r="I49" s="368">
        <f ca="1">INDEX(T_Merger!__Saldo_Final,_AmortizacionesTablaCliente)</f>
        <v>7.2759576141834259E-12</v>
      </c>
    </row>
    <row r="50" spans="1:9" hidden="1" x14ac:dyDescent="0.25">
      <c r="A50" s="365">
        <v>31</v>
      </c>
      <c r="B50" s="366">
        <f t="shared" ca="1" si="0"/>
        <v>43527</v>
      </c>
      <c r="C50" s="367">
        <f ca="1">INDEX(T_Merger!__Saldo_Inicial,_AmortizacionesTablaCliente)</f>
        <v>7.2759576141834259E-12</v>
      </c>
      <c r="D50" s="367">
        <f ca="1">INDEX(T_Merger!__Capital,_AmortizacionesTablaCliente)</f>
        <v>0</v>
      </c>
      <c r="E50" s="522">
        <f ca="1">INDEX(T_Merger!__Interes,_AmortizacionesTablaCliente)</f>
        <v>7.8216544352471822E-14</v>
      </c>
      <c r="F50" s="367">
        <f ca="1">INDEX(T_Merger!__IVA,_AmortizacionesTablaCliente)</f>
        <v>9.3859853222966188E-15</v>
      </c>
      <c r="G50" s="367">
        <f ca="1">INDEX(T_Merger!__Pago,_AmortizacionesTablaCliente)</f>
        <v>8.7602529674768438E-14</v>
      </c>
      <c r="H50" s="494">
        <v>0</v>
      </c>
      <c r="I50" s="368">
        <f ca="1">INDEX(T_Merger!__Saldo_Final,_AmortizacionesTablaCliente)</f>
        <v>7.2759576141834259E-12</v>
      </c>
    </row>
    <row r="51" spans="1:9" hidden="1" x14ac:dyDescent="0.25">
      <c r="A51" s="365">
        <v>32</v>
      </c>
      <c r="B51" s="366">
        <f t="shared" ca="1" si="0"/>
        <v>43558</v>
      </c>
      <c r="C51" s="367">
        <f ca="1">INDEX(T_Merger!__Saldo_Inicial,_AmortizacionesTablaCliente)</f>
        <v>7.2759576141834259E-12</v>
      </c>
      <c r="D51" s="367">
        <f ca="1">INDEX(T_Merger!__Capital,_AmortizacionesTablaCliente)</f>
        <v>0</v>
      </c>
      <c r="E51" s="522">
        <f ca="1">INDEX(T_Merger!__Interes,_AmortizacionesTablaCliente)</f>
        <v>7.8216544352471822E-14</v>
      </c>
      <c r="F51" s="367">
        <f ca="1">INDEX(T_Merger!__IVA,_AmortizacionesTablaCliente)</f>
        <v>9.3859853222966188E-15</v>
      </c>
      <c r="G51" s="367">
        <f ca="1">INDEX(T_Merger!__Pago,_AmortizacionesTablaCliente)</f>
        <v>8.7602529674768438E-14</v>
      </c>
      <c r="H51" s="494">
        <v>0</v>
      </c>
      <c r="I51" s="368">
        <f ca="1">INDEX(T_Merger!__Saldo_Final,_AmortizacionesTablaCliente)</f>
        <v>7.2759576141834259E-12</v>
      </c>
    </row>
    <row r="52" spans="1:9" hidden="1" x14ac:dyDescent="0.25">
      <c r="A52" s="365">
        <v>33</v>
      </c>
      <c r="B52" s="366">
        <f t="shared" ca="1" si="0"/>
        <v>43588</v>
      </c>
      <c r="C52" s="367">
        <f ca="1">INDEX(T_Merger!__Saldo_Inicial,_AmortizacionesTablaCliente)</f>
        <v>7.2759576141834259E-12</v>
      </c>
      <c r="D52" s="367">
        <f ca="1">INDEX(T_Merger!__Capital,_AmortizacionesTablaCliente)</f>
        <v>0</v>
      </c>
      <c r="E52" s="522">
        <f ca="1">INDEX(T_Merger!__Interes,_AmortizacionesTablaCliente)</f>
        <v>7.8216544352471822E-14</v>
      </c>
      <c r="F52" s="367">
        <f ca="1">INDEX(T_Merger!__IVA,_AmortizacionesTablaCliente)</f>
        <v>9.3859853222966188E-15</v>
      </c>
      <c r="G52" s="367">
        <f ca="1">INDEX(T_Merger!__Pago,_AmortizacionesTablaCliente)</f>
        <v>8.7602529674768438E-14</v>
      </c>
      <c r="H52" s="494">
        <v>0</v>
      </c>
      <c r="I52" s="368">
        <f ca="1">INDEX(T_Merger!__Saldo_Final,_AmortizacionesTablaCliente)</f>
        <v>7.2759576141834259E-12</v>
      </c>
    </row>
    <row r="53" spans="1:9" hidden="1" x14ac:dyDescent="0.25">
      <c r="A53" s="365">
        <v>34</v>
      </c>
      <c r="B53" s="366">
        <f t="shared" ca="1" si="0"/>
        <v>43619</v>
      </c>
      <c r="C53" s="367">
        <f ca="1">INDEX(T_Merger!__Saldo_Inicial,_AmortizacionesTablaCliente)</f>
        <v>7.2759576141834259E-12</v>
      </c>
      <c r="D53" s="367">
        <f ca="1">INDEX(T_Merger!__Capital,_AmortizacionesTablaCliente)</f>
        <v>0</v>
      </c>
      <c r="E53" s="522">
        <f ca="1">INDEX(T_Merger!__Interes,_AmortizacionesTablaCliente)</f>
        <v>7.8216544352471822E-14</v>
      </c>
      <c r="F53" s="367">
        <f ca="1">INDEX(T_Merger!__IVA,_AmortizacionesTablaCliente)</f>
        <v>9.3859853222966188E-15</v>
      </c>
      <c r="G53" s="367">
        <f ca="1">INDEX(T_Merger!__Pago,_AmortizacionesTablaCliente)</f>
        <v>8.7602529674768438E-14</v>
      </c>
      <c r="H53" s="494">
        <v>0</v>
      </c>
      <c r="I53" s="368">
        <f ca="1">INDEX(T_Merger!__Saldo_Final,_AmortizacionesTablaCliente)</f>
        <v>7.2759576141834259E-12</v>
      </c>
    </row>
    <row r="54" spans="1:9" hidden="1" x14ac:dyDescent="0.25">
      <c r="A54" s="365">
        <v>35</v>
      </c>
      <c r="B54" s="366">
        <f t="shared" ca="1" si="0"/>
        <v>43649</v>
      </c>
      <c r="C54" s="367">
        <f ca="1">INDEX(T_Merger!__Saldo_Inicial,_AmortizacionesTablaCliente)</f>
        <v>7.2759576141834259E-12</v>
      </c>
      <c r="D54" s="367">
        <f ca="1">INDEX(T_Merger!__Capital,_AmortizacionesTablaCliente)</f>
        <v>0</v>
      </c>
      <c r="E54" s="522">
        <f ca="1">INDEX(T_Merger!__Interes,_AmortizacionesTablaCliente)</f>
        <v>7.8216544352471822E-14</v>
      </c>
      <c r="F54" s="367">
        <f ca="1">INDEX(T_Merger!__IVA,_AmortizacionesTablaCliente)</f>
        <v>9.3859853222966188E-15</v>
      </c>
      <c r="G54" s="367">
        <f ca="1">INDEX(T_Merger!__Pago,_AmortizacionesTablaCliente)</f>
        <v>8.7602529674768438E-14</v>
      </c>
      <c r="H54" s="494">
        <v>0</v>
      </c>
      <c r="I54" s="368">
        <f ca="1">INDEX(T_Merger!__Saldo_Final,_AmortizacionesTablaCliente)</f>
        <v>7.2759576141834259E-12</v>
      </c>
    </row>
    <row r="55" spans="1:9" hidden="1" x14ac:dyDescent="0.25">
      <c r="A55" s="365">
        <v>36</v>
      </c>
      <c r="B55" s="366">
        <f t="shared" ca="1" si="0"/>
        <v>43680</v>
      </c>
      <c r="C55" s="367">
        <f ca="1">INDEX(T_Merger!__Saldo_Inicial,_AmortizacionesTablaCliente)</f>
        <v>7.2759576141834259E-12</v>
      </c>
      <c r="D55" s="367">
        <f ca="1">INDEX(T_Merger!__Capital,_AmortizacionesTablaCliente)</f>
        <v>0</v>
      </c>
      <c r="E55" s="522">
        <f ca="1">INDEX(T_Merger!__Interes,_AmortizacionesTablaCliente)</f>
        <v>7.8216544352471822E-14</v>
      </c>
      <c r="F55" s="367">
        <f ca="1">INDEX(T_Merger!__IVA,_AmortizacionesTablaCliente)</f>
        <v>9.3859853222966188E-15</v>
      </c>
      <c r="G55" s="367">
        <f ca="1">INDEX(T_Merger!__Pago,_AmortizacionesTablaCliente)</f>
        <v>8.7602529674768438E-14</v>
      </c>
      <c r="H55" s="494">
        <v>0</v>
      </c>
      <c r="I55" s="368">
        <f ca="1">INDEX(T_Merger!__Saldo_Final,_AmortizacionesTablaCliente)</f>
        <v>7.2759576141834259E-12</v>
      </c>
    </row>
    <row r="56" spans="1:9" hidden="1" x14ac:dyDescent="0.25">
      <c r="A56" s="365">
        <v>37</v>
      </c>
      <c r="B56" s="366">
        <f t="shared" ca="1" si="0"/>
        <v>43711</v>
      </c>
      <c r="C56" s="367">
        <f ca="1">INDEX(T_Merger!__Saldo_Inicial,_AmortizacionesTablaCliente)</f>
        <v>7.2759576141834259E-12</v>
      </c>
      <c r="D56" s="367">
        <f ca="1">INDEX(T_Merger!__Capital,_AmortizacionesTablaCliente)</f>
        <v>0</v>
      </c>
      <c r="E56" s="522">
        <f ca="1">INDEX(T_Merger!__Interes,_AmortizacionesTablaCliente)</f>
        <v>7.8216544352471822E-14</v>
      </c>
      <c r="F56" s="367">
        <f ca="1">INDEX(T_Merger!__IVA,_AmortizacionesTablaCliente)</f>
        <v>9.3859853222966188E-15</v>
      </c>
      <c r="G56" s="367">
        <f ca="1">INDEX(T_Merger!__Pago,_AmortizacionesTablaCliente)</f>
        <v>8.7602529674768438E-14</v>
      </c>
      <c r="H56" s="494">
        <v>0</v>
      </c>
      <c r="I56" s="368">
        <f ca="1">INDEX(T_Merger!__Saldo_Final,_AmortizacionesTablaCliente)</f>
        <v>7.2759576141834259E-12</v>
      </c>
    </row>
    <row r="57" spans="1:9" hidden="1" x14ac:dyDescent="0.25">
      <c r="A57" s="365">
        <v>38</v>
      </c>
      <c r="B57" s="366">
        <f t="shared" ca="1" si="0"/>
        <v>43741</v>
      </c>
      <c r="C57" s="367">
        <f ca="1">INDEX(T_Merger!__Saldo_Inicial,_AmortizacionesTablaCliente)</f>
        <v>7.2759576141834259E-12</v>
      </c>
      <c r="D57" s="367">
        <f ca="1">INDEX(T_Merger!__Capital,_AmortizacionesTablaCliente)</f>
        <v>0</v>
      </c>
      <c r="E57" s="522">
        <f ca="1">INDEX(T_Merger!__Interes,_AmortizacionesTablaCliente)</f>
        <v>7.8216544352471822E-14</v>
      </c>
      <c r="F57" s="367">
        <f ca="1">INDEX(T_Merger!__IVA,_AmortizacionesTablaCliente)</f>
        <v>9.3859853222966188E-15</v>
      </c>
      <c r="G57" s="367">
        <f ca="1">INDEX(T_Merger!__Pago,_AmortizacionesTablaCliente)</f>
        <v>8.7602529674768438E-14</v>
      </c>
      <c r="H57" s="494">
        <v>0</v>
      </c>
      <c r="I57" s="368">
        <f ca="1">INDEX(T_Merger!__Saldo_Final,_AmortizacionesTablaCliente)</f>
        <v>7.2759576141834259E-12</v>
      </c>
    </row>
    <row r="58" spans="1:9" hidden="1" x14ac:dyDescent="0.25">
      <c r="A58" s="365">
        <v>39</v>
      </c>
      <c r="B58" s="366">
        <f t="shared" ca="1" si="0"/>
        <v>43772</v>
      </c>
      <c r="C58" s="367">
        <f ca="1">INDEX(T_Merger!__Saldo_Inicial,_AmortizacionesTablaCliente)</f>
        <v>7.2759576141834259E-12</v>
      </c>
      <c r="D58" s="367">
        <f ca="1">INDEX(T_Merger!__Capital,_AmortizacionesTablaCliente)</f>
        <v>0</v>
      </c>
      <c r="E58" s="522">
        <f ca="1">INDEX(T_Merger!__Interes,_AmortizacionesTablaCliente)</f>
        <v>7.8216544352471822E-14</v>
      </c>
      <c r="F58" s="367">
        <f ca="1">INDEX(T_Merger!__IVA,_AmortizacionesTablaCliente)</f>
        <v>9.3859853222966188E-15</v>
      </c>
      <c r="G58" s="367">
        <f ca="1">INDEX(T_Merger!__Pago,_AmortizacionesTablaCliente)</f>
        <v>8.7602529674768438E-14</v>
      </c>
      <c r="H58" s="494">
        <v>0</v>
      </c>
      <c r="I58" s="368">
        <f ca="1">INDEX(T_Merger!__Saldo_Final,_AmortizacionesTablaCliente)</f>
        <v>7.2759576141834259E-12</v>
      </c>
    </row>
    <row r="59" spans="1:9" hidden="1" x14ac:dyDescent="0.25">
      <c r="A59" s="365">
        <v>40</v>
      </c>
      <c r="B59" s="366">
        <f t="shared" ca="1" si="0"/>
        <v>43802</v>
      </c>
      <c r="C59" s="367">
        <f ca="1">INDEX(T_Merger!__Saldo_Inicial,_AmortizacionesTablaCliente)</f>
        <v>7.2759576141834259E-12</v>
      </c>
      <c r="D59" s="367">
        <f ca="1">INDEX(T_Merger!__Capital,_AmortizacionesTablaCliente)</f>
        <v>0</v>
      </c>
      <c r="E59" s="522">
        <f ca="1">INDEX(T_Merger!__Interes,_AmortizacionesTablaCliente)</f>
        <v>7.8216544352471822E-14</v>
      </c>
      <c r="F59" s="367">
        <f ca="1">INDEX(T_Merger!__IVA,_AmortizacionesTablaCliente)</f>
        <v>9.3859853222966188E-15</v>
      </c>
      <c r="G59" s="367">
        <f ca="1">INDEX(T_Merger!__Pago,_AmortizacionesTablaCliente)</f>
        <v>8.7602529674768438E-14</v>
      </c>
      <c r="H59" s="494">
        <v>0</v>
      </c>
      <c r="I59" s="368">
        <f ca="1">INDEX(T_Merger!__Saldo_Final,_AmortizacionesTablaCliente)</f>
        <v>7.2759576141834259E-12</v>
      </c>
    </row>
    <row r="60" spans="1:9" hidden="1" x14ac:dyDescent="0.25">
      <c r="A60" s="365">
        <v>41</v>
      </c>
      <c r="B60" s="366">
        <f t="shared" ca="1" si="0"/>
        <v>43833</v>
      </c>
      <c r="C60" s="367">
        <f ca="1">INDEX(T_Merger!__Saldo_Inicial,_AmortizacionesTablaCliente)</f>
        <v>7.2759576141834259E-12</v>
      </c>
      <c r="D60" s="367">
        <f ca="1">INDEX(T_Merger!__Capital,_AmortizacionesTablaCliente)</f>
        <v>0</v>
      </c>
      <c r="E60" s="522">
        <f ca="1">INDEX(T_Merger!__Interes,_AmortizacionesTablaCliente)</f>
        <v>7.8216544352471822E-14</v>
      </c>
      <c r="F60" s="367">
        <f ca="1">INDEX(T_Merger!__IVA,_AmortizacionesTablaCliente)</f>
        <v>9.3859853222966188E-15</v>
      </c>
      <c r="G60" s="367">
        <f ca="1">INDEX(T_Merger!__Pago,_AmortizacionesTablaCliente)</f>
        <v>8.7602529674768438E-14</v>
      </c>
      <c r="H60" s="494">
        <v>0</v>
      </c>
      <c r="I60" s="368">
        <f ca="1">INDEX(T_Merger!__Saldo_Final,_AmortizacionesTablaCliente)</f>
        <v>7.2759576141834259E-12</v>
      </c>
    </row>
    <row r="61" spans="1:9" hidden="1" x14ac:dyDescent="0.25">
      <c r="A61" s="365">
        <v>42</v>
      </c>
      <c r="B61" s="366">
        <f t="shared" ca="1" si="0"/>
        <v>43864</v>
      </c>
      <c r="C61" s="367">
        <f ca="1">INDEX(T_Merger!__Saldo_Inicial,_AmortizacionesTablaCliente)</f>
        <v>7.2759576141834259E-12</v>
      </c>
      <c r="D61" s="367">
        <f ca="1">INDEX(T_Merger!__Capital,_AmortizacionesTablaCliente)</f>
        <v>0</v>
      </c>
      <c r="E61" s="522">
        <f ca="1">INDEX(T_Merger!__Interes,_AmortizacionesTablaCliente)</f>
        <v>7.8216544352471822E-14</v>
      </c>
      <c r="F61" s="367">
        <f ca="1">INDEX(T_Merger!__IVA,_AmortizacionesTablaCliente)</f>
        <v>9.3859853222966188E-15</v>
      </c>
      <c r="G61" s="367">
        <f ca="1">INDEX(T_Merger!__Pago,_AmortizacionesTablaCliente)</f>
        <v>8.7602529674768438E-14</v>
      </c>
      <c r="H61" s="494">
        <v>0</v>
      </c>
      <c r="I61" s="368">
        <f ca="1">INDEX(T_Merger!__Saldo_Final,_AmortizacionesTablaCliente)</f>
        <v>7.2759576141834259E-12</v>
      </c>
    </row>
    <row r="62" spans="1:9" hidden="1" x14ac:dyDescent="0.25">
      <c r="A62" s="365">
        <v>43</v>
      </c>
      <c r="B62" s="366">
        <f t="shared" ca="1" si="0"/>
        <v>43893</v>
      </c>
      <c r="C62" s="367">
        <f ca="1">INDEX(T_Merger!__Saldo_Inicial,_AmortizacionesTablaCliente)</f>
        <v>7.2759576141834259E-12</v>
      </c>
      <c r="D62" s="367">
        <f ca="1">INDEX(T_Merger!__Capital,_AmortizacionesTablaCliente)</f>
        <v>0</v>
      </c>
      <c r="E62" s="522">
        <f ca="1">INDEX(T_Merger!__Interes,_AmortizacionesTablaCliente)</f>
        <v>7.8216544352471822E-14</v>
      </c>
      <c r="F62" s="367">
        <f ca="1">INDEX(T_Merger!__IVA,_AmortizacionesTablaCliente)</f>
        <v>9.3859853222966188E-15</v>
      </c>
      <c r="G62" s="367">
        <f ca="1">INDEX(T_Merger!__Pago,_AmortizacionesTablaCliente)</f>
        <v>8.7602529674768438E-14</v>
      </c>
      <c r="H62" s="494">
        <v>0</v>
      </c>
      <c r="I62" s="368">
        <f ca="1">INDEX(T_Merger!__Saldo_Final,_AmortizacionesTablaCliente)</f>
        <v>7.2759576141834259E-12</v>
      </c>
    </row>
    <row r="63" spans="1:9" hidden="1" x14ac:dyDescent="0.25">
      <c r="A63" s="365">
        <v>44</v>
      </c>
      <c r="B63" s="366">
        <f t="shared" ca="1" si="0"/>
        <v>43924</v>
      </c>
      <c r="C63" s="367">
        <f ca="1">INDEX(T_Merger!__Saldo_Inicial,_AmortizacionesTablaCliente)</f>
        <v>7.2759576141834259E-12</v>
      </c>
      <c r="D63" s="367">
        <f ca="1">INDEX(T_Merger!__Capital,_AmortizacionesTablaCliente)</f>
        <v>0</v>
      </c>
      <c r="E63" s="522">
        <f ca="1">INDEX(T_Merger!__Interes,_AmortizacionesTablaCliente)</f>
        <v>7.8216544352471822E-14</v>
      </c>
      <c r="F63" s="367">
        <f ca="1">INDEX(T_Merger!__IVA,_AmortizacionesTablaCliente)</f>
        <v>9.3859853222966188E-15</v>
      </c>
      <c r="G63" s="367">
        <f ca="1">INDEX(T_Merger!__Pago,_AmortizacionesTablaCliente)</f>
        <v>8.7602529674768438E-14</v>
      </c>
      <c r="H63" s="494">
        <v>0</v>
      </c>
      <c r="I63" s="368">
        <f ca="1">INDEX(T_Merger!__Saldo_Final,_AmortizacionesTablaCliente)</f>
        <v>7.2759576141834259E-12</v>
      </c>
    </row>
    <row r="64" spans="1:9" hidden="1" x14ac:dyDescent="0.25">
      <c r="A64" s="365">
        <v>45</v>
      </c>
      <c r="B64" s="366">
        <f t="shared" ca="1" si="0"/>
        <v>43954</v>
      </c>
      <c r="C64" s="367">
        <f ca="1">INDEX(T_Merger!__Saldo_Inicial,_AmortizacionesTablaCliente)</f>
        <v>7.2759576141834259E-12</v>
      </c>
      <c r="D64" s="367">
        <f ca="1">INDEX(T_Merger!__Capital,_AmortizacionesTablaCliente)</f>
        <v>0</v>
      </c>
      <c r="E64" s="522">
        <f ca="1">INDEX(T_Merger!__Interes,_AmortizacionesTablaCliente)</f>
        <v>7.8216544352471822E-14</v>
      </c>
      <c r="F64" s="367">
        <f ca="1">INDEX(T_Merger!__IVA,_AmortizacionesTablaCliente)</f>
        <v>9.3859853222966188E-15</v>
      </c>
      <c r="G64" s="367">
        <f ca="1">INDEX(T_Merger!__Pago,_AmortizacionesTablaCliente)</f>
        <v>8.7602529674768438E-14</v>
      </c>
      <c r="H64" s="494">
        <v>0</v>
      </c>
      <c r="I64" s="368">
        <f ca="1">INDEX(T_Merger!__Saldo_Final,_AmortizacionesTablaCliente)</f>
        <v>7.2759576141834259E-12</v>
      </c>
    </row>
    <row r="65" spans="1:10" hidden="1" x14ac:dyDescent="0.25">
      <c r="A65" s="365">
        <v>46</v>
      </c>
      <c r="B65" s="366">
        <f t="shared" ca="1" si="0"/>
        <v>43985</v>
      </c>
      <c r="C65" s="367">
        <f ca="1">INDEX(T_Merger!__Saldo_Inicial,_AmortizacionesTablaCliente)</f>
        <v>7.2759576141834259E-12</v>
      </c>
      <c r="D65" s="367">
        <f ca="1">INDEX(T_Merger!__Capital,_AmortizacionesTablaCliente)</f>
        <v>0</v>
      </c>
      <c r="E65" s="522">
        <f ca="1">INDEX(T_Merger!__Interes,_AmortizacionesTablaCliente)</f>
        <v>7.8216544352471822E-14</v>
      </c>
      <c r="F65" s="367">
        <f ca="1">INDEX(T_Merger!__IVA,_AmortizacionesTablaCliente)</f>
        <v>9.3859853222966188E-15</v>
      </c>
      <c r="G65" s="367">
        <f ca="1">INDEX(T_Merger!__Pago,_AmortizacionesTablaCliente)</f>
        <v>8.7602529674768438E-14</v>
      </c>
      <c r="H65" s="494">
        <v>0</v>
      </c>
      <c r="I65" s="368">
        <f ca="1">INDEX(T_Merger!__Saldo_Final,_AmortizacionesTablaCliente)</f>
        <v>7.2759576141834259E-12</v>
      </c>
    </row>
    <row r="66" spans="1:10" hidden="1" x14ac:dyDescent="0.25">
      <c r="A66" s="365">
        <v>47</v>
      </c>
      <c r="B66" s="366">
        <f t="shared" ca="1" si="0"/>
        <v>44015</v>
      </c>
      <c r="C66" s="367">
        <f ca="1">INDEX(T_Merger!__Saldo_Inicial,_AmortizacionesTablaCliente)</f>
        <v>7.2759576141834259E-12</v>
      </c>
      <c r="D66" s="367">
        <f ca="1">INDEX(T_Merger!__Capital,_AmortizacionesTablaCliente)</f>
        <v>0</v>
      </c>
      <c r="E66" s="522">
        <f ca="1">INDEX(T_Merger!__Interes,_AmortizacionesTablaCliente)</f>
        <v>7.8216544352471822E-14</v>
      </c>
      <c r="F66" s="367">
        <f ca="1">INDEX(T_Merger!__IVA,_AmortizacionesTablaCliente)</f>
        <v>9.3859853222966188E-15</v>
      </c>
      <c r="G66" s="367">
        <f ca="1">INDEX(T_Merger!__Pago,_AmortizacionesTablaCliente)</f>
        <v>8.7602529674768438E-14</v>
      </c>
      <c r="H66" s="494">
        <v>0</v>
      </c>
      <c r="I66" s="368">
        <f ca="1">INDEX(T_Merger!__Saldo_Final,_AmortizacionesTablaCliente)</f>
        <v>7.2759576141834259E-12</v>
      </c>
    </row>
    <row r="67" spans="1:10" hidden="1" x14ac:dyDescent="0.25">
      <c r="A67" s="365">
        <v>48</v>
      </c>
      <c r="B67" s="366">
        <f t="shared" ca="1" si="0"/>
        <v>44046</v>
      </c>
      <c r="C67" s="367">
        <f ca="1">INDEX(T_Merger!__Saldo_Inicial,_AmortizacionesTablaCliente)</f>
        <v>7.2759576141834259E-12</v>
      </c>
      <c r="D67" s="367">
        <f ca="1">INDEX(T_Merger!__Capital,_AmortizacionesTablaCliente)</f>
        <v>0</v>
      </c>
      <c r="E67" s="522">
        <f ca="1">INDEX(T_Merger!__Interes,_AmortizacionesTablaCliente)</f>
        <v>7.8216544352471822E-14</v>
      </c>
      <c r="F67" s="367">
        <f ca="1">INDEX(T_Merger!__IVA,_AmortizacionesTablaCliente)</f>
        <v>9.3859853222966188E-15</v>
      </c>
      <c r="G67" s="367">
        <f ca="1">INDEX(T_Merger!__Pago,_AmortizacionesTablaCliente)</f>
        <v>8.7602529674768438E-14</v>
      </c>
      <c r="H67" s="494">
        <v>0</v>
      </c>
      <c r="I67" s="368">
        <f ca="1">INDEX(T_Merger!__Saldo_Final,_AmortizacionesTablaCliente)</f>
        <v>7.2759576141834259E-12</v>
      </c>
    </row>
    <row r="68" spans="1:10" hidden="1" x14ac:dyDescent="0.25">
      <c r="A68" s="365">
        <v>49</v>
      </c>
      <c r="B68" s="366">
        <f t="shared" ca="1" si="0"/>
        <v>44077</v>
      </c>
      <c r="C68" s="367">
        <f ca="1">INDEX(T_Merger!__Saldo_Inicial,_AmortizacionesTablaCliente)</f>
        <v>7.2759576141834259E-12</v>
      </c>
      <c r="D68" s="367">
        <f ca="1">INDEX(T_Merger!__Capital,_AmortizacionesTablaCliente)</f>
        <v>0</v>
      </c>
      <c r="E68" s="522">
        <f ca="1">INDEX(T_Merger!__Interes,_AmortizacionesTablaCliente)</f>
        <v>7.8216544352471822E-14</v>
      </c>
      <c r="F68" s="367">
        <f ca="1">INDEX(T_Merger!__IVA,_AmortizacionesTablaCliente)</f>
        <v>9.3859853222966188E-15</v>
      </c>
      <c r="G68" s="367">
        <f ca="1">INDEX(T_Merger!__Pago,_AmortizacionesTablaCliente)</f>
        <v>8.7602529674768438E-14</v>
      </c>
      <c r="H68" s="494">
        <v>0</v>
      </c>
      <c r="I68" s="368">
        <f ca="1">INDEX(T_Merger!__Saldo_Final,_AmortizacionesTablaCliente)</f>
        <v>7.2759576141834259E-12</v>
      </c>
    </row>
    <row r="69" spans="1:10" hidden="1" x14ac:dyDescent="0.25">
      <c r="A69" s="365">
        <v>50</v>
      </c>
      <c r="B69" s="366">
        <f t="shared" ca="1" si="0"/>
        <v>44107</v>
      </c>
      <c r="C69" s="367">
        <f ca="1">INDEX(T_Merger!__Saldo_Inicial,_AmortizacionesTablaCliente)</f>
        <v>7.2759576141834259E-12</v>
      </c>
      <c r="D69" s="367">
        <f ca="1">INDEX(T_Merger!__Capital,_AmortizacionesTablaCliente)</f>
        <v>0</v>
      </c>
      <c r="E69" s="522">
        <f ca="1">INDEX(T_Merger!__Interes,_AmortizacionesTablaCliente)</f>
        <v>7.8216544352471822E-14</v>
      </c>
      <c r="F69" s="367">
        <f ca="1">INDEX(T_Merger!__IVA,_AmortizacionesTablaCliente)</f>
        <v>9.3859853222966188E-15</v>
      </c>
      <c r="G69" s="367">
        <f ca="1">INDEX(T_Merger!__Pago,_AmortizacionesTablaCliente)</f>
        <v>8.7602529674768438E-14</v>
      </c>
      <c r="H69" s="494">
        <v>0</v>
      </c>
      <c r="I69" s="368">
        <f ca="1">INDEX(T_Merger!__Saldo_Final,_AmortizacionesTablaCliente)</f>
        <v>7.2759576141834259E-12</v>
      </c>
    </row>
    <row r="70" spans="1:10" hidden="1" x14ac:dyDescent="0.25">
      <c r="A70" s="365">
        <v>51</v>
      </c>
      <c r="B70" s="366">
        <f t="shared" ca="1" si="0"/>
        <v>44138</v>
      </c>
      <c r="C70" s="367">
        <f ca="1">INDEX(T_Merger!__Saldo_Inicial,_AmortizacionesTablaCliente)</f>
        <v>7.2759576141834259E-12</v>
      </c>
      <c r="D70" s="367">
        <f ca="1">INDEX(T_Merger!__Capital,_AmortizacionesTablaCliente)</f>
        <v>0</v>
      </c>
      <c r="E70" s="522">
        <f ca="1">INDEX(T_Merger!__Interes,_AmortizacionesTablaCliente)</f>
        <v>7.8216544352471822E-14</v>
      </c>
      <c r="F70" s="367">
        <f ca="1">INDEX(T_Merger!__IVA,_AmortizacionesTablaCliente)</f>
        <v>9.3859853222966188E-15</v>
      </c>
      <c r="G70" s="367">
        <f ca="1">INDEX(T_Merger!__Pago,_AmortizacionesTablaCliente)</f>
        <v>8.7602529674768438E-14</v>
      </c>
      <c r="H70" s="494">
        <v>0</v>
      </c>
      <c r="I70" s="368">
        <f ca="1">INDEX(T_Merger!__Saldo_Final,_AmortizacionesTablaCliente)</f>
        <v>7.2759576141834259E-12</v>
      </c>
    </row>
    <row r="71" spans="1:10" hidden="1" x14ac:dyDescent="0.25">
      <c r="A71" s="365">
        <v>52</v>
      </c>
      <c r="B71" s="366">
        <f t="shared" ca="1" si="0"/>
        <v>44168</v>
      </c>
      <c r="C71" s="367">
        <f ca="1">INDEX(T_Merger!__Saldo_Inicial,_AmortizacionesTablaCliente)</f>
        <v>7.2759576141834259E-12</v>
      </c>
      <c r="D71" s="367">
        <f ca="1">INDEX(T_Merger!__Capital,_AmortizacionesTablaCliente)</f>
        <v>0</v>
      </c>
      <c r="E71" s="522">
        <f ca="1">INDEX(T_Merger!__Interes,_AmortizacionesTablaCliente)</f>
        <v>7.8216544352471822E-14</v>
      </c>
      <c r="F71" s="367">
        <f ca="1">INDEX(T_Merger!__IVA,_AmortizacionesTablaCliente)</f>
        <v>9.3859853222966188E-15</v>
      </c>
      <c r="G71" s="367">
        <f ca="1">INDEX(T_Merger!__Pago,_AmortizacionesTablaCliente)</f>
        <v>8.7602529674768438E-14</v>
      </c>
      <c r="H71" s="494">
        <v>0</v>
      </c>
      <c r="I71" s="368">
        <f ca="1">INDEX(T_Merger!__Saldo_Final,_AmortizacionesTablaCliente)</f>
        <v>7.2759576141834259E-12</v>
      </c>
    </row>
    <row r="72" spans="1:10" hidden="1" x14ac:dyDescent="0.25">
      <c r="A72" s="365">
        <v>53</v>
      </c>
      <c r="B72" s="366">
        <f t="shared" ca="1" si="0"/>
        <v>44199</v>
      </c>
      <c r="C72" s="367">
        <f ca="1">INDEX(T_Merger!__Saldo_Inicial,_AmortizacionesTablaCliente)</f>
        <v>7.2759576141834259E-12</v>
      </c>
      <c r="D72" s="367">
        <f ca="1">INDEX(T_Merger!__Capital,_AmortizacionesTablaCliente)</f>
        <v>0</v>
      </c>
      <c r="E72" s="522">
        <f ca="1">INDEX(T_Merger!__Interes,_AmortizacionesTablaCliente)</f>
        <v>7.8216544352471822E-14</v>
      </c>
      <c r="F72" s="367">
        <f ca="1">INDEX(T_Merger!__IVA,_AmortizacionesTablaCliente)</f>
        <v>9.3859853222966188E-15</v>
      </c>
      <c r="G72" s="367">
        <f ca="1">INDEX(T_Merger!__Pago,_AmortizacionesTablaCliente)</f>
        <v>8.7602529674768438E-14</v>
      </c>
      <c r="H72" s="494">
        <v>0</v>
      </c>
      <c r="I72" s="368">
        <f ca="1">INDEX(T_Merger!__Saldo_Final,_AmortizacionesTablaCliente)</f>
        <v>7.2759576141834259E-12</v>
      </c>
    </row>
    <row r="73" spans="1:10" hidden="1" x14ac:dyDescent="0.25">
      <c r="A73" s="365">
        <v>54</v>
      </c>
      <c r="B73" s="366">
        <f t="shared" ca="1" si="0"/>
        <v>44230</v>
      </c>
      <c r="C73" s="367">
        <f ca="1">INDEX(T_Merger!__Saldo_Inicial,_AmortizacionesTablaCliente)</f>
        <v>7.2759576141834259E-12</v>
      </c>
      <c r="D73" s="367">
        <f ca="1">INDEX(T_Merger!__Capital,_AmortizacionesTablaCliente)</f>
        <v>0</v>
      </c>
      <c r="E73" s="522">
        <f ca="1">INDEX(T_Merger!__Interes,_AmortizacionesTablaCliente)</f>
        <v>7.8216544352471822E-14</v>
      </c>
      <c r="F73" s="367">
        <f ca="1">INDEX(T_Merger!__IVA,_AmortizacionesTablaCliente)</f>
        <v>9.3859853222966188E-15</v>
      </c>
      <c r="G73" s="367">
        <f ca="1">INDEX(T_Merger!__Pago,_AmortizacionesTablaCliente)</f>
        <v>8.7602529674768438E-14</v>
      </c>
      <c r="H73" s="494">
        <v>0</v>
      </c>
      <c r="I73" s="368">
        <f ca="1">INDEX(T_Merger!__Saldo_Final,_AmortizacionesTablaCliente)</f>
        <v>7.2759576141834259E-12</v>
      </c>
    </row>
    <row r="74" spans="1:10" hidden="1" x14ac:dyDescent="0.25">
      <c r="A74" s="365">
        <v>55</v>
      </c>
      <c r="B74" s="366">
        <f t="shared" ca="1" si="0"/>
        <v>44258</v>
      </c>
      <c r="C74" s="367">
        <f ca="1">INDEX(T_Merger!__Saldo_Inicial,_AmortizacionesTablaCliente)</f>
        <v>7.2759576141834259E-12</v>
      </c>
      <c r="D74" s="367">
        <f ca="1">INDEX(T_Merger!__Capital,_AmortizacionesTablaCliente)</f>
        <v>0</v>
      </c>
      <c r="E74" s="522">
        <f ca="1">INDEX(T_Merger!__Interes,_AmortizacionesTablaCliente)</f>
        <v>7.8216544352471822E-14</v>
      </c>
      <c r="F74" s="367">
        <f ca="1">INDEX(T_Merger!__IVA,_AmortizacionesTablaCliente)</f>
        <v>9.3859853222966188E-15</v>
      </c>
      <c r="G74" s="367">
        <f ca="1">INDEX(T_Merger!__Pago,_AmortizacionesTablaCliente)</f>
        <v>8.7602529674768438E-14</v>
      </c>
      <c r="H74" s="494">
        <v>0</v>
      </c>
      <c r="I74" s="368">
        <f ca="1">INDEX(T_Merger!__Saldo_Final,_AmortizacionesTablaCliente)</f>
        <v>7.2759576141834259E-12</v>
      </c>
    </row>
    <row r="75" spans="1:10" hidden="1" x14ac:dyDescent="0.25">
      <c r="A75" s="365">
        <v>56</v>
      </c>
      <c r="B75" s="366">
        <f t="shared" ca="1" si="0"/>
        <v>44289</v>
      </c>
      <c r="C75" s="367">
        <f ca="1">INDEX(T_Merger!__Saldo_Inicial,_AmortizacionesTablaCliente)</f>
        <v>7.2759576141834259E-12</v>
      </c>
      <c r="D75" s="367">
        <f ca="1">INDEX(T_Merger!__Capital,_AmortizacionesTablaCliente)</f>
        <v>0</v>
      </c>
      <c r="E75" s="522">
        <f ca="1">INDEX(T_Merger!__Interes,_AmortizacionesTablaCliente)</f>
        <v>7.8216544352471822E-14</v>
      </c>
      <c r="F75" s="367">
        <f ca="1">INDEX(T_Merger!__IVA,_AmortizacionesTablaCliente)</f>
        <v>9.3859853222966188E-15</v>
      </c>
      <c r="G75" s="367">
        <f ca="1">INDEX(T_Merger!__Pago,_AmortizacionesTablaCliente)</f>
        <v>8.7602529674768438E-14</v>
      </c>
      <c r="H75" s="494">
        <v>0</v>
      </c>
      <c r="I75" s="368">
        <f ca="1">INDEX(T_Merger!__Saldo_Final,_AmortizacionesTablaCliente)</f>
        <v>7.2759576141834259E-12</v>
      </c>
    </row>
    <row r="76" spans="1:10" hidden="1" x14ac:dyDescent="0.25">
      <c r="A76" s="365">
        <v>57</v>
      </c>
      <c r="B76" s="366">
        <f t="shared" ca="1" si="0"/>
        <v>44319</v>
      </c>
      <c r="C76" s="367">
        <f ca="1">INDEX(T_Merger!__Saldo_Inicial,_AmortizacionesTablaCliente)</f>
        <v>7.2759576141834259E-12</v>
      </c>
      <c r="D76" s="367">
        <f ca="1">INDEX(T_Merger!__Capital,_AmortizacionesTablaCliente)</f>
        <v>0</v>
      </c>
      <c r="E76" s="522">
        <f ca="1">INDEX(T_Merger!__Interes,_AmortizacionesTablaCliente)</f>
        <v>7.8216544352471822E-14</v>
      </c>
      <c r="F76" s="367">
        <f ca="1">INDEX(T_Merger!__IVA,_AmortizacionesTablaCliente)</f>
        <v>9.3859853222966188E-15</v>
      </c>
      <c r="G76" s="367">
        <f ca="1">INDEX(T_Merger!__Pago,_AmortizacionesTablaCliente)</f>
        <v>8.7602529674768438E-14</v>
      </c>
      <c r="H76" s="494">
        <v>0</v>
      </c>
      <c r="I76" s="368">
        <f ca="1">INDEX(T_Merger!__Saldo_Final,_AmortizacionesTablaCliente)</f>
        <v>7.2759576141834259E-12</v>
      </c>
    </row>
    <row r="77" spans="1:10" hidden="1" x14ac:dyDescent="0.25">
      <c r="A77" s="365">
        <v>58</v>
      </c>
      <c r="B77" s="366">
        <f t="shared" ca="1" si="0"/>
        <v>44350</v>
      </c>
      <c r="C77" s="367">
        <f ca="1">INDEX(T_Merger!__Saldo_Inicial,_AmortizacionesTablaCliente)</f>
        <v>7.2759576141834259E-12</v>
      </c>
      <c r="D77" s="367">
        <f ca="1">INDEX(T_Merger!__Capital,_AmortizacionesTablaCliente)</f>
        <v>0</v>
      </c>
      <c r="E77" s="522">
        <f ca="1">INDEX(T_Merger!__Interes,_AmortizacionesTablaCliente)</f>
        <v>7.8216544352471822E-14</v>
      </c>
      <c r="F77" s="367">
        <f ca="1">INDEX(T_Merger!__IVA,_AmortizacionesTablaCliente)</f>
        <v>9.3859853222966188E-15</v>
      </c>
      <c r="G77" s="367">
        <f ca="1">INDEX(T_Merger!__Pago,_AmortizacionesTablaCliente)</f>
        <v>8.7602529674768438E-14</v>
      </c>
      <c r="H77" s="494">
        <v>0</v>
      </c>
      <c r="I77" s="368">
        <f ca="1">INDEX(T_Merger!__Saldo_Final,_AmortizacionesTablaCliente)</f>
        <v>7.2759576141834259E-12</v>
      </c>
      <c r="J77" s="523"/>
    </row>
    <row r="78" spans="1:10" hidden="1" x14ac:dyDescent="0.25">
      <c r="A78" s="365">
        <v>59</v>
      </c>
      <c r="B78" s="366">
        <f t="shared" ca="1" si="0"/>
        <v>44380</v>
      </c>
      <c r="C78" s="367">
        <f ca="1">INDEX(T_Merger!__Saldo_Inicial,_AmortizacionesTablaCliente)</f>
        <v>7.2759576141834259E-12</v>
      </c>
      <c r="D78" s="367">
        <f ca="1">INDEX(T_Merger!__Capital,_AmortizacionesTablaCliente)</f>
        <v>0</v>
      </c>
      <c r="E78" s="522">
        <f ca="1">INDEX(T_Merger!__Interes,_AmortizacionesTablaCliente)</f>
        <v>7.8216544352471822E-14</v>
      </c>
      <c r="F78" s="367">
        <f ca="1">INDEX(T_Merger!__IVA,_AmortizacionesTablaCliente)</f>
        <v>9.3859853222966188E-15</v>
      </c>
      <c r="G78" s="367">
        <f ca="1">INDEX(T_Merger!__Pago,_AmortizacionesTablaCliente)</f>
        <v>8.7602529674768438E-14</v>
      </c>
      <c r="H78" s="494">
        <v>0</v>
      </c>
      <c r="I78" s="368">
        <f ca="1">INDEX(T_Merger!__Saldo_Final,_AmortizacionesTablaCliente)</f>
        <v>7.2759576141834259E-12</v>
      </c>
    </row>
    <row r="79" spans="1:10" hidden="1" x14ac:dyDescent="0.25">
      <c r="A79" s="365">
        <v>60</v>
      </c>
      <c r="B79" s="366">
        <f t="shared" ca="1" si="0"/>
        <v>44411</v>
      </c>
      <c r="C79" s="367">
        <f ca="1">INDEX(T_Merger!__Saldo_Inicial,_AmortizacionesTablaCliente)</f>
        <v>7.2759576141834259E-12</v>
      </c>
      <c r="D79" s="367">
        <f ca="1">INDEX(T_Merger!__Capital,_AmortizacionesTablaCliente)</f>
        <v>0</v>
      </c>
      <c r="E79" s="522">
        <f ca="1">INDEX(T_Merger!__Interes,_AmortizacionesTablaCliente)</f>
        <v>7.8216544352471822E-14</v>
      </c>
      <c r="F79" s="367">
        <f ca="1">INDEX(T_Merger!__IVA,_AmortizacionesTablaCliente)</f>
        <v>9.3859853222966188E-15</v>
      </c>
      <c r="G79" s="367">
        <f ca="1">INDEX(T_Merger!__Pago,_AmortizacionesTablaCliente)</f>
        <v>8.7602529674768438E-14</v>
      </c>
      <c r="H79" s="494">
        <v>0</v>
      </c>
      <c r="I79" s="368">
        <f ca="1">INDEX(T_Merger!__Saldo_Final,_AmortizacionesTablaCliente)</f>
        <v>7.2759576141834259E-12</v>
      </c>
    </row>
    <row r="80" spans="1:10" hidden="1" x14ac:dyDescent="0.25">
      <c r="A80" s="365">
        <v>61</v>
      </c>
      <c r="B80" s="366">
        <f t="shared" ca="1" si="0"/>
        <v>44442</v>
      </c>
      <c r="C80" s="367">
        <f ca="1">INDEX(T_Merger!__Saldo_Inicial,_AmortizacionesTablaCliente)</f>
        <v>7.2759576141834259E-12</v>
      </c>
      <c r="D80" s="367">
        <f ca="1">INDEX(T_Merger!__Capital,_AmortizacionesTablaCliente)</f>
        <v>0</v>
      </c>
      <c r="E80" s="522">
        <f ca="1">INDEX(T_Merger!__Interes,_AmortizacionesTablaCliente)</f>
        <v>7.8216544352471822E-14</v>
      </c>
      <c r="F80" s="367">
        <f ca="1">INDEX(T_Merger!__IVA,_AmortizacionesTablaCliente)</f>
        <v>9.3859853222966188E-15</v>
      </c>
      <c r="G80" s="367">
        <f ca="1">INDEX(T_Merger!__Pago,_AmortizacionesTablaCliente)</f>
        <v>8.7602529674768438E-14</v>
      </c>
      <c r="H80" s="494">
        <v>0</v>
      </c>
      <c r="I80" s="368">
        <f ca="1">INDEX(T_Merger!__Saldo_Final,_AmortizacionesTablaCliente)</f>
        <v>7.2759576141834259E-12</v>
      </c>
    </row>
    <row r="81" spans="1:9" hidden="1" x14ac:dyDescent="0.25">
      <c r="A81" s="365">
        <v>62</v>
      </c>
      <c r="B81" s="366">
        <f t="shared" ca="1" si="0"/>
        <v>44472</v>
      </c>
      <c r="C81" s="367">
        <f ca="1">INDEX(T_Merger!__Saldo_Inicial,_AmortizacionesTablaCliente)</f>
        <v>7.2759576141834259E-12</v>
      </c>
      <c r="D81" s="367">
        <f ca="1">INDEX(T_Merger!__Capital,_AmortizacionesTablaCliente)</f>
        <v>0</v>
      </c>
      <c r="E81" s="522">
        <f ca="1">INDEX(T_Merger!__Interes,_AmortizacionesTablaCliente)</f>
        <v>7.8216544352471822E-14</v>
      </c>
      <c r="F81" s="367">
        <f ca="1">INDEX(T_Merger!__IVA,_AmortizacionesTablaCliente)</f>
        <v>9.3859853222966188E-15</v>
      </c>
      <c r="G81" s="367">
        <f ca="1">INDEX(T_Merger!__Pago,_AmortizacionesTablaCliente)</f>
        <v>8.7602529674768438E-14</v>
      </c>
      <c r="H81" s="494">
        <v>0</v>
      </c>
      <c r="I81" s="368">
        <f ca="1">INDEX(T_Merger!__Saldo_Final,_AmortizacionesTablaCliente)</f>
        <v>7.2759576141834259E-12</v>
      </c>
    </row>
    <row r="82" spans="1:9" hidden="1" x14ac:dyDescent="0.25">
      <c r="A82" s="365">
        <v>63</v>
      </c>
      <c r="B82" s="366">
        <f t="shared" ca="1" si="0"/>
        <v>44503</v>
      </c>
      <c r="C82" s="367">
        <f ca="1">INDEX(T_Merger!__Saldo_Inicial,_AmortizacionesTablaCliente)</f>
        <v>7.2759576141834259E-12</v>
      </c>
      <c r="D82" s="367">
        <f ca="1">INDEX(T_Merger!__Capital,_AmortizacionesTablaCliente)</f>
        <v>0</v>
      </c>
      <c r="E82" s="522">
        <f ca="1">INDEX(T_Merger!__Interes,_AmortizacionesTablaCliente)</f>
        <v>7.8216544352471822E-14</v>
      </c>
      <c r="F82" s="367">
        <f ca="1">INDEX(T_Merger!__IVA,_AmortizacionesTablaCliente)</f>
        <v>9.3859853222966188E-15</v>
      </c>
      <c r="G82" s="367">
        <f ca="1">INDEX(T_Merger!__Pago,_AmortizacionesTablaCliente)</f>
        <v>8.7602529674768438E-14</v>
      </c>
      <c r="H82" s="494">
        <v>0</v>
      </c>
      <c r="I82" s="368">
        <f ca="1">INDEX(T_Merger!__Saldo_Final,_AmortizacionesTablaCliente)</f>
        <v>7.2759576141834259E-12</v>
      </c>
    </row>
    <row r="83" spans="1:9" hidden="1" x14ac:dyDescent="0.25">
      <c r="A83" s="365">
        <v>64</v>
      </c>
      <c r="B83" s="366">
        <f t="shared" ca="1" si="0"/>
        <v>44533</v>
      </c>
      <c r="C83" s="367">
        <f ca="1">INDEX(T_Merger!__Saldo_Inicial,_AmortizacionesTablaCliente)</f>
        <v>7.2759576141834259E-12</v>
      </c>
      <c r="D83" s="367">
        <f ca="1">INDEX(T_Merger!__Capital,_AmortizacionesTablaCliente)</f>
        <v>0</v>
      </c>
      <c r="E83" s="522">
        <f ca="1">INDEX(T_Merger!__Interes,_AmortizacionesTablaCliente)</f>
        <v>7.8216544352471822E-14</v>
      </c>
      <c r="F83" s="367">
        <f ca="1">INDEX(T_Merger!__IVA,_AmortizacionesTablaCliente)</f>
        <v>9.3859853222966188E-15</v>
      </c>
      <c r="G83" s="367">
        <f ca="1">INDEX(T_Merger!__Pago,_AmortizacionesTablaCliente)</f>
        <v>8.7602529674768438E-14</v>
      </c>
      <c r="H83" s="494">
        <v>0</v>
      </c>
      <c r="I83" s="368">
        <f ca="1">INDEX(T_Merger!__Saldo_Final,_AmortizacionesTablaCliente)</f>
        <v>7.2759576141834259E-12</v>
      </c>
    </row>
    <row r="84" spans="1:9" hidden="1" x14ac:dyDescent="0.25">
      <c r="A84" s="365">
        <v>65</v>
      </c>
      <c r="B84" s="366">
        <f t="shared" ref="B84:B147" ca="1" si="1">INDEX(Fechas_Pago,_AmortizacionesTablaCliente)</f>
        <v>44564</v>
      </c>
      <c r="C84" s="367">
        <f ca="1">INDEX(T_Merger!__Saldo_Inicial,_AmortizacionesTablaCliente)</f>
        <v>7.2759576141834259E-12</v>
      </c>
      <c r="D84" s="367">
        <f ca="1">INDEX(T_Merger!__Capital,_AmortizacionesTablaCliente)</f>
        <v>0</v>
      </c>
      <c r="E84" s="522">
        <f ca="1">INDEX(T_Merger!__Interes,_AmortizacionesTablaCliente)</f>
        <v>7.8216544352471822E-14</v>
      </c>
      <c r="F84" s="367">
        <f ca="1">INDEX(T_Merger!__IVA,_AmortizacionesTablaCliente)</f>
        <v>9.3859853222966188E-15</v>
      </c>
      <c r="G84" s="367">
        <f ca="1">INDEX(T_Merger!__Pago,_AmortizacionesTablaCliente)</f>
        <v>8.7602529674768438E-14</v>
      </c>
      <c r="H84" s="494">
        <v>0</v>
      </c>
      <c r="I84" s="368">
        <f ca="1">INDEX(T_Merger!__Saldo_Final,_AmortizacionesTablaCliente)</f>
        <v>7.2759576141834259E-12</v>
      </c>
    </row>
    <row r="85" spans="1:9" hidden="1" x14ac:dyDescent="0.25">
      <c r="A85" s="365">
        <v>66</v>
      </c>
      <c r="B85" s="366">
        <f t="shared" ca="1" si="1"/>
        <v>44595</v>
      </c>
      <c r="C85" s="367">
        <f ca="1">INDEX(T_Merger!__Saldo_Inicial,_AmortizacionesTablaCliente)</f>
        <v>7.2759576141834259E-12</v>
      </c>
      <c r="D85" s="367">
        <f ca="1">INDEX(T_Merger!__Capital,_AmortizacionesTablaCliente)</f>
        <v>0</v>
      </c>
      <c r="E85" s="522">
        <f ca="1">INDEX(T_Merger!__Interes,_AmortizacionesTablaCliente)</f>
        <v>7.8216544352471822E-14</v>
      </c>
      <c r="F85" s="367">
        <f ca="1">INDEX(T_Merger!__IVA,_AmortizacionesTablaCliente)</f>
        <v>9.3859853222966188E-15</v>
      </c>
      <c r="G85" s="367">
        <f ca="1">INDEX(T_Merger!__Pago,_AmortizacionesTablaCliente)</f>
        <v>8.7602529674768438E-14</v>
      </c>
      <c r="H85" s="494">
        <v>0</v>
      </c>
      <c r="I85" s="368">
        <f ca="1">INDEX(T_Merger!__Saldo_Final,_AmortizacionesTablaCliente)</f>
        <v>7.2759576141834259E-12</v>
      </c>
    </row>
    <row r="86" spans="1:9" hidden="1" x14ac:dyDescent="0.25">
      <c r="A86" s="365">
        <v>67</v>
      </c>
      <c r="B86" s="366">
        <f t="shared" ca="1" si="1"/>
        <v>44623</v>
      </c>
      <c r="C86" s="367">
        <f ca="1">INDEX(T_Merger!__Saldo_Inicial,_AmortizacionesTablaCliente)</f>
        <v>7.2759576141834259E-12</v>
      </c>
      <c r="D86" s="367">
        <f ca="1">INDEX(T_Merger!__Capital,_AmortizacionesTablaCliente)</f>
        <v>0</v>
      </c>
      <c r="E86" s="522">
        <f ca="1">INDEX(T_Merger!__Interes,_AmortizacionesTablaCliente)</f>
        <v>7.8216544352471822E-14</v>
      </c>
      <c r="F86" s="367">
        <f ca="1">INDEX(T_Merger!__IVA,_AmortizacionesTablaCliente)</f>
        <v>9.3859853222966188E-15</v>
      </c>
      <c r="G86" s="367">
        <f ca="1">INDEX(T_Merger!__Pago,_AmortizacionesTablaCliente)</f>
        <v>8.7602529674768438E-14</v>
      </c>
      <c r="H86" s="494">
        <v>0</v>
      </c>
      <c r="I86" s="368">
        <f ca="1">INDEX(T_Merger!__Saldo_Final,_AmortizacionesTablaCliente)</f>
        <v>7.2759576141834259E-12</v>
      </c>
    </row>
    <row r="87" spans="1:9" hidden="1" x14ac:dyDescent="0.25">
      <c r="A87" s="365">
        <v>68</v>
      </c>
      <c r="B87" s="366">
        <f t="shared" ca="1" si="1"/>
        <v>44654</v>
      </c>
      <c r="C87" s="367">
        <f ca="1">INDEX(T_Merger!__Saldo_Inicial,_AmortizacionesTablaCliente)</f>
        <v>7.2759576141834259E-12</v>
      </c>
      <c r="D87" s="367">
        <f ca="1">INDEX(T_Merger!__Capital,_AmortizacionesTablaCliente)</f>
        <v>0</v>
      </c>
      <c r="E87" s="522">
        <f ca="1">INDEX(T_Merger!__Interes,_AmortizacionesTablaCliente)</f>
        <v>7.8216544352471822E-14</v>
      </c>
      <c r="F87" s="367">
        <f ca="1">INDEX(T_Merger!__IVA,_AmortizacionesTablaCliente)</f>
        <v>9.3859853222966188E-15</v>
      </c>
      <c r="G87" s="367">
        <f ca="1">INDEX(T_Merger!__Pago,_AmortizacionesTablaCliente)</f>
        <v>8.7602529674768438E-14</v>
      </c>
      <c r="H87" s="494">
        <v>0</v>
      </c>
      <c r="I87" s="368">
        <f ca="1">INDEX(T_Merger!__Saldo_Final,_AmortizacionesTablaCliente)</f>
        <v>7.2759576141834259E-12</v>
      </c>
    </row>
    <row r="88" spans="1:9" hidden="1" x14ac:dyDescent="0.25">
      <c r="A88" s="365">
        <v>69</v>
      </c>
      <c r="B88" s="366">
        <f t="shared" ca="1" si="1"/>
        <v>44684</v>
      </c>
      <c r="C88" s="367">
        <f ca="1">INDEX(T_Merger!__Saldo_Inicial,_AmortizacionesTablaCliente)</f>
        <v>7.2759576141834259E-12</v>
      </c>
      <c r="D88" s="367">
        <f ca="1">INDEX(T_Merger!__Capital,_AmortizacionesTablaCliente)</f>
        <v>0</v>
      </c>
      <c r="E88" s="522">
        <f ca="1">INDEX(T_Merger!__Interes,_AmortizacionesTablaCliente)</f>
        <v>7.8216544352471822E-14</v>
      </c>
      <c r="F88" s="367">
        <f ca="1">INDEX(T_Merger!__IVA,_AmortizacionesTablaCliente)</f>
        <v>9.3859853222966188E-15</v>
      </c>
      <c r="G88" s="367">
        <f ca="1">INDEX(T_Merger!__Pago,_AmortizacionesTablaCliente)</f>
        <v>8.7602529674768438E-14</v>
      </c>
      <c r="H88" s="494">
        <v>0</v>
      </c>
      <c r="I88" s="368">
        <f ca="1">INDEX(T_Merger!__Saldo_Final,_AmortizacionesTablaCliente)</f>
        <v>7.2759576141834259E-12</v>
      </c>
    </row>
    <row r="89" spans="1:9" hidden="1" x14ac:dyDescent="0.25">
      <c r="A89" s="365">
        <v>70</v>
      </c>
      <c r="B89" s="366">
        <f t="shared" ca="1" si="1"/>
        <v>44715</v>
      </c>
      <c r="C89" s="367">
        <f ca="1">INDEX(T_Merger!__Saldo_Inicial,_AmortizacionesTablaCliente)</f>
        <v>7.2759576141834259E-12</v>
      </c>
      <c r="D89" s="367">
        <f ca="1">INDEX(T_Merger!__Capital,_AmortizacionesTablaCliente)</f>
        <v>0</v>
      </c>
      <c r="E89" s="522">
        <f ca="1">INDEX(T_Merger!__Interes,_AmortizacionesTablaCliente)</f>
        <v>7.8216544352471822E-14</v>
      </c>
      <c r="F89" s="367">
        <f ca="1">INDEX(T_Merger!__IVA,_AmortizacionesTablaCliente)</f>
        <v>9.3859853222966188E-15</v>
      </c>
      <c r="G89" s="367">
        <f ca="1">INDEX(T_Merger!__Pago,_AmortizacionesTablaCliente)</f>
        <v>8.7602529674768438E-14</v>
      </c>
      <c r="H89" s="494">
        <v>0</v>
      </c>
      <c r="I89" s="368">
        <f ca="1">INDEX(T_Merger!__Saldo_Final,_AmortizacionesTablaCliente)</f>
        <v>7.2759576141834259E-12</v>
      </c>
    </row>
    <row r="90" spans="1:9" hidden="1" x14ac:dyDescent="0.25">
      <c r="A90" s="365">
        <v>71</v>
      </c>
      <c r="B90" s="366">
        <f t="shared" ca="1" si="1"/>
        <v>44745</v>
      </c>
      <c r="C90" s="367">
        <f ca="1">INDEX(T_Merger!__Saldo_Inicial,_AmortizacionesTablaCliente)</f>
        <v>7.2759576141834259E-12</v>
      </c>
      <c r="D90" s="367">
        <f ca="1">INDEX(T_Merger!__Capital,_AmortizacionesTablaCliente)</f>
        <v>0</v>
      </c>
      <c r="E90" s="522">
        <f ca="1">INDEX(T_Merger!__Interes,_AmortizacionesTablaCliente)</f>
        <v>7.8216544352471822E-14</v>
      </c>
      <c r="F90" s="367">
        <f ca="1">INDEX(T_Merger!__IVA,_AmortizacionesTablaCliente)</f>
        <v>9.3859853222966188E-15</v>
      </c>
      <c r="G90" s="367">
        <f ca="1">INDEX(T_Merger!__Pago,_AmortizacionesTablaCliente)</f>
        <v>8.7602529674768438E-14</v>
      </c>
      <c r="H90" s="494">
        <v>0</v>
      </c>
      <c r="I90" s="368">
        <f ca="1">INDEX(T_Merger!__Saldo_Final,_AmortizacionesTablaCliente)</f>
        <v>7.2759576141834259E-12</v>
      </c>
    </row>
    <row r="91" spans="1:9" hidden="1" x14ac:dyDescent="0.25">
      <c r="A91" s="365">
        <v>72</v>
      </c>
      <c r="B91" s="366">
        <f t="shared" ca="1" si="1"/>
        <v>44776</v>
      </c>
      <c r="C91" s="367">
        <f ca="1">INDEX(T_Merger!__Saldo_Inicial,_AmortizacionesTablaCliente)</f>
        <v>7.2759576141834259E-12</v>
      </c>
      <c r="D91" s="367">
        <f ca="1">INDEX(T_Merger!__Capital,_AmortizacionesTablaCliente)</f>
        <v>0</v>
      </c>
      <c r="E91" s="522">
        <f ca="1">INDEX(T_Merger!__Interes,_AmortizacionesTablaCliente)</f>
        <v>7.8216544352471822E-14</v>
      </c>
      <c r="F91" s="367">
        <f ca="1">INDEX(T_Merger!__IVA,_AmortizacionesTablaCliente)</f>
        <v>9.3859853222966188E-15</v>
      </c>
      <c r="G91" s="367">
        <f ca="1">INDEX(T_Merger!__Pago,_AmortizacionesTablaCliente)</f>
        <v>8.7602529674768438E-14</v>
      </c>
      <c r="H91" s="494">
        <v>0</v>
      </c>
      <c r="I91" s="368">
        <f ca="1">INDEX(T_Merger!__Saldo_Final,_AmortizacionesTablaCliente)</f>
        <v>7.2759576141834259E-12</v>
      </c>
    </row>
    <row r="92" spans="1:9" hidden="1" x14ac:dyDescent="0.25">
      <c r="A92" s="365">
        <v>73</v>
      </c>
      <c r="B92" s="366">
        <f t="shared" ca="1" si="1"/>
        <v>44807</v>
      </c>
      <c r="C92" s="367">
        <f ca="1">INDEX(T_Merger!__Saldo_Inicial,_AmortizacionesTablaCliente)</f>
        <v>7.2759576141834259E-12</v>
      </c>
      <c r="D92" s="367">
        <f ca="1">INDEX(T_Merger!__Capital,_AmortizacionesTablaCliente)</f>
        <v>0</v>
      </c>
      <c r="E92" s="522">
        <f ca="1">INDEX(T_Merger!__Interes,_AmortizacionesTablaCliente)</f>
        <v>7.8216544352471822E-14</v>
      </c>
      <c r="F92" s="367">
        <f ca="1">INDEX(T_Merger!__IVA,_AmortizacionesTablaCliente)</f>
        <v>9.3859853222966188E-15</v>
      </c>
      <c r="G92" s="367">
        <f ca="1">INDEX(T_Merger!__Pago,_AmortizacionesTablaCliente)</f>
        <v>8.7602529674768438E-14</v>
      </c>
      <c r="H92" s="494">
        <v>0</v>
      </c>
      <c r="I92" s="368">
        <f ca="1">INDEX(T_Merger!__Saldo_Final,_AmortizacionesTablaCliente)</f>
        <v>7.2759576141834259E-12</v>
      </c>
    </row>
    <row r="93" spans="1:9" hidden="1" x14ac:dyDescent="0.25">
      <c r="A93" s="365">
        <v>74</v>
      </c>
      <c r="B93" s="366">
        <f t="shared" ca="1" si="1"/>
        <v>44837</v>
      </c>
      <c r="C93" s="367">
        <f ca="1">INDEX(T_Merger!__Saldo_Inicial,_AmortizacionesTablaCliente)</f>
        <v>7.2759576141834259E-12</v>
      </c>
      <c r="D93" s="367">
        <f ca="1">INDEX(T_Merger!__Capital,_AmortizacionesTablaCliente)</f>
        <v>0</v>
      </c>
      <c r="E93" s="522">
        <f ca="1">INDEX(T_Merger!__Interes,_AmortizacionesTablaCliente)</f>
        <v>7.8216544352471822E-14</v>
      </c>
      <c r="F93" s="367">
        <f ca="1">INDEX(T_Merger!__IVA,_AmortizacionesTablaCliente)</f>
        <v>9.3859853222966188E-15</v>
      </c>
      <c r="G93" s="367">
        <f ca="1">INDEX(T_Merger!__Pago,_AmortizacionesTablaCliente)</f>
        <v>8.7602529674768438E-14</v>
      </c>
      <c r="H93" s="494">
        <v>0</v>
      </c>
      <c r="I93" s="368">
        <f ca="1">INDEX(T_Merger!__Saldo_Final,_AmortizacionesTablaCliente)</f>
        <v>7.2759576141834259E-12</v>
      </c>
    </row>
    <row r="94" spans="1:9" hidden="1" x14ac:dyDescent="0.25">
      <c r="A94" s="365">
        <v>75</v>
      </c>
      <c r="B94" s="366">
        <f t="shared" ca="1" si="1"/>
        <v>44868</v>
      </c>
      <c r="C94" s="367">
        <f ca="1">INDEX(T_Merger!__Saldo_Inicial,_AmortizacionesTablaCliente)</f>
        <v>7.2759576141834259E-12</v>
      </c>
      <c r="D94" s="367">
        <f ca="1">INDEX(T_Merger!__Capital,_AmortizacionesTablaCliente)</f>
        <v>0</v>
      </c>
      <c r="E94" s="522">
        <f ca="1">INDEX(T_Merger!__Interes,_AmortizacionesTablaCliente)</f>
        <v>7.8216544352471822E-14</v>
      </c>
      <c r="F94" s="367">
        <f ca="1">INDEX(T_Merger!__IVA,_AmortizacionesTablaCliente)</f>
        <v>9.3859853222966188E-15</v>
      </c>
      <c r="G94" s="367">
        <f ca="1">INDEX(T_Merger!__Pago,_AmortizacionesTablaCliente)</f>
        <v>8.7602529674768438E-14</v>
      </c>
      <c r="H94" s="494">
        <v>0</v>
      </c>
      <c r="I94" s="368">
        <f ca="1">INDEX(T_Merger!__Saldo_Final,_AmortizacionesTablaCliente)</f>
        <v>7.2759576141834259E-12</v>
      </c>
    </row>
    <row r="95" spans="1:9" hidden="1" x14ac:dyDescent="0.25">
      <c r="A95" s="365">
        <v>76</v>
      </c>
      <c r="B95" s="366">
        <f t="shared" ca="1" si="1"/>
        <v>44898</v>
      </c>
      <c r="C95" s="367">
        <f ca="1">INDEX(T_Merger!__Saldo_Inicial,_AmortizacionesTablaCliente)</f>
        <v>7.2759576141834259E-12</v>
      </c>
      <c r="D95" s="367">
        <f ca="1">INDEX(T_Merger!__Capital,_AmortizacionesTablaCliente)</f>
        <v>0</v>
      </c>
      <c r="E95" s="522">
        <f ca="1">INDEX(T_Merger!__Interes,_AmortizacionesTablaCliente)</f>
        <v>7.8216544352471822E-14</v>
      </c>
      <c r="F95" s="367">
        <f ca="1">INDEX(T_Merger!__IVA,_AmortizacionesTablaCliente)</f>
        <v>9.3859853222966188E-15</v>
      </c>
      <c r="G95" s="367">
        <f ca="1">INDEX(T_Merger!__Pago,_AmortizacionesTablaCliente)</f>
        <v>8.7602529674768438E-14</v>
      </c>
      <c r="H95" s="494">
        <v>0</v>
      </c>
      <c r="I95" s="368">
        <f ca="1">INDEX(T_Merger!__Saldo_Final,_AmortizacionesTablaCliente)</f>
        <v>7.2759576141834259E-12</v>
      </c>
    </row>
    <row r="96" spans="1:9" hidden="1" x14ac:dyDescent="0.25">
      <c r="A96" s="365">
        <v>77</v>
      </c>
      <c r="B96" s="366">
        <f t="shared" ca="1" si="1"/>
        <v>44929</v>
      </c>
      <c r="C96" s="367">
        <f ca="1">INDEX(T_Merger!__Saldo_Inicial,_AmortizacionesTablaCliente)</f>
        <v>7.2759576141834259E-12</v>
      </c>
      <c r="D96" s="367">
        <f ca="1">INDEX(T_Merger!__Capital,_AmortizacionesTablaCliente)</f>
        <v>0</v>
      </c>
      <c r="E96" s="522">
        <f ca="1">INDEX(T_Merger!__Interes,_AmortizacionesTablaCliente)</f>
        <v>7.8216544352471822E-14</v>
      </c>
      <c r="F96" s="367">
        <f ca="1">INDEX(T_Merger!__IVA,_AmortizacionesTablaCliente)</f>
        <v>9.3859853222966188E-15</v>
      </c>
      <c r="G96" s="367">
        <f ca="1">INDEX(T_Merger!__Pago,_AmortizacionesTablaCliente)</f>
        <v>8.7602529674768438E-14</v>
      </c>
      <c r="H96" s="494">
        <v>0</v>
      </c>
      <c r="I96" s="368">
        <f ca="1">INDEX(T_Merger!__Saldo_Final,_AmortizacionesTablaCliente)</f>
        <v>7.2759576141834259E-12</v>
      </c>
    </row>
    <row r="97" spans="1:9" hidden="1" x14ac:dyDescent="0.25">
      <c r="A97" s="365">
        <v>78</v>
      </c>
      <c r="B97" s="366">
        <f t="shared" ca="1" si="1"/>
        <v>44960</v>
      </c>
      <c r="C97" s="367">
        <f ca="1">INDEX(T_Merger!__Saldo_Inicial,_AmortizacionesTablaCliente)</f>
        <v>7.2759576141834259E-12</v>
      </c>
      <c r="D97" s="367">
        <f ca="1">INDEX(T_Merger!__Capital,_AmortizacionesTablaCliente)</f>
        <v>0</v>
      </c>
      <c r="E97" s="522">
        <f ca="1">INDEX(T_Merger!__Interes,_AmortizacionesTablaCliente)</f>
        <v>7.8216544352471822E-14</v>
      </c>
      <c r="F97" s="367">
        <f ca="1">INDEX(T_Merger!__IVA,_AmortizacionesTablaCliente)</f>
        <v>9.3859853222966188E-15</v>
      </c>
      <c r="G97" s="367">
        <f ca="1">INDEX(T_Merger!__Pago,_AmortizacionesTablaCliente)</f>
        <v>8.7602529674768438E-14</v>
      </c>
      <c r="H97" s="494">
        <v>0</v>
      </c>
      <c r="I97" s="368">
        <f ca="1">INDEX(T_Merger!__Saldo_Final,_AmortizacionesTablaCliente)</f>
        <v>7.2759576141834259E-12</v>
      </c>
    </row>
    <row r="98" spans="1:9" hidden="1" x14ac:dyDescent="0.25">
      <c r="A98" s="365">
        <v>79</v>
      </c>
      <c r="B98" s="366">
        <f t="shared" ca="1" si="1"/>
        <v>44988</v>
      </c>
      <c r="C98" s="367">
        <f ca="1">INDEX(T_Merger!__Saldo_Inicial,_AmortizacionesTablaCliente)</f>
        <v>7.2759576141834259E-12</v>
      </c>
      <c r="D98" s="367">
        <f ca="1">INDEX(T_Merger!__Capital,_AmortizacionesTablaCliente)</f>
        <v>0</v>
      </c>
      <c r="E98" s="522">
        <f ca="1">INDEX(T_Merger!__Interes,_AmortizacionesTablaCliente)</f>
        <v>7.8216544352471822E-14</v>
      </c>
      <c r="F98" s="367">
        <f ca="1">INDEX(T_Merger!__IVA,_AmortizacionesTablaCliente)</f>
        <v>9.3859853222966188E-15</v>
      </c>
      <c r="G98" s="367">
        <f ca="1">INDEX(T_Merger!__Pago,_AmortizacionesTablaCliente)</f>
        <v>8.7602529674768438E-14</v>
      </c>
      <c r="H98" s="494">
        <v>0</v>
      </c>
      <c r="I98" s="368">
        <f ca="1">INDEX(T_Merger!__Saldo_Final,_AmortizacionesTablaCliente)</f>
        <v>7.2759576141834259E-12</v>
      </c>
    </row>
    <row r="99" spans="1:9" hidden="1" x14ac:dyDescent="0.25">
      <c r="A99" s="365">
        <v>80</v>
      </c>
      <c r="B99" s="366">
        <f t="shared" ca="1" si="1"/>
        <v>45019</v>
      </c>
      <c r="C99" s="367">
        <f ca="1">INDEX(T_Merger!__Saldo_Inicial,_AmortizacionesTablaCliente)</f>
        <v>7.2759576141834259E-12</v>
      </c>
      <c r="D99" s="367">
        <f ca="1">INDEX(T_Merger!__Capital,_AmortizacionesTablaCliente)</f>
        <v>0</v>
      </c>
      <c r="E99" s="522">
        <f ca="1">INDEX(T_Merger!__Interes,_AmortizacionesTablaCliente)</f>
        <v>7.8216544352471822E-14</v>
      </c>
      <c r="F99" s="367">
        <f ca="1">INDEX(T_Merger!__IVA,_AmortizacionesTablaCliente)</f>
        <v>9.3859853222966188E-15</v>
      </c>
      <c r="G99" s="367">
        <f ca="1">INDEX(T_Merger!__Pago,_AmortizacionesTablaCliente)</f>
        <v>8.7602529674768438E-14</v>
      </c>
      <c r="H99" s="494">
        <v>0</v>
      </c>
      <c r="I99" s="368">
        <f ca="1">INDEX(T_Merger!__Saldo_Final,_AmortizacionesTablaCliente)</f>
        <v>7.2759576141834259E-12</v>
      </c>
    </row>
    <row r="100" spans="1:9" hidden="1" x14ac:dyDescent="0.25">
      <c r="A100" s="365">
        <v>81</v>
      </c>
      <c r="B100" s="366">
        <f t="shared" ca="1" si="1"/>
        <v>45049</v>
      </c>
      <c r="C100" s="367">
        <f ca="1">INDEX(T_Merger!__Saldo_Inicial,_AmortizacionesTablaCliente)</f>
        <v>7.2759576141834259E-12</v>
      </c>
      <c r="D100" s="367">
        <f ca="1">INDEX(T_Merger!__Capital,_AmortizacionesTablaCliente)</f>
        <v>0</v>
      </c>
      <c r="E100" s="522">
        <f ca="1">INDEX(T_Merger!__Interes,_AmortizacionesTablaCliente)</f>
        <v>7.8216544352471822E-14</v>
      </c>
      <c r="F100" s="367">
        <f ca="1">INDEX(T_Merger!__IVA,_AmortizacionesTablaCliente)</f>
        <v>9.3859853222966188E-15</v>
      </c>
      <c r="G100" s="367">
        <f ca="1">INDEX(T_Merger!__Pago,_AmortizacionesTablaCliente)</f>
        <v>8.7602529674768438E-14</v>
      </c>
      <c r="H100" s="494">
        <v>0</v>
      </c>
      <c r="I100" s="368">
        <f ca="1">INDEX(T_Merger!__Saldo_Final,_AmortizacionesTablaCliente)</f>
        <v>7.2759576141834259E-12</v>
      </c>
    </row>
    <row r="101" spans="1:9" hidden="1" x14ac:dyDescent="0.25">
      <c r="A101" s="365">
        <v>82</v>
      </c>
      <c r="B101" s="366">
        <f t="shared" ca="1" si="1"/>
        <v>45080</v>
      </c>
      <c r="C101" s="367">
        <f ca="1">INDEX(T_Merger!__Saldo_Inicial,_AmortizacionesTablaCliente)</f>
        <v>7.2759576141834259E-12</v>
      </c>
      <c r="D101" s="367">
        <f ca="1">INDEX(T_Merger!__Capital,_AmortizacionesTablaCliente)</f>
        <v>0</v>
      </c>
      <c r="E101" s="522">
        <f ca="1">INDEX(T_Merger!__Interes,_AmortizacionesTablaCliente)</f>
        <v>7.8216544352471822E-14</v>
      </c>
      <c r="F101" s="367">
        <f ca="1">INDEX(T_Merger!__IVA,_AmortizacionesTablaCliente)</f>
        <v>9.3859853222966188E-15</v>
      </c>
      <c r="G101" s="367">
        <f ca="1">INDEX(T_Merger!__Pago,_AmortizacionesTablaCliente)</f>
        <v>8.7602529674768438E-14</v>
      </c>
      <c r="H101" s="494">
        <v>0</v>
      </c>
      <c r="I101" s="368">
        <f ca="1">INDEX(T_Merger!__Saldo_Final,_AmortizacionesTablaCliente)</f>
        <v>7.2759576141834259E-12</v>
      </c>
    </row>
    <row r="102" spans="1:9" hidden="1" x14ac:dyDescent="0.25">
      <c r="A102" s="365">
        <v>83</v>
      </c>
      <c r="B102" s="366">
        <f t="shared" ca="1" si="1"/>
        <v>45110</v>
      </c>
      <c r="C102" s="367">
        <f ca="1">INDEX(T_Merger!__Saldo_Inicial,_AmortizacionesTablaCliente)</f>
        <v>7.2759576141834259E-12</v>
      </c>
      <c r="D102" s="367">
        <f ca="1">INDEX(T_Merger!__Capital,_AmortizacionesTablaCliente)</f>
        <v>0</v>
      </c>
      <c r="E102" s="522">
        <f ca="1">INDEX(T_Merger!__Interes,_AmortizacionesTablaCliente)</f>
        <v>7.8216544352471822E-14</v>
      </c>
      <c r="F102" s="367">
        <f ca="1">INDEX(T_Merger!__IVA,_AmortizacionesTablaCliente)</f>
        <v>9.3859853222966188E-15</v>
      </c>
      <c r="G102" s="367">
        <f ca="1">INDEX(T_Merger!__Pago,_AmortizacionesTablaCliente)</f>
        <v>8.7602529674768438E-14</v>
      </c>
      <c r="H102" s="494">
        <v>0</v>
      </c>
      <c r="I102" s="368">
        <f ca="1">INDEX(T_Merger!__Saldo_Final,_AmortizacionesTablaCliente)</f>
        <v>7.2759576141834259E-12</v>
      </c>
    </row>
    <row r="103" spans="1:9" hidden="1" x14ac:dyDescent="0.25">
      <c r="A103" s="365">
        <v>84</v>
      </c>
      <c r="B103" s="366">
        <f t="shared" ca="1" si="1"/>
        <v>45141</v>
      </c>
      <c r="C103" s="367">
        <f ca="1">INDEX(T_Merger!__Saldo_Inicial,_AmortizacionesTablaCliente)</f>
        <v>7.2759576141834259E-12</v>
      </c>
      <c r="D103" s="367">
        <f ca="1">INDEX(T_Merger!__Capital,_AmortizacionesTablaCliente)</f>
        <v>0</v>
      </c>
      <c r="E103" s="522">
        <f ca="1">INDEX(T_Merger!__Interes,_AmortizacionesTablaCliente)</f>
        <v>7.8216544352471822E-14</v>
      </c>
      <c r="F103" s="367">
        <f ca="1">INDEX(T_Merger!__IVA,_AmortizacionesTablaCliente)</f>
        <v>9.3859853222966188E-15</v>
      </c>
      <c r="G103" s="367">
        <f ca="1">INDEX(T_Merger!__Pago,_AmortizacionesTablaCliente)</f>
        <v>8.7602529674768438E-14</v>
      </c>
      <c r="H103" s="494">
        <v>0</v>
      </c>
      <c r="I103" s="368">
        <f ca="1">INDEX(T_Merger!__Saldo_Final,_AmortizacionesTablaCliente)</f>
        <v>7.2759576141834259E-12</v>
      </c>
    </row>
    <row r="104" spans="1:9" hidden="1" x14ac:dyDescent="0.25">
      <c r="A104" s="365">
        <v>85</v>
      </c>
      <c r="B104" s="366">
        <f t="shared" ca="1" si="1"/>
        <v>45172</v>
      </c>
      <c r="C104" s="367">
        <f ca="1">INDEX(T_Merger!__Saldo_Inicial,_AmortizacionesTablaCliente)</f>
        <v>7.2759576141834259E-12</v>
      </c>
      <c r="D104" s="367">
        <f ca="1">INDEX(T_Merger!__Capital,_AmortizacionesTablaCliente)</f>
        <v>0</v>
      </c>
      <c r="E104" s="522">
        <f ca="1">INDEX(T_Merger!__Interes,_AmortizacionesTablaCliente)</f>
        <v>7.8216544352471822E-14</v>
      </c>
      <c r="F104" s="367">
        <f ca="1">INDEX(T_Merger!__IVA,_AmortizacionesTablaCliente)</f>
        <v>9.3859853222966188E-15</v>
      </c>
      <c r="G104" s="367">
        <f ca="1">INDEX(T_Merger!__Pago,_AmortizacionesTablaCliente)</f>
        <v>8.7602529674768438E-14</v>
      </c>
      <c r="H104" s="494">
        <v>0</v>
      </c>
      <c r="I104" s="368">
        <f ca="1">INDEX(T_Merger!__Saldo_Final,_AmortizacionesTablaCliente)</f>
        <v>7.2759576141834259E-12</v>
      </c>
    </row>
    <row r="105" spans="1:9" hidden="1" x14ac:dyDescent="0.25">
      <c r="A105" s="365">
        <v>86</v>
      </c>
      <c r="B105" s="366">
        <f t="shared" ca="1" si="1"/>
        <v>45202</v>
      </c>
      <c r="C105" s="367">
        <f ca="1">INDEX(T_Merger!__Saldo_Inicial,_AmortizacionesTablaCliente)</f>
        <v>7.2759576141834259E-12</v>
      </c>
      <c r="D105" s="367">
        <f ca="1">INDEX(T_Merger!__Capital,_AmortizacionesTablaCliente)</f>
        <v>0</v>
      </c>
      <c r="E105" s="522">
        <f ca="1">INDEX(T_Merger!__Interes,_AmortizacionesTablaCliente)</f>
        <v>7.8216544352471822E-14</v>
      </c>
      <c r="F105" s="367">
        <f ca="1">INDEX(T_Merger!__IVA,_AmortizacionesTablaCliente)</f>
        <v>9.3859853222966188E-15</v>
      </c>
      <c r="G105" s="367">
        <f ca="1">INDEX(T_Merger!__Pago,_AmortizacionesTablaCliente)</f>
        <v>8.7602529674768438E-14</v>
      </c>
      <c r="H105" s="494">
        <v>0</v>
      </c>
      <c r="I105" s="368">
        <f ca="1">INDEX(T_Merger!__Saldo_Final,_AmortizacionesTablaCliente)</f>
        <v>7.2759576141834259E-12</v>
      </c>
    </row>
    <row r="106" spans="1:9" hidden="1" x14ac:dyDescent="0.25">
      <c r="A106" s="365">
        <v>87</v>
      </c>
      <c r="B106" s="366">
        <f t="shared" ca="1" si="1"/>
        <v>45233</v>
      </c>
      <c r="C106" s="367">
        <f ca="1">INDEX(T_Merger!__Saldo_Inicial,_AmortizacionesTablaCliente)</f>
        <v>7.2759576141834259E-12</v>
      </c>
      <c r="D106" s="367">
        <f ca="1">INDEX(T_Merger!__Capital,_AmortizacionesTablaCliente)</f>
        <v>0</v>
      </c>
      <c r="E106" s="522">
        <f ca="1">INDEX(T_Merger!__Interes,_AmortizacionesTablaCliente)</f>
        <v>7.8216544352471822E-14</v>
      </c>
      <c r="F106" s="367">
        <f ca="1">INDEX(T_Merger!__IVA,_AmortizacionesTablaCliente)</f>
        <v>9.3859853222966188E-15</v>
      </c>
      <c r="G106" s="367">
        <f ca="1">INDEX(T_Merger!__Pago,_AmortizacionesTablaCliente)</f>
        <v>8.7602529674768438E-14</v>
      </c>
      <c r="H106" s="494">
        <v>0</v>
      </c>
      <c r="I106" s="368">
        <f ca="1">INDEX(T_Merger!__Saldo_Final,_AmortizacionesTablaCliente)</f>
        <v>7.2759576141834259E-12</v>
      </c>
    </row>
    <row r="107" spans="1:9" hidden="1" x14ac:dyDescent="0.25">
      <c r="A107" s="365">
        <v>88</v>
      </c>
      <c r="B107" s="366">
        <f t="shared" ca="1" si="1"/>
        <v>45263</v>
      </c>
      <c r="C107" s="367">
        <f ca="1">INDEX(T_Merger!__Saldo_Inicial,_AmortizacionesTablaCliente)</f>
        <v>7.2759576141834259E-12</v>
      </c>
      <c r="D107" s="367">
        <f ca="1">INDEX(T_Merger!__Capital,_AmortizacionesTablaCliente)</f>
        <v>0</v>
      </c>
      <c r="E107" s="522">
        <f ca="1">INDEX(T_Merger!__Interes,_AmortizacionesTablaCliente)</f>
        <v>7.8216544352471822E-14</v>
      </c>
      <c r="F107" s="367">
        <f ca="1">INDEX(T_Merger!__IVA,_AmortizacionesTablaCliente)</f>
        <v>9.3859853222966188E-15</v>
      </c>
      <c r="G107" s="367">
        <f ca="1">INDEX(T_Merger!__Pago,_AmortizacionesTablaCliente)</f>
        <v>8.7602529674768438E-14</v>
      </c>
      <c r="H107" s="494">
        <v>0</v>
      </c>
      <c r="I107" s="368">
        <f ca="1">INDEX(T_Merger!__Saldo_Final,_AmortizacionesTablaCliente)</f>
        <v>7.2759576141834259E-12</v>
      </c>
    </row>
    <row r="108" spans="1:9" hidden="1" x14ac:dyDescent="0.25">
      <c r="A108" s="365">
        <v>89</v>
      </c>
      <c r="B108" s="366">
        <f t="shared" ca="1" si="1"/>
        <v>45294</v>
      </c>
      <c r="C108" s="367">
        <f ca="1">INDEX(T_Merger!__Saldo_Inicial,_AmortizacionesTablaCliente)</f>
        <v>7.2759576141834259E-12</v>
      </c>
      <c r="D108" s="367">
        <f ca="1">INDEX(T_Merger!__Capital,_AmortizacionesTablaCliente)</f>
        <v>0</v>
      </c>
      <c r="E108" s="522">
        <f ca="1">INDEX(T_Merger!__Interes,_AmortizacionesTablaCliente)</f>
        <v>7.8216544352471822E-14</v>
      </c>
      <c r="F108" s="367">
        <f ca="1">INDEX(T_Merger!__IVA,_AmortizacionesTablaCliente)</f>
        <v>9.3859853222966188E-15</v>
      </c>
      <c r="G108" s="367">
        <f ca="1">INDEX(T_Merger!__Pago,_AmortizacionesTablaCliente)</f>
        <v>8.7602529674768438E-14</v>
      </c>
      <c r="H108" s="494">
        <v>0</v>
      </c>
      <c r="I108" s="368">
        <f ca="1">INDEX(T_Merger!__Saldo_Final,_AmortizacionesTablaCliente)</f>
        <v>7.2759576141834259E-12</v>
      </c>
    </row>
    <row r="109" spans="1:9" hidden="1" x14ac:dyDescent="0.25">
      <c r="A109" s="365">
        <v>90</v>
      </c>
      <c r="B109" s="366">
        <f t="shared" ca="1" si="1"/>
        <v>45325</v>
      </c>
      <c r="C109" s="367">
        <f ca="1">INDEX(T_Merger!__Saldo_Inicial,_AmortizacionesTablaCliente)</f>
        <v>7.2759576141834259E-12</v>
      </c>
      <c r="D109" s="367">
        <f ca="1">INDEX(T_Merger!__Capital,_AmortizacionesTablaCliente)</f>
        <v>0</v>
      </c>
      <c r="E109" s="522">
        <f ca="1">INDEX(T_Merger!__Interes,_AmortizacionesTablaCliente)</f>
        <v>7.8216544352471822E-14</v>
      </c>
      <c r="F109" s="367">
        <f ca="1">INDEX(T_Merger!__IVA,_AmortizacionesTablaCliente)</f>
        <v>9.3859853222966188E-15</v>
      </c>
      <c r="G109" s="367">
        <f ca="1">INDEX(T_Merger!__Pago,_AmortizacionesTablaCliente)</f>
        <v>8.7602529674768438E-14</v>
      </c>
      <c r="H109" s="494">
        <v>0</v>
      </c>
      <c r="I109" s="368">
        <f ca="1">INDEX(T_Merger!__Saldo_Final,_AmortizacionesTablaCliente)</f>
        <v>7.2759576141834259E-12</v>
      </c>
    </row>
    <row r="110" spans="1:9" hidden="1" x14ac:dyDescent="0.25">
      <c r="A110" s="365">
        <v>91</v>
      </c>
      <c r="B110" s="366">
        <f t="shared" ca="1" si="1"/>
        <v>45354</v>
      </c>
      <c r="C110" s="367">
        <f ca="1">INDEX(T_Merger!__Saldo_Inicial,_AmortizacionesTablaCliente)</f>
        <v>7.2759576141834259E-12</v>
      </c>
      <c r="D110" s="367">
        <f ca="1">INDEX(T_Merger!__Capital,_AmortizacionesTablaCliente)</f>
        <v>0</v>
      </c>
      <c r="E110" s="522">
        <f ca="1">INDEX(T_Merger!__Interes,_AmortizacionesTablaCliente)</f>
        <v>7.8216544352471822E-14</v>
      </c>
      <c r="F110" s="367">
        <f ca="1">INDEX(T_Merger!__IVA,_AmortizacionesTablaCliente)</f>
        <v>9.3859853222966188E-15</v>
      </c>
      <c r="G110" s="367">
        <f ca="1">INDEX(T_Merger!__Pago,_AmortizacionesTablaCliente)</f>
        <v>8.7602529674768438E-14</v>
      </c>
      <c r="H110" s="494">
        <v>0</v>
      </c>
      <c r="I110" s="368">
        <f ca="1">INDEX(T_Merger!__Saldo_Final,_AmortizacionesTablaCliente)</f>
        <v>7.2759576141834259E-12</v>
      </c>
    </row>
    <row r="111" spans="1:9" hidden="1" x14ac:dyDescent="0.25">
      <c r="A111" s="365">
        <v>92</v>
      </c>
      <c r="B111" s="366">
        <f t="shared" ca="1" si="1"/>
        <v>45385</v>
      </c>
      <c r="C111" s="367">
        <f ca="1">INDEX(T_Merger!__Saldo_Inicial,_AmortizacionesTablaCliente)</f>
        <v>7.2759576141834259E-12</v>
      </c>
      <c r="D111" s="367">
        <f ca="1">INDEX(T_Merger!__Capital,_AmortizacionesTablaCliente)</f>
        <v>0</v>
      </c>
      <c r="E111" s="522">
        <f ca="1">INDEX(T_Merger!__Interes,_AmortizacionesTablaCliente)</f>
        <v>7.8216544352471822E-14</v>
      </c>
      <c r="F111" s="367">
        <f ca="1">INDEX(T_Merger!__IVA,_AmortizacionesTablaCliente)</f>
        <v>9.3859853222966188E-15</v>
      </c>
      <c r="G111" s="367">
        <f ca="1">INDEX(T_Merger!__Pago,_AmortizacionesTablaCliente)</f>
        <v>8.7602529674768438E-14</v>
      </c>
      <c r="H111" s="494">
        <v>0</v>
      </c>
      <c r="I111" s="368">
        <f ca="1">INDEX(T_Merger!__Saldo_Final,_AmortizacionesTablaCliente)</f>
        <v>7.2759576141834259E-12</v>
      </c>
    </row>
    <row r="112" spans="1:9" hidden="1" x14ac:dyDescent="0.25">
      <c r="A112" s="365">
        <v>93</v>
      </c>
      <c r="B112" s="366">
        <f t="shared" ca="1" si="1"/>
        <v>45415</v>
      </c>
      <c r="C112" s="367">
        <f ca="1">INDEX(T_Merger!__Saldo_Inicial,_AmortizacionesTablaCliente)</f>
        <v>7.2759576141834259E-12</v>
      </c>
      <c r="D112" s="367">
        <f ca="1">INDEX(T_Merger!__Capital,_AmortizacionesTablaCliente)</f>
        <v>0</v>
      </c>
      <c r="E112" s="522">
        <f ca="1">INDEX(T_Merger!__Interes,_AmortizacionesTablaCliente)</f>
        <v>7.8216544352471822E-14</v>
      </c>
      <c r="F112" s="367">
        <f ca="1">INDEX(T_Merger!__IVA,_AmortizacionesTablaCliente)</f>
        <v>9.3859853222966188E-15</v>
      </c>
      <c r="G112" s="367">
        <f ca="1">INDEX(T_Merger!__Pago,_AmortizacionesTablaCliente)</f>
        <v>8.7602529674768438E-14</v>
      </c>
      <c r="H112" s="494">
        <v>0</v>
      </c>
      <c r="I112" s="368">
        <f ca="1">INDEX(T_Merger!__Saldo_Final,_AmortizacionesTablaCliente)</f>
        <v>7.2759576141834259E-12</v>
      </c>
    </row>
    <row r="113" spans="1:9" hidden="1" x14ac:dyDescent="0.25">
      <c r="A113" s="365">
        <v>94</v>
      </c>
      <c r="B113" s="366">
        <f t="shared" ca="1" si="1"/>
        <v>45446</v>
      </c>
      <c r="C113" s="367">
        <f ca="1">INDEX(T_Merger!__Saldo_Inicial,_AmortizacionesTablaCliente)</f>
        <v>7.2759576141834259E-12</v>
      </c>
      <c r="D113" s="367">
        <f ca="1">INDEX(T_Merger!__Capital,_AmortizacionesTablaCliente)</f>
        <v>0</v>
      </c>
      <c r="E113" s="522">
        <f ca="1">INDEX(T_Merger!__Interes,_AmortizacionesTablaCliente)</f>
        <v>7.8216544352471822E-14</v>
      </c>
      <c r="F113" s="367">
        <f ca="1">INDEX(T_Merger!__IVA,_AmortizacionesTablaCliente)</f>
        <v>9.3859853222966188E-15</v>
      </c>
      <c r="G113" s="367">
        <f ca="1">INDEX(T_Merger!__Pago,_AmortizacionesTablaCliente)</f>
        <v>8.7602529674768438E-14</v>
      </c>
      <c r="H113" s="494">
        <v>0</v>
      </c>
      <c r="I113" s="368">
        <f ca="1">INDEX(T_Merger!__Saldo_Final,_AmortizacionesTablaCliente)</f>
        <v>7.2759576141834259E-12</v>
      </c>
    </row>
    <row r="114" spans="1:9" hidden="1" x14ac:dyDescent="0.25">
      <c r="A114" s="365">
        <v>95</v>
      </c>
      <c r="B114" s="366">
        <f t="shared" ca="1" si="1"/>
        <v>45476</v>
      </c>
      <c r="C114" s="367">
        <f ca="1">INDEX(T_Merger!__Saldo_Inicial,_AmortizacionesTablaCliente)</f>
        <v>7.2759576141834259E-12</v>
      </c>
      <c r="D114" s="367">
        <f ca="1">INDEX(T_Merger!__Capital,_AmortizacionesTablaCliente)</f>
        <v>0</v>
      </c>
      <c r="E114" s="522">
        <f ca="1">INDEX(T_Merger!__Interes,_AmortizacionesTablaCliente)</f>
        <v>7.8216544352471822E-14</v>
      </c>
      <c r="F114" s="367">
        <f ca="1">INDEX(T_Merger!__IVA,_AmortizacionesTablaCliente)</f>
        <v>9.3859853222966188E-15</v>
      </c>
      <c r="G114" s="367">
        <f ca="1">INDEX(T_Merger!__Pago,_AmortizacionesTablaCliente)</f>
        <v>8.7602529674768438E-14</v>
      </c>
      <c r="H114" s="494">
        <v>0</v>
      </c>
      <c r="I114" s="368">
        <f ca="1">INDEX(T_Merger!__Saldo_Final,_AmortizacionesTablaCliente)</f>
        <v>7.2759576141834259E-12</v>
      </c>
    </row>
    <row r="115" spans="1:9" hidden="1" x14ac:dyDescent="0.25">
      <c r="A115" s="365">
        <v>96</v>
      </c>
      <c r="B115" s="366">
        <f t="shared" ca="1" si="1"/>
        <v>45507</v>
      </c>
      <c r="C115" s="367">
        <f ca="1">INDEX(T_Merger!__Saldo_Inicial,_AmortizacionesTablaCliente)</f>
        <v>7.2759576141834259E-12</v>
      </c>
      <c r="D115" s="367">
        <f ca="1">INDEX(T_Merger!__Capital,_AmortizacionesTablaCliente)</f>
        <v>0</v>
      </c>
      <c r="E115" s="522">
        <f ca="1">INDEX(T_Merger!__Interes,_AmortizacionesTablaCliente)</f>
        <v>7.8216544352471822E-14</v>
      </c>
      <c r="F115" s="367">
        <f ca="1">INDEX(T_Merger!__IVA,_AmortizacionesTablaCliente)</f>
        <v>9.3859853222966188E-15</v>
      </c>
      <c r="G115" s="367">
        <f ca="1">INDEX(T_Merger!__Pago,_AmortizacionesTablaCliente)</f>
        <v>8.7602529674768438E-14</v>
      </c>
      <c r="H115" s="494">
        <v>0</v>
      </c>
      <c r="I115" s="368">
        <f ca="1">INDEX(T_Merger!__Saldo_Final,_AmortizacionesTablaCliente)</f>
        <v>7.2759576141834259E-12</v>
      </c>
    </row>
    <row r="116" spans="1:9" hidden="1" x14ac:dyDescent="0.25">
      <c r="A116" s="365">
        <v>97</v>
      </c>
      <c r="B116" s="366">
        <f t="shared" ca="1" si="1"/>
        <v>45538</v>
      </c>
      <c r="C116" s="367">
        <f ca="1">INDEX(T_Merger!__Saldo_Inicial,_AmortizacionesTablaCliente)</f>
        <v>7.2759576141834259E-12</v>
      </c>
      <c r="D116" s="367">
        <f ca="1">INDEX(T_Merger!__Capital,_AmortizacionesTablaCliente)</f>
        <v>0</v>
      </c>
      <c r="E116" s="522">
        <f ca="1">INDEX(T_Merger!__Interes,_AmortizacionesTablaCliente)</f>
        <v>7.8216544352471822E-14</v>
      </c>
      <c r="F116" s="367">
        <f ca="1">INDEX(T_Merger!__IVA,_AmortizacionesTablaCliente)</f>
        <v>9.3859853222966188E-15</v>
      </c>
      <c r="G116" s="367">
        <f ca="1">INDEX(T_Merger!__Pago,_AmortizacionesTablaCliente)</f>
        <v>8.7602529674768438E-14</v>
      </c>
      <c r="H116" s="494">
        <v>0</v>
      </c>
      <c r="I116" s="368">
        <f ca="1">INDEX(T_Merger!__Saldo_Final,_AmortizacionesTablaCliente)</f>
        <v>7.2759576141834259E-12</v>
      </c>
    </row>
    <row r="117" spans="1:9" hidden="1" x14ac:dyDescent="0.25">
      <c r="A117" s="365">
        <v>98</v>
      </c>
      <c r="B117" s="366">
        <f t="shared" ca="1" si="1"/>
        <v>45568</v>
      </c>
      <c r="C117" s="367">
        <f ca="1">INDEX(T_Merger!__Saldo_Inicial,_AmortizacionesTablaCliente)</f>
        <v>7.2759576141834259E-12</v>
      </c>
      <c r="D117" s="367">
        <f ca="1">INDEX(T_Merger!__Capital,_AmortizacionesTablaCliente)</f>
        <v>0</v>
      </c>
      <c r="E117" s="522">
        <f ca="1">INDEX(T_Merger!__Interes,_AmortizacionesTablaCliente)</f>
        <v>7.8216544352471822E-14</v>
      </c>
      <c r="F117" s="367">
        <f ca="1">INDEX(T_Merger!__IVA,_AmortizacionesTablaCliente)</f>
        <v>9.3859853222966188E-15</v>
      </c>
      <c r="G117" s="367">
        <f ca="1">INDEX(T_Merger!__Pago,_AmortizacionesTablaCliente)</f>
        <v>8.7602529674768438E-14</v>
      </c>
      <c r="H117" s="494">
        <v>0</v>
      </c>
      <c r="I117" s="368">
        <f ca="1">INDEX(T_Merger!__Saldo_Final,_AmortizacionesTablaCliente)</f>
        <v>7.2759576141834259E-12</v>
      </c>
    </row>
    <row r="118" spans="1:9" hidden="1" x14ac:dyDescent="0.25">
      <c r="A118" s="365">
        <v>99</v>
      </c>
      <c r="B118" s="366">
        <f t="shared" ca="1" si="1"/>
        <v>45599</v>
      </c>
      <c r="C118" s="367">
        <f ca="1">INDEX(T_Merger!__Saldo_Inicial,_AmortizacionesTablaCliente)</f>
        <v>7.2759576141834259E-12</v>
      </c>
      <c r="D118" s="367">
        <f ca="1">INDEX(T_Merger!__Capital,_AmortizacionesTablaCliente)</f>
        <v>0</v>
      </c>
      <c r="E118" s="522">
        <f ca="1">INDEX(T_Merger!__Interes,_AmortizacionesTablaCliente)</f>
        <v>7.8216544352471822E-14</v>
      </c>
      <c r="F118" s="367">
        <f ca="1">INDEX(T_Merger!__IVA,_AmortizacionesTablaCliente)</f>
        <v>9.3859853222966188E-15</v>
      </c>
      <c r="G118" s="367">
        <f ca="1">INDEX(T_Merger!__Pago,_AmortizacionesTablaCliente)</f>
        <v>8.7602529674768438E-14</v>
      </c>
      <c r="H118" s="494">
        <v>0</v>
      </c>
      <c r="I118" s="368">
        <f ca="1">INDEX(T_Merger!__Saldo_Final,_AmortizacionesTablaCliente)</f>
        <v>7.2759576141834259E-12</v>
      </c>
    </row>
    <row r="119" spans="1:9" hidden="1" x14ac:dyDescent="0.25">
      <c r="A119" s="365">
        <v>100</v>
      </c>
      <c r="B119" s="366">
        <f t="shared" ca="1" si="1"/>
        <v>45629</v>
      </c>
      <c r="C119" s="367">
        <f ca="1">INDEX(T_Merger!__Saldo_Inicial,_AmortizacionesTablaCliente)</f>
        <v>7.2759576141834259E-12</v>
      </c>
      <c r="D119" s="367">
        <f ca="1">INDEX(T_Merger!__Capital,_AmortizacionesTablaCliente)</f>
        <v>0</v>
      </c>
      <c r="E119" s="522">
        <f ca="1">INDEX(T_Merger!__Interes,_AmortizacionesTablaCliente)</f>
        <v>7.8216544352471822E-14</v>
      </c>
      <c r="F119" s="367">
        <f ca="1">INDEX(T_Merger!__IVA,_AmortizacionesTablaCliente)</f>
        <v>9.3859853222966188E-15</v>
      </c>
      <c r="G119" s="367">
        <f ca="1">INDEX(T_Merger!__Pago,_AmortizacionesTablaCliente)</f>
        <v>8.7602529674768438E-14</v>
      </c>
      <c r="H119" s="494">
        <v>0</v>
      </c>
      <c r="I119" s="368">
        <f ca="1">INDEX(T_Merger!__Saldo_Final,_AmortizacionesTablaCliente)</f>
        <v>7.2759576141834259E-12</v>
      </c>
    </row>
    <row r="120" spans="1:9" hidden="1" x14ac:dyDescent="0.25">
      <c r="A120" s="365">
        <v>101</v>
      </c>
      <c r="B120" s="366">
        <f t="shared" ca="1" si="1"/>
        <v>45660</v>
      </c>
      <c r="C120" s="367">
        <f ca="1">INDEX(T_Merger!__Saldo_Inicial,_AmortizacionesTablaCliente)</f>
        <v>7.2759576141834259E-12</v>
      </c>
      <c r="D120" s="367">
        <f ca="1">INDEX(T_Merger!__Capital,_AmortizacionesTablaCliente)</f>
        <v>0</v>
      </c>
      <c r="E120" s="522">
        <f ca="1">INDEX(T_Merger!__Interes,_AmortizacionesTablaCliente)</f>
        <v>7.8216544352471822E-14</v>
      </c>
      <c r="F120" s="367">
        <f ca="1">INDEX(T_Merger!__IVA,_AmortizacionesTablaCliente)</f>
        <v>9.3859853222966188E-15</v>
      </c>
      <c r="G120" s="367">
        <f ca="1">INDEX(T_Merger!__Pago,_AmortizacionesTablaCliente)</f>
        <v>8.7602529674768438E-14</v>
      </c>
      <c r="H120" s="494">
        <v>0</v>
      </c>
      <c r="I120" s="368">
        <f ca="1">INDEX(T_Merger!__Saldo_Final,_AmortizacionesTablaCliente)</f>
        <v>7.2759576141834259E-12</v>
      </c>
    </row>
    <row r="121" spans="1:9" hidden="1" x14ac:dyDescent="0.25">
      <c r="A121" s="365">
        <v>102</v>
      </c>
      <c r="B121" s="366">
        <f t="shared" ca="1" si="1"/>
        <v>45691</v>
      </c>
      <c r="C121" s="367">
        <f ca="1">INDEX(T_Merger!__Saldo_Inicial,_AmortizacionesTablaCliente)</f>
        <v>7.2759576141834259E-12</v>
      </c>
      <c r="D121" s="367">
        <f ca="1">INDEX(T_Merger!__Capital,_AmortizacionesTablaCliente)</f>
        <v>0</v>
      </c>
      <c r="E121" s="522">
        <f ca="1">INDEX(T_Merger!__Interes,_AmortizacionesTablaCliente)</f>
        <v>7.8216544352471822E-14</v>
      </c>
      <c r="F121" s="367">
        <f ca="1">INDEX(T_Merger!__IVA,_AmortizacionesTablaCliente)</f>
        <v>9.3859853222966188E-15</v>
      </c>
      <c r="G121" s="367">
        <f ca="1">INDEX(T_Merger!__Pago,_AmortizacionesTablaCliente)</f>
        <v>8.7602529674768438E-14</v>
      </c>
      <c r="H121" s="494">
        <v>0</v>
      </c>
      <c r="I121" s="368">
        <f ca="1">INDEX(T_Merger!__Saldo_Final,_AmortizacionesTablaCliente)</f>
        <v>7.2759576141834259E-12</v>
      </c>
    </row>
    <row r="122" spans="1:9" hidden="1" x14ac:dyDescent="0.25">
      <c r="A122" s="365">
        <v>103</v>
      </c>
      <c r="B122" s="366">
        <f t="shared" ca="1" si="1"/>
        <v>45719</v>
      </c>
      <c r="C122" s="367">
        <f ca="1">INDEX(T_Merger!__Saldo_Inicial,_AmortizacionesTablaCliente)</f>
        <v>7.2759576141834259E-12</v>
      </c>
      <c r="D122" s="367">
        <f ca="1">INDEX(T_Merger!__Capital,_AmortizacionesTablaCliente)</f>
        <v>0</v>
      </c>
      <c r="E122" s="522">
        <f ca="1">INDEX(T_Merger!__Interes,_AmortizacionesTablaCliente)</f>
        <v>7.8216544352471822E-14</v>
      </c>
      <c r="F122" s="367">
        <f ca="1">INDEX(T_Merger!__IVA,_AmortizacionesTablaCliente)</f>
        <v>9.3859853222966188E-15</v>
      </c>
      <c r="G122" s="367">
        <f ca="1">INDEX(T_Merger!__Pago,_AmortizacionesTablaCliente)</f>
        <v>8.7602529674768438E-14</v>
      </c>
      <c r="H122" s="494">
        <v>0</v>
      </c>
      <c r="I122" s="368">
        <f ca="1">INDEX(T_Merger!__Saldo_Final,_AmortizacionesTablaCliente)</f>
        <v>7.2759576141834259E-12</v>
      </c>
    </row>
    <row r="123" spans="1:9" hidden="1" x14ac:dyDescent="0.25">
      <c r="A123" s="365">
        <v>104</v>
      </c>
      <c r="B123" s="366">
        <f t="shared" ca="1" si="1"/>
        <v>45750</v>
      </c>
      <c r="C123" s="367">
        <f ca="1">INDEX(T_Merger!__Saldo_Inicial,_AmortizacionesTablaCliente)</f>
        <v>7.2759576141834259E-12</v>
      </c>
      <c r="D123" s="367">
        <f ca="1">INDEX(T_Merger!__Capital,_AmortizacionesTablaCliente)</f>
        <v>0</v>
      </c>
      <c r="E123" s="522">
        <f ca="1">INDEX(T_Merger!__Interes,_AmortizacionesTablaCliente)</f>
        <v>7.8216544352471822E-14</v>
      </c>
      <c r="F123" s="367">
        <f ca="1">INDEX(T_Merger!__IVA,_AmortizacionesTablaCliente)</f>
        <v>9.3859853222966188E-15</v>
      </c>
      <c r="G123" s="367">
        <f ca="1">INDEX(T_Merger!__Pago,_AmortizacionesTablaCliente)</f>
        <v>8.7602529674768438E-14</v>
      </c>
      <c r="H123" s="494">
        <v>0</v>
      </c>
      <c r="I123" s="368">
        <f ca="1">INDEX(T_Merger!__Saldo_Final,_AmortizacionesTablaCliente)</f>
        <v>7.2759576141834259E-12</v>
      </c>
    </row>
    <row r="124" spans="1:9" hidden="1" x14ac:dyDescent="0.25">
      <c r="A124" s="365">
        <v>105</v>
      </c>
      <c r="B124" s="366">
        <f t="shared" ca="1" si="1"/>
        <v>45780</v>
      </c>
      <c r="C124" s="367">
        <f ca="1">INDEX(T_Merger!__Saldo_Inicial,_AmortizacionesTablaCliente)</f>
        <v>7.2759576141834259E-12</v>
      </c>
      <c r="D124" s="367">
        <f ca="1">INDEX(T_Merger!__Capital,_AmortizacionesTablaCliente)</f>
        <v>0</v>
      </c>
      <c r="E124" s="522">
        <f ca="1">INDEX(T_Merger!__Interes,_AmortizacionesTablaCliente)</f>
        <v>7.8216544352471822E-14</v>
      </c>
      <c r="F124" s="367">
        <f ca="1">INDEX(T_Merger!__IVA,_AmortizacionesTablaCliente)</f>
        <v>9.3859853222966188E-15</v>
      </c>
      <c r="G124" s="367">
        <f ca="1">INDEX(T_Merger!__Pago,_AmortizacionesTablaCliente)</f>
        <v>8.7602529674768438E-14</v>
      </c>
      <c r="H124" s="494">
        <v>0</v>
      </c>
      <c r="I124" s="368">
        <f ca="1">INDEX(T_Merger!__Saldo_Final,_AmortizacionesTablaCliente)</f>
        <v>7.2759576141834259E-12</v>
      </c>
    </row>
    <row r="125" spans="1:9" hidden="1" x14ac:dyDescent="0.25">
      <c r="A125" s="365">
        <v>106</v>
      </c>
      <c r="B125" s="366">
        <f t="shared" ca="1" si="1"/>
        <v>45811</v>
      </c>
      <c r="C125" s="367">
        <f ca="1">INDEX(T_Merger!__Saldo_Inicial,_AmortizacionesTablaCliente)</f>
        <v>7.2759576141834259E-12</v>
      </c>
      <c r="D125" s="367">
        <f ca="1">INDEX(T_Merger!__Capital,_AmortizacionesTablaCliente)</f>
        <v>0</v>
      </c>
      <c r="E125" s="522">
        <f ca="1">INDEX(T_Merger!__Interes,_AmortizacionesTablaCliente)</f>
        <v>7.8216544352471822E-14</v>
      </c>
      <c r="F125" s="367">
        <f ca="1">INDEX(T_Merger!__IVA,_AmortizacionesTablaCliente)</f>
        <v>9.3859853222966188E-15</v>
      </c>
      <c r="G125" s="367">
        <f ca="1">INDEX(T_Merger!__Pago,_AmortizacionesTablaCliente)</f>
        <v>8.7602529674768438E-14</v>
      </c>
      <c r="H125" s="494">
        <v>0</v>
      </c>
      <c r="I125" s="368">
        <f ca="1">INDEX(T_Merger!__Saldo_Final,_AmortizacionesTablaCliente)</f>
        <v>7.2759576141834259E-12</v>
      </c>
    </row>
    <row r="126" spans="1:9" hidden="1" x14ac:dyDescent="0.25">
      <c r="A126" s="365">
        <v>107</v>
      </c>
      <c r="B126" s="366">
        <f t="shared" ca="1" si="1"/>
        <v>45841</v>
      </c>
      <c r="C126" s="367">
        <f ca="1">INDEX(T_Merger!__Saldo_Inicial,_AmortizacionesTablaCliente)</f>
        <v>7.2759576141834259E-12</v>
      </c>
      <c r="D126" s="367">
        <f ca="1">INDEX(T_Merger!__Capital,_AmortizacionesTablaCliente)</f>
        <v>0</v>
      </c>
      <c r="E126" s="522">
        <f ca="1">INDEX(T_Merger!__Interes,_AmortizacionesTablaCliente)</f>
        <v>7.8216544352471822E-14</v>
      </c>
      <c r="F126" s="367">
        <f ca="1">INDEX(T_Merger!__IVA,_AmortizacionesTablaCliente)</f>
        <v>9.3859853222966188E-15</v>
      </c>
      <c r="G126" s="367">
        <f ca="1">INDEX(T_Merger!__Pago,_AmortizacionesTablaCliente)</f>
        <v>8.7602529674768438E-14</v>
      </c>
      <c r="H126" s="494">
        <v>0</v>
      </c>
      <c r="I126" s="368">
        <f ca="1">INDEX(T_Merger!__Saldo_Final,_AmortizacionesTablaCliente)</f>
        <v>7.2759576141834259E-12</v>
      </c>
    </row>
    <row r="127" spans="1:9" hidden="1" x14ac:dyDescent="0.25">
      <c r="A127" s="365">
        <v>108</v>
      </c>
      <c r="B127" s="366">
        <f t="shared" ca="1" si="1"/>
        <v>45872</v>
      </c>
      <c r="C127" s="367">
        <f ca="1">INDEX(T_Merger!__Saldo_Inicial,_AmortizacionesTablaCliente)</f>
        <v>7.2759576141834259E-12</v>
      </c>
      <c r="D127" s="367">
        <f ca="1">INDEX(T_Merger!__Capital,_AmortizacionesTablaCliente)</f>
        <v>0</v>
      </c>
      <c r="E127" s="522">
        <f ca="1">INDEX(T_Merger!__Interes,_AmortizacionesTablaCliente)</f>
        <v>7.8216544352471822E-14</v>
      </c>
      <c r="F127" s="367">
        <f ca="1">INDEX(T_Merger!__IVA,_AmortizacionesTablaCliente)</f>
        <v>9.3859853222966188E-15</v>
      </c>
      <c r="G127" s="367">
        <f ca="1">INDEX(T_Merger!__Pago,_AmortizacionesTablaCliente)</f>
        <v>8.7602529674768438E-14</v>
      </c>
      <c r="H127" s="494">
        <v>0</v>
      </c>
      <c r="I127" s="368">
        <f ca="1">INDEX(T_Merger!__Saldo_Final,_AmortizacionesTablaCliente)</f>
        <v>7.2759576141834259E-12</v>
      </c>
    </row>
    <row r="128" spans="1:9" hidden="1" x14ac:dyDescent="0.25">
      <c r="A128" s="365">
        <v>109</v>
      </c>
      <c r="B128" s="366">
        <f t="shared" ca="1" si="1"/>
        <v>45903</v>
      </c>
      <c r="C128" s="367">
        <f ca="1">INDEX(T_Merger!__Saldo_Inicial,_AmortizacionesTablaCliente)</f>
        <v>7.2759576141834259E-12</v>
      </c>
      <c r="D128" s="367">
        <f ca="1">INDEX(T_Merger!__Capital,_AmortizacionesTablaCliente)</f>
        <v>0</v>
      </c>
      <c r="E128" s="522">
        <f ca="1">INDEX(T_Merger!__Interes,_AmortizacionesTablaCliente)</f>
        <v>7.8216544352471822E-14</v>
      </c>
      <c r="F128" s="367">
        <f ca="1">INDEX(T_Merger!__IVA,_AmortizacionesTablaCliente)</f>
        <v>9.3859853222966188E-15</v>
      </c>
      <c r="G128" s="367">
        <f ca="1">INDEX(T_Merger!__Pago,_AmortizacionesTablaCliente)</f>
        <v>8.7602529674768438E-14</v>
      </c>
      <c r="H128" s="494">
        <v>0</v>
      </c>
      <c r="I128" s="368">
        <f ca="1">INDEX(T_Merger!__Saldo_Final,_AmortizacionesTablaCliente)</f>
        <v>7.2759576141834259E-12</v>
      </c>
    </row>
    <row r="129" spans="1:9" hidden="1" x14ac:dyDescent="0.25">
      <c r="A129" s="365">
        <v>110</v>
      </c>
      <c r="B129" s="366">
        <f t="shared" ca="1" si="1"/>
        <v>45933</v>
      </c>
      <c r="C129" s="367">
        <f ca="1">INDEX(T_Merger!__Saldo_Inicial,_AmortizacionesTablaCliente)</f>
        <v>7.2759576141834259E-12</v>
      </c>
      <c r="D129" s="367">
        <f ca="1">INDEX(T_Merger!__Capital,_AmortizacionesTablaCliente)</f>
        <v>0</v>
      </c>
      <c r="E129" s="522">
        <f ca="1">INDEX(T_Merger!__Interes,_AmortizacionesTablaCliente)</f>
        <v>7.8216544352471822E-14</v>
      </c>
      <c r="F129" s="367">
        <f ca="1">INDEX(T_Merger!__IVA,_AmortizacionesTablaCliente)</f>
        <v>9.3859853222966188E-15</v>
      </c>
      <c r="G129" s="367">
        <f ca="1">INDEX(T_Merger!__Pago,_AmortizacionesTablaCliente)</f>
        <v>8.7602529674768438E-14</v>
      </c>
      <c r="H129" s="494">
        <v>0</v>
      </c>
      <c r="I129" s="368">
        <f ca="1">INDEX(T_Merger!__Saldo_Final,_AmortizacionesTablaCliente)</f>
        <v>7.2759576141834259E-12</v>
      </c>
    </row>
    <row r="130" spans="1:9" hidden="1" x14ac:dyDescent="0.25">
      <c r="A130" s="365">
        <v>111</v>
      </c>
      <c r="B130" s="366">
        <f t="shared" ca="1" si="1"/>
        <v>45964</v>
      </c>
      <c r="C130" s="367">
        <f ca="1">INDEX(T_Merger!__Saldo_Inicial,_AmortizacionesTablaCliente)</f>
        <v>7.2759576141834259E-12</v>
      </c>
      <c r="D130" s="367">
        <f ca="1">INDEX(T_Merger!__Capital,_AmortizacionesTablaCliente)</f>
        <v>0</v>
      </c>
      <c r="E130" s="522">
        <f ca="1">INDEX(T_Merger!__Interes,_AmortizacionesTablaCliente)</f>
        <v>7.8216544352471822E-14</v>
      </c>
      <c r="F130" s="367">
        <f ca="1">INDEX(T_Merger!__IVA,_AmortizacionesTablaCliente)</f>
        <v>9.3859853222966188E-15</v>
      </c>
      <c r="G130" s="367">
        <f ca="1">INDEX(T_Merger!__Pago,_AmortizacionesTablaCliente)</f>
        <v>8.7602529674768438E-14</v>
      </c>
      <c r="H130" s="494">
        <v>0</v>
      </c>
      <c r="I130" s="368">
        <f ca="1">INDEX(T_Merger!__Saldo_Final,_AmortizacionesTablaCliente)</f>
        <v>7.2759576141834259E-12</v>
      </c>
    </row>
    <row r="131" spans="1:9" hidden="1" x14ac:dyDescent="0.25">
      <c r="A131" s="365">
        <v>112</v>
      </c>
      <c r="B131" s="366">
        <f t="shared" ca="1" si="1"/>
        <v>45994</v>
      </c>
      <c r="C131" s="367">
        <f ca="1">INDEX(T_Merger!__Saldo_Inicial,_AmortizacionesTablaCliente)</f>
        <v>7.2759576141834259E-12</v>
      </c>
      <c r="D131" s="367">
        <f ca="1">INDEX(T_Merger!__Capital,_AmortizacionesTablaCliente)</f>
        <v>0</v>
      </c>
      <c r="E131" s="522">
        <f ca="1">INDEX(T_Merger!__Interes,_AmortizacionesTablaCliente)</f>
        <v>7.8216544352471822E-14</v>
      </c>
      <c r="F131" s="367">
        <f ca="1">INDEX(T_Merger!__IVA,_AmortizacionesTablaCliente)</f>
        <v>9.3859853222966188E-15</v>
      </c>
      <c r="G131" s="367">
        <f ca="1">INDEX(T_Merger!__Pago,_AmortizacionesTablaCliente)</f>
        <v>8.7602529674768438E-14</v>
      </c>
      <c r="H131" s="494">
        <v>0</v>
      </c>
      <c r="I131" s="368">
        <f ca="1">INDEX(T_Merger!__Saldo_Final,_AmortizacionesTablaCliente)</f>
        <v>7.2759576141834259E-12</v>
      </c>
    </row>
    <row r="132" spans="1:9" hidden="1" x14ac:dyDescent="0.25">
      <c r="A132" s="365">
        <v>113</v>
      </c>
      <c r="B132" s="366">
        <f t="shared" ca="1" si="1"/>
        <v>46025</v>
      </c>
      <c r="C132" s="367">
        <f ca="1">INDEX(T_Merger!__Saldo_Inicial,_AmortizacionesTablaCliente)</f>
        <v>7.2759576141834259E-12</v>
      </c>
      <c r="D132" s="367">
        <f ca="1">INDEX(T_Merger!__Capital,_AmortizacionesTablaCliente)</f>
        <v>0</v>
      </c>
      <c r="E132" s="522">
        <f ca="1">INDEX(T_Merger!__Interes,_AmortizacionesTablaCliente)</f>
        <v>7.8216544352471822E-14</v>
      </c>
      <c r="F132" s="367">
        <f ca="1">INDEX(T_Merger!__IVA,_AmortizacionesTablaCliente)</f>
        <v>9.3859853222966188E-15</v>
      </c>
      <c r="G132" s="367">
        <f ca="1">INDEX(T_Merger!__Pago,_AmortizacionesTablaCliente)</f>
        <v>8.7602529674768438E-14</v>
      </c>
      <c r="H132" s="494">
        <v>0</v>
      </c>
      <c r="I132" s="368">
        <f ca="1">INDEX(T_Merger!__Saldo_Final,_AmortizacionesTablaCliente)</f>
        <v>7.2759576141834259E-12</v>
      </c>
    </row>
    <row r="133" spans="1:9" hidden="1" x14ac:dyDescent="0.25">
      <c r="A133" s="365">
        <v>114</v>
      </c>
      <c r="B133" s="366">
        <f t="shared" ca="1" si="1"/>
        <v>46056</v>
      </c>
      <c r="C133" s="367">
        <f ca="1">INDEX(T_Merger!__Saldo_Inicial,_AmortizacionesTablaCliente)</f>
        <v>7.2759576141834259E-12</v>
      </c>
      <c r="D133" s="367">
        <f ca="1">INDEX(T_Merger!__Capital,_AmortizacionesTablaCliente)</f>
        <v>0</v>
      </c>
      <c r="E133" s="522">
        <f ca="1">INDEX(T_Merger!__Interes,_AmortizacionesTablaCliente)</f>
        <v>7.8216544352471822E-14</v>
      </c>
      <c r="F133" s="367">
        <f ca="1">INDEX(T_Merger!__IVA,_AmortizacionesTablaCliente)</f>
        <v>9.3859853222966188E-15</v>
      </c>
      <c r="G133" s="367">
        <f ca="1">INDEX(T_Merger!__Pago,_AmortizacionesTablaCliente)</f>
        <v>8.7602529674768438E-14</v>
      </c>
      <c r="H133" s="494">
        <v>0</v>
      </c>
      <c r="I133" s="368">
        <f ca="1">INDEX(T_Merger!__Saldo_Final,_AmortizacionesTablaCliente)</f>
        <v>7.2759576141834259E-12</v>
      </c>
    </row>
    <row r="134" spans="1:9" hidden="1" x14ac:dyDescent="0.25">
      <c r="A134" s="365">
        <v>115</v>
      </c>
      <c r="B134" s="366">
        <f t="shared" ca="1" si="1"/>
        <v>46084</v>
      </c>
      <c r="C134" s="367">
        <f ca="1">INDEX(T_Merger!__Saldo_Inicial,_AmortizacionesTablaCliente)</f>
        <v>7.2759576141834259E-12</v>
      </c>
      <c r="D134" s="367">
        <f ca="1">INDEX(T_Merger!__Capital,_AmortizacionesTablaCliente)</f>
        <v>0</v>
      </c>
      <c r="E134" s="522">
        <f ca="1">INDEX(T_Merger!__Interes,_AmortizacionesTablaCliente)</f>
        <v>7.8216544352471822E-14</v>
      </c>
      <c r="F134" s="367">
        <f ca="1">INDEX(T_Merger!__IVA,_AmortizacionesTablaCliente)</f>
        <v>9.3859853222966188E-15</v>
      </c>
      <c r="G134" s="367">
        <f ca="1">INDEX(T_Merger!__Pago,_AmortizacionesTablaCliente)</f>
        <v>8.7602529674768438E-14</v>
      </c>
      <c r="H134" s="494">
        <v>0</v>
      </c>
      <c r="I134" s="368">
        <f ca="1">INDEX(T_Merger!__Saldo_Final,_AmortizacionesTablaCliente)</f>
        <v>7.2759576141834259E-12</v>
      </c>
    </row>
    <row r="135" spans="1:9" hidden="1" x14ac:dyDescent="0.25">
      <c r="A135" s="365">
        <v>116</v>
      </c>
      <c r="B135" s="366">
        <f t="shared" ca="1" si="1"/>
        <v>46115</v>
      </c>
      <c r="C135" s="367">
        <f ca="1">INDEX(T_Merger!__Saldo_Inicial,_AmortizacionesTablaCliente)</f>
        <v>7.2759576141834259E-12</v>
      </c>
      <c r="D135" s="367">
        <f ca="1">INDEX(T_Merger!__Capital,_AmortizacionesTablaCliente)</f>
        <v>0</v>
      </c>
      <c r="E135" s="522">
        <f ca="1">INDEX(T_Merger!__Interes,_AmortizacionesTablaCliente)</f>
        <v>7.8216544352471822E-14</v>
      </c>
      <c r="F135" s="367">
        <f ca="1">INDEX(T_Merger!__IVA,_AmortizacionesTablaCliente)</f>
        <v>9.3859853222966188E-15</v>
      </c>
      <c r="G135" s="367">
        <f ca="1">INDEX(T_Merger!__Pago,_AmortizacionesTablaCliente)</f>
        <v>8.7602529674768438E-14</v>
      </c>
      <c r="H135" s="494">
        <v>0</v>
      </c>
      <c r="I135" s="368">
        <f ca="1">INDEX(T_Merger!__Saldo_Final,_AmortizacionesTablaCliente)</f>
        <v>7.2759576141834259E-12</v>
      </c>
    </row>
    <row r="136" spans="1:9" hidden="1" x14ac:dyDescent="0.25">
      <c r="A136" s="365">
        <v>117</v>
      </c>
      <c r="B136" s="366">
        <f t="shared" ca="1" si="1"/>
        <v>46145</v>
      </c>
      <c r="C136" s="367">
        <f ca="1">INDEX(T_Merger!__Saldo_Inicial,_AmortizacionesTablaCliente)</f>
        <v>7.2759576141834259E-12</v>
      </c>
      <c r="D136" s="367">
        <f ca="1">INDEX(T_Merger!__Capital,_AmortizacionesTablaCliente)</f>
        <v>0</v>
      </c>
      <c r="E136" s="522">
        <f ca="1">INDEX(T_Merger!__Interes,_AmortizacionesTablaCliente)</f>
        <v>7.8216544352471822E-14</v>
      </c>
      <c r="F136" s="367">
        <f ca="1">INDEX(T_Merger!__IVA,_AmortizacionesTablaCliente)</f>
        <v>9.3859853222966188E-15</v>
      </c>
      <c r="G136" s="367">
        <f ca="1">INDEX(T_Merger!__Pago,_AmortizacionesTablaCliente)</f>
        <v>8.7602529674768438E-14</v>
      </c>
      <c r="H136" s="494">
        <v>0</v>
      </c>
      <c r="I136" s="368">
        <f ca="1">INDEX(T_Merger!__Saldo_Final,_AmortizacionesTablaCliente)</f>
        <v>7.2759576141834259E-12</v>
      </c>
    </row>
    <row r="137" spans="1:9" hidden="1" x14ac:dyDescent="0.25">
      <c r="A137" s="365">
        <v>118</v>
      </c>
      <c r="B137" s="366">
        <f t="shared" ca="1" si="1"/>
        <v>46176</v>
      </c>
      <c r="C137" s="367">
        <f ca="1">INDEX(T_Merger!__Saldo_Inicial,_AmortizacionesTablaCliente)</f>
        <v>7.2759576141834259E-12</v>
      </c>
      <c r="D137" s="367">
        <f ca="1">INDEX(T_Merger!__Capital,_AmortizacionesTablaCliente)</f>
        <v>0</v>
      </c>
      <c r="E137" s="522">
        <f ca="1">INDEX(T_Merger!__Interes,_AmortizacionesTablaCliente)</f>
        <v>7.8216544352471822E-14</v>
      </c>
      <c r="F137" s="367">
        <f ca="1">INDEX(T_Merger!__IVA,_AmortizacionesTablaCliente)</f>
        <v>9.3859853222966188E-15</v>
      </c>
      <c r="G137" s="367">
        <f ca="1">INDEX(T_Merger!__Pago,_AmortizacionesTablaCliente)</f>
        <v>8.7602529674768438E-14</v>
      </c>
      <c r="H137" s="494">
        <v>0</v>
      </c>
      <c r="I137" s="368">
        <f ca="1">INDEX(T_Merger!__Saldo_Final,_AmortizacionesTablaCliente)</f>
        <v>7.2759576141834259E-12</v>
      </c>
    </row>
    <row r="138" spans="1:9" hidden="1" x14ac:dyDescent="0.25">
      <c r="A138" s="365">
        <v>119</v>
      </c>
      <c r="B138" s="366">
        <f t="shared" ca="1" si="1"/>
        <v>46206</v>
      </c>
      <c r="C138" s="367">
        <f ca="1">INDEX(T_Merger!__Saldo_Inicial,_AmortizacionesTablaCliente)</f>
        <v>7.2759576141834259E-12</v>
      </c>
      <c r="D138" s="367">
        <f ca="1">INDEX(T_Merger!__Capital,_AmortizacionesTablaCliente)</f>
        <v>0</v>
      </c>
      <c r="E138" s="522">
        <f ca="1">INDEX(T_Merger!__Interes,_AmortizacionesTablaCliente)</f>
        <v>7.8216544352471822E-14</v>
      </c>
      <c r="F138" s="367">
        <f ca="1">INDEX(T_Merger!__IVA,_AmortizacionesTablaCliente)</f>
        <v>9.3859853222966188E-15</v>
      </c>
      <c r="G138" s="367">
        <f ca="1">INDEX(T_Merger!__Pago,_AmortizacionesTablaCliente)</f>
        <v>8.7602529674768438E-14</v>
      </c>
      <c r="H138" s="494">
        <v>0</v>
      </c>
      <c r="I138" s="368">
        <f ca="1">INDEX(T_Merger!__Saldo_Final,_AmortizacionesTablaCliente)</f>
        <v>7.2759576141834259E-12</v>
      </c>
    </row>
    <row r="139" spans="1:9" hidden="1" x14ac:dyDescent="0.25">
      <c r="A139" s="365">
        <v>120</v>
      </c>
      <c r="B139" s="366">
        <f t="shared" ca="1" si="1"/>
        <v>46237</v>
      </c>
      <c r="C139" s="367">
        <f ca="1">INDEX(T_Merger!__Saldo_Inicial,_AmortizacionesTablaCliente)</f>
        <v>7.2759576141834259E-12</v>
      </c>
      <c r="D139" s="367">
        <f ca="1">INDEX(T_Merger!__Capital,_AmortizacionesTablaCliente)</f>
        <v>0</v>
      </c>
      <c r="E139" s="522">
        <f ca="1">INDEX(T_Merger!__Interes,_AmortizacionesTablaCliente)</f>
        <v>7.8216544352471822E-14</v>
      </c>
      <c r="F139" s="367">
        <f ca="1">INDEX(T_Merger!__IVA,_AmortizacionesTablaCliente)</f>
        <v>9.3859853222966188E-15</v>
      </c>
      <c r="G139" s="367">
        <f ca="1">INDEX(T_Merger!__Pago,_AmortizacionesTablaCliente)</f>
        <v>8.7602529674768438E-14</v>
      </c>
      <c r="H139" s="494">
        <v>0</v>
      </c>
      <c r="I139" s="368">
        <f ca="1">INDEX(T_Merger!__Saldo_Final,_AmortizacionesTablaCliente)</f>
        <v>7.2759576141834259E-12</v>
      </c>
    </row>
    <row r="140" spans="1:9" hidden="1" x14ac:dyDescent="0.25">
      <c r="A140" s="365">
        <v>121</v>
      </c>
      <c r="B140" s="366">
        <f t="shared" ca="1" si="1"/>
        <v>46268</v>
      </c>
      <c r="C140" s="367">
        <f ca="1">INDEX(T_Merger!__Saldo_Inicial,_AmortizacionesTablaCliente)</f>
        <v>7.2759576141834259E-12</v>
      </c>
      <c r="D140" s="367">
        <f ca="1">INDEX(T_Merger!__Capital,_AmortizacionesTablaCliente)</f>
        <v>0</v>
      </c>
      <c r="E140" s="522">
        <f ca="1">INDEX(T_Merger!__Interes,_AmortizacionesTablaCliente)</f>
        <v>7.8216544352471822E-14</v>
      </c>
      <c r="F140" s="367">
        <f ca="1">INDEX(T_Merger!__IVA,_AmortizacionesTablaCliente)</f>
        <v>9.3859853222966188E-15</v>
      </c>
      <c r="G140" s="367">
        <f ca="1">INDEX(T_Merger!__Pago,_AmortizacionesTablaCliente)</f>
        <v>8.7602529674768438E-14</v>
      </c>
      <c r="H140" s="494">
        <v>0</v>
      </c>
      <c r="I140" s="368">
        <f ca="1">INDEX(T_Merger!__Saldo_Final,_AmortizacionesTablaCliente)</f>
        <v>7.2759576141834259E-12</v>
      </c>
    </row>
    <row r="141" spans="1:9" hidden="1" x14ac:dyDescent="0.25">
      <c r="A141" s="365">
        <v>122</v>
      </c>
      <c r="B141" s="366">
        <f t="shared" ca="1" si="1"/>
        <v>46298</v>
      </c>
      <c r="C141" s="367">
        <f ca="1">INDEX(T_Merger!__Saldo_Inicial,_AmortizacionesTablaCliente)</f>
        <v>7.2759576141834259E-12</v>
      </c>
      <c r="D141" s="367">
        <f ca="1">INDEX(T_Merger!__Capital,_AmortizacionesTablaCliente)</f>
        <v>0</v>
      </c>
      <c r="E141" s="522">
        <f ca="1">INDEX(T_Merger!__Interes,_AmortizacionesTablaCliente)</f>
        <v>7.8216544352471822E-14</v>
      </c>
      <c r="F141" s="367">
        <f ca="1">INDEX(T_Merger!__IVA,_AmortizacionesTablaCliente)</f>
        <v>9.3859853222966188E-15</v>
      </c>
      <c r="G141" s="367">
        <f ca="1">INDEX(T_Merger!__Pago,_AmortizacionesTablaCliente)</f>
        <v>8.7602529674768438E-14</v>
      </c>
      <c r="H141" s="494">
        <v>0</v>
      </c>
      <c r="I141" s="368">
        <f ca="1">INDEX(T_Merger!__Saldo_Final,_AmortizacionesTablaCliente)</f>
        <v>7.2759576141834259E-12</v>
      </c>
    </row>
    <row r="142" spans="1:9" hidden="1" x14ac:dyDescent="0.25">
      <c r="A142" s="365">
        <v>123</v>
      </c>
      <c r="B142" s="366">
        <f t="shared" ca="1" si="1"/>
        <v>46329</v>
      </c>
      <c r="C142" s="367">
        <f ca="1">INDEX(T_Merger!__Saldo_Inicial,_AmortizacionesTablaCliente)</f>
        <v>7.2759576141834259E-12</v>
      </c>
      <c r="D142" s="367">
        <f ca="1">INDEX(T_Merger!__Capital,_AmortizacionesTablaCliente)</f>
        <v>0</v>
      </c>
      <c r="E142" s="522">
        <f ca="1">INDEX(T_Merger!__Interes,_AmortizacionesTablaCliente)</f>
        <v>7.8216544352471822E-14</v>
      </c>
      <c r="F142" s="367">
        <f ca="1">INDEX(T_Merger!__IVA,_AmortizacionesTablaCliente)</f>
        <v>9.3859853222966188E-15</v>
      </c>
      <c r="G142" s="367">
        <f ca="1">INDEX(T_Merger!__Pago,_AmortizacionesTablaCliente)</f>
        <v>8.7602529674768438E-14</v>
      </c>
      <c r="H142" s="494">
        <v>0</v>
      </c>
      <c r="I142" s="368">
        <f ca="1">INDEX(T_Merger!__Saldo_Final,_AmortizacionesTablaCliente)</f>
        <v>7.2759576141834259E-12</v>
      </c>
    </row>
    <row r="143" spans="1:9" hidden="1" x14ac:dyDescent="0.25">
      <c r="A143" s="365">
        <v>124</v>
      </c>
      <c r="B143" s="366">
        <f t="shared" ca="1" si="1"/>
        <v>46359</v>
      </c>
      <c r="C143" s="367">
        <f ca="1">INDEX(T_Merger!__Saldo_Inicial,_AmortizacionesTablaCliente)</f>
        <v>7.2759576141834259E-12</v>
      </c>
      <c r="D143" s="367">
        <f ca="1">INDEX(T_Merger!__Capital,_AmortizacionesTablaCliente)</f>
        <v>0</v>
      </c>
      <c r="E143" s="522">
        <f ca="1">INDEX(T_Merger!__Interes,_AmortizacionesTablaCliente)</f>
        <v>7.8216544352471822E-14</v>
      </c>
      <c r="F143" s="367">
        <f ca="1">INDEX(T_Merger!__IVA,_AmortizacionesTablaCliente)</f>
        <v>9.3859853222966188E-15</v>
      </c>
      <c r="G143" s="367">
        <f ca="1">INDEX(T_Merger!__Pago,_AmortizacionesTablaCliente)</f>
        <v>8.7602529674768438E-14</v>
      </c>
      <c r="H143" s="494">
        <v>0</v>
      </c>
      <c r="I143" s="368">
        <f ca="1">INDEX(T_Merger!__Saldo_Final,_AmortizacionesTablaCliente)</f>
        <v>7.2759576141834259E-12</v>
      </c>
    </row>
    <row r="144" spans="1:9" hidden="1" x14ac:dyDescent="0.25">
      <c r="A144" s="365">
        <v>125</v>
      </c>
      <c r="B144" s="366">
        <f t="shared" ca="1" si="1"/>
        <v>46390</v>
      </c>
      <c r="C144" s="367">
        <f ca="1">INDEX(T_Merger!__Saldo_Inicial,_AmortizacionesTablaCliente)</f>
        <v>7.2759576141834259E-12</v>
      </c>
      <c r="D144" s="367">
        <f ca="1">INDEX(T_Merger!__Capital,_AmortizacionesTablaCliente)</f>
        <v>0</v>
      </c>
      <c r="E144" s="522">
        <f ca="1">INDEX(T_Merger!__Interes,_AmortizacionesTablaCliente)</f>
        <v>7.8216544352471822E-14</v>
      </c>
      <c r="F144" s="367">
        <f ca="1">INDEX(T_Merger!__IVA,_AmortizacionesTablaCliente)</f>
        <v>9.3859853222966188E-15</v>
      </c>
      <c r="G144" s="367">
        <f ca="1">INDEX(T_Merger!__Pago,_AmortizacionesTablaCliente)</f>
        <v>8.7602529674768438E-14</v>
      </c>
      <c r="H144" s="494">
        <v>0</v>
      </c>
      <c r="I144" s="368">
        <f ca="1">INDEX(T_Merger!__Saldo_Final,_AmortizacionesTablaCliente)</f>
        <v>7.2759576141834259E-12</v>
      </c>
    </row>
    <row r="145" spans="1:9" hidden="1" x14ac:dyDescent="0.25">
      <c r="A145" s="365">
        <v>126</v>
      </c>
      <c r="B145" s="366">
        <f t="shared" ca="1" si="1"/>
        <v>46421</v>
      </c>
      <c r="C145" s="367">
        <f ca="1">INDEX(T_Merger!__Saldo_Inicial,_AmortizacionesTablaCliente)</f>
        <v>7.2759576141834259E-12</v>
      </c>
      <c r="D145" s="367">
        <f ca="1">INDEX(T_Merger!__Capital,_AmortizacionesTablaCliente)</f>
        <v>0</v>
      </c>
      <c r="E145" s="522">
        <f ca="1">INDEX(T_Merger!__Interes,_AmortizacionesTablaCliente)</f>
        <v>7.8216544352471822E-14</v>
      </c>
      <c r="F145" s="367">
        <f ca="1">INDEX(T_Merger!__IVA,_AmortizacionesTablaCliente)</f>
        <v>9.3859853222966188E-15</v>
      </c>
      <c r="G145" s="367">
        <f ca="1">INDEX(T_Merger!__Pago,_AmortizacionesTablaCliente)</f>
        <v>8.7602529674768438E-14</v>
      </c>
      <c r="H145" s="494">
        <v>0</v>
      </c>
      <c r="I145" s="368">
        <f ca="1">INDEX(T_Merger!__Saldo_Final,_AmortizacionesTablaCliente)</f>
        <v>7.2759576141834259E-12</v>
      </c>
    </row>
    <row r="146" spans="1:9" hidden="1" x14ac:dyDescent="0.25">
      <c r="A146" s="365">
        <v>127</v>
      </c>
      <c r="B146" s="366">
        <f t="shared" ca="1" si="1"/>
        <v>46449</v>
      </c>
      <c r="C146" s="367">
        <f ca="1">INDEX(T_Merger!__Saldo_Inicial,_AmortizacionesTablaCliente)</f>
        <v>7.2759576141834259E-12</v>
      </c>
      <c r="D146" s="367">
        <f ca="1">INDEX(T_Merger!__Capital,_AmortizacionesTablaCliente)</f>
        <v>0</v>
      </c>
      <c r="E146" s="522">
        <f ca="1">INDEX(T_Merger!__Interes,_AmortizacionesTablaCliente)</f>
        <v>7.8216544352471822E-14</v>
      </c>
      <c r="F146" s="367">
        <f ca="1">INDEX(T_Merger!__IVA,_AmortizacionesTablaCliente)</f>
        <v>9.3859853222966188E-15</v>
      </c>
      <c r="G146" s="367">
        <f ca="1">INDEX(T_Merger!__Pago,_AmortizacionesTablaCliente)</f>
        <v>8.7602529674768438E-14</v>
      </c>
      <c r="H146" s="494">
        <v>0</v>
      </c>
      <c r="I146" s="368">
        <f ca="1">INDEX(T_Merger!__Saldo_Final,_AmortizacionesTablaCliente)</f>
        <v>7.2759576141834259E-12</v>
      </c>
    </row>
    <row r="147" spans="1:9" hidden="1" x14ac:dyDescent="0.25">
      <c r="A147" s="365">
        <v>128</v>
      </c>
      <c r="B147" s="366">
        <f t="shared" ca="1" si="1"/>
        <v>46480</v>
      </c>
      <c r="C147" s="367">
        <f ca="1">INDEX(T_Merger!__Saldo_Inicial,_AmortizacionesTablaCliente)</f>
        <v>7.2759576141834259E-12</v>
      </c>
      <c r="D147" s="367">
        <f ca="1">INDEX(T_Merger!__Capital,_AmortizacionesTablaCliente)</f>
        <v>0</v>
      </c>
      <c r="E147" s="522">
        <f ca="1">INDEX(T_Merger!__Interes,_AmortizacionesTablaCliente)</f>
        <v>7.8216544352471822E-14</v>
      </c>
      <c r="F147" s="367">
        <f ca="1">INDEX(T_Merger!__IVA,_AmortizacionesTablaCliente)</f>
        <v>9.3859853222966188E-15</v>
      </c>
      <c r="G147" s="367">
        <f ca="1">INDEX(T_Merger!__Pago,_AmortizacionesTablaCliente)</f>
        <v>8.7602529674768438E-14</v>
      </c>
      <c r="H147" s="494">
        <v>0</v>
      </c>
      <c r="I147" s="368">
        <f ca="1">INDEX(T_Merger!__Saldo_Final,_AmortizacionesTablaCliente)</f>
        <v>7.2759576141834259E-12</v>
      </c>
    </row>
    <row r="148" spans="1:9" hidden="1" x14ac:dyDescent="0.25">
      <c r="A148" s="365">
        <v>129</v>
      </c>
      <c r="B148" s="366">
        <f t="shared" ref="B148:B211" ca="1" si="2">INDEX(Fechas_Pago,_AmortizacionesTablaCliente)</f>
        <v>46510</v>
      </c>
      <c r="C148" s="367">
        <f ca="1">INDEX(T_Merger!__Saldo_Inicial,_AmortizacionesTablaCliente)</f>
        <v>7.2759576141834259E-12</v>
      </c>
      <c r="D148" s="367">
        <f ca="1">INDEX(T_Merger!__Capital,_AmortizacionesTablaCliente)</f>
        <v>0</v>
      </c>
      <c r="E148" s="522">
        <f ca="1">INDEX(T_Merger!__Interes,_AmortizacionesTablaCliente)</f>
        <v>7.8216544352471822E-14</v>
      </c>
      <c r="F148" s="367">
        <f ca="1">INDEX(T_Merger!__IVA,_AmortizacionesTablaCliente)</f>
        <v>9.3859853222966188E-15</v>
      </c>
      <c r="G148" s="367">
        <f ca="1">INDEX(T_Merger!__Pago,_AmortizacionesTablaCliente)</f>
        <v>8.7602529674768438E-14</v>
      </c>
      <c r="H148" s="494">
        <v>0</v>
      </c>
      <c r="I148" s="368">
        <f ca="1">INDEX(T_Merger!__Saldo_Final,_AmortizacionesTablaCliente)</f>
        <v>7.2759576141834259E-12</v>
      </c>
    </row>
    <row r="149" spans="1:9" hidden="1" x14ac:dyDescent="0.25">
      <c r="A149" s="365">
        <v>130</v>
      </c>
      <c r="B149" s="366">
        <f t="shared" ca="1" si="2"/>
        <v>46541</v>
      </c>
      <c r="C149" s="367">
        <f ca="1">INDEX(T_Merger!__Saldo_Inicial,_AmortizacionesTablaCliente)</f>
        <v>7.2759576141834259E-12</v>
      </c>
      <c r="D149" s="367">
        <f ca="1">INDEX(T_Merger!__Capital,_AmortizacionesTablaCliente)</f>
        <v>0</v>
      </c>
      <c r="E149" s="522">
        <f ca="1">INDEX(T_Merger!__Interes,_AmortizacionesTablaCliente)</f>
        <v>7.8216544352471822E-14</v>
      </c>
      <c r="F149" s="367">
        <f ca="1">INDEX(T_Merger!__IVA,_AmortizacionesTablaCliente)</f>
        <v>9.3859853222966188E-15</v>
      </c>
      <c r="G149" s="367">
        <f ca="1">INDEX(T_Merger!__Pago,_AmortizacionesTablaCliente)</f>
        <v>8.7602529674768438E-14</v>
      </c>
      <c r="H149" s="494">
        <v>0</v>
      </c>
      <c r="I149" s="368">
        <f ca="1">INDEX(T_Merger!__Saldo_Final,_AmortizacionesTablaCliente)</f>
        <v>7.2759576141834259E-12</v>
      </c>
    </row>
    <row r="150" spans="1:9" hidden="1" x14ac:dyDescent="0.25">
      <c r="A150" s="365">
        <v>131</v>
      </c>
      <c r="B150" s="366">
        <f t="shared" ca="1" si="2"/>
        <v>46571</v>
      </c>
      <c r="C150" s="367">
        <f ca="1">INDEX(T_Merger!__Saldo_Inicial,_AmortizacionesTablaCliente)</f>
        <v>7.2759576141834259E-12</v>
      </c>
      <c r="D150" s="367">
        <f ca="1">INDEX(T_Merger!__Capital,_AmortizacionesTablaCliente)</f>
        <v>0</v>
      </c>
      <c r="E150" s="522">
        <f ca="1">INDEX(T_Merger!__Interes,_AmortizacionesTablaCliente)</f>
        <v>7.8216544352471822E-14</v>
      </c>
      <c r="F150" s="367">
        <f ca="1">INDEX(T_Merger!__IVA,_AmortizacionesTablaCliente)</f>
        <v>9.3859853222966188E-15</v>
      </c>
      <c r="G150" s="367">
        <f ca="1">INDEX(T_Merger!__Pago,_AmortizacionesTablaCliente)</f>
        <v>8.7602529674768438E-14</v>
      </c>
      <c r="H150" s="494">
        <v>0</v>
      </c>
      <c r="I150" s="368">
        <f ca="1">INDEX(T_Merger!__Saldo_Final,_AmortizacionesTablaCliente)</f>
        <v>7.2759576141834259E-12</v>
      </c>
    </row>
    <row r="151" spans="1:9" hidden="1" x14ac:dyDescent="0.25">
      <c r="A151" s="365">
        <v>132</v>
      </c>
      <c r="B151" s="366">
        <f t="shared" ca="1" si="2"/>
        <v>46602</v>
      </c>
      <c r="C151" s="367">
        <f ca="1">INDEX(T_Merger!__Saldo_Inicial,_AmortizacionesTablaCliente)</f>
        <v>7.2759576141834259E-12</v>
      </c>
      <c r="D151" s="367">
        <f ca="1">INDEX(T_Merger!__Capital,_AmortizacionesTablaCliente)</f>
        <v>0</v>
      </c>
      <c r="E151" s="522">
        <f ca="1">INDEX(T_Merger!__Interes,_AmortizacionesTablaCliente)</f>
        <v>7.8216544352471822E-14</v>
      </c>
      <c r="F151" s="367">
        <f ca="1">INDEX(T_Merger!__IVA,_AmortizacionesTablaCliente)</f>
        <v>9.3859853222966188E-15</v>
      </c>
      <c r="G151" s="367">
        <f ca="1">INDEX(T_Merger!__Pago,_AmortizacionesTablaCliente)</f>
        <v>8.7602529674768438E-14</v>
      </c>
      <c r="H151" s="494">
        <v>0</v>
      </c>
      <c r="I151" s="368">
        <f ca="1">INDEX(T_Merger!__Saldo_Final,_AmortizacionesTablaCliente)</f>
        <v>7.2759576141834259E-12</v>
      </c>
    </row>
    <row r="152" spans="1:9" hidden="1" x14ac:dyDescent="0.25">
      <c r="A152" s="365">
        <v>133</v>
      </c>
      <c r="B152" s="366">
        <f t="shared" ca="1" si="2"/>
        <v>46633</v>
      </c>
      <c r="C152" s="367">
        <f ca="1">INDEX(T_Merger!__Saldo_Inicial,_AmortizacionesTablaCliente)</f>
        <v>7.2759576141834259E-12</v>
      </c>
      <c r="D152" s="367">
        <f ca="1">INDEX(T_Merger!__Capital,_AmortizacionesTablaCliente)</f>
        <v>0</v>
      </c>
      <c r="E152" s="522">
        <f ca="1">INDEX(T_Merger!__Interes,_AmortizacionesTablaCliente)</f>
        <v>7.8216544352471822E-14</v>
      </c>
      <c r="F152" s="367">
        <f ca="1">INDEX(T_Merger!__IVA,_AmortizacionesTablaCliente)</f>
        <v>9.3859853222966188E-15</v>
      </c>
      <c r="G152" s="367">
        <f ca="1">INDEX(T_Merger!__Pago,_AmortizacionesTablaCliente)</f>
        <v>8.7602529674768438E-14</v>
      </c>
      <c r="H152" s="494">
        <v>0</v>
      </c>
      <c r="I152" s="368">
        <f ca="1">INDEX(T_Merger!__Saldo_Final,_AmortizacionesTablaCliente)</f>
        <v>7.2759576141834259E-12</v>
      </c>
    </row>
    <row r="153" spans="1:9" hidden="1" x14ac:dyDescent="0.25">
      <c r="A153" s="365">
        <v>134</v>
      </c>
      <c r="B153" s="366">
        <f t="shared" ca="1" si="2"/>
        <v>46663</v>
      </c>
      <c r="C153" s="367">
        <f ca="1">INDEX(T_Merger!__Saldo_Inicial,_AmortizacionesTablaCliente)</f>
        <v>7.2759576141834259E-12</v>
      </c>
      <c r="D153" s="367">
        <f ca="1">INDEX(T_Merger!__Capital,_AmortizacionesTablaCliente)</f>
        <v>0</v>
      </c>
      <c r="E153" s="522">
        <f ca="1">INDEX(T_Merger!__Interes,_AmortizacionesTablaCliente)</f>
        <v>7.8216544352471822E-14</v>
      </c>
      <c r="F153" s="367">
        <f ca="1">INDEX(T_Merger!__IVA,_AmortizacionesTablaCliente)</f>
        <v>9.3859853222966188E-15</v>
      </c>
      <c r="G153" s="367">
        <f ca="1">INDEX(T_Merger!__Pago,_AmortizacionesTablaCliente)</f>
        <v>8.7602529674768438E-14</v>
      </c>
      <c r="H153" s="494">
        <v>0</v>
      </c>
      <c r="I153" s="368">
        <f ca="1">INDEX(T_Merger!__Saldo_Final,_AmortizacionesTablaCliente)</f>
        <v>7.2759576141834259E-12</v>
      </c>
    </row>
    <row r="154" spans="1:9" hidden="1" x14ac:dyDescent="0.25">
      <c r="A154" s="365">
        <v>135</v>
      </c>
      <c r="B154" s="366">
        <f t="shared" ca="1" si="2"/>
        <v>46694</v>
      </c>
      <c r="C154" s="367">
        <f ca="1">INDEX(T_Merger!__Saldo_Inicial,_AmortizacionesTablaCliente)</f>
        <v>7.2759576141834259E-12</v>
      </c>
      <c r="D154" s="367">
        <f ca="1">INDEX(T_Merger!__Capital,_AmortizacionesTablaCliente)</f>
        <v>0</v>
      </c>
      <c r="E154" s="522">
        <f ca="1">INDEX(T_Merger!__Interes,_AmortizacionesTablaCliente)</f>
        <v>7.8216544352471822E-14</v>
      </c>
      <c r="F154" s="367">
        <f ca="1">INDEX(T_Merger!__IVA,_AmortizacionesTablaCliente)</f>
        <v>9.3859853222966188E-15</v>
      </c>
      <c r="G154" s="367">
        <f ca="1">INDEX(T_Merger!__Pago,_AmortizacionesTablaCliente)</f>
        <v>8.7602529674768438E-14</v>
      </c>
      <c r="H154" s="494">
        <v>0</v>
      </c>
      <c r="I154" s="368">
        <f ca="1">INDEX(T_Merger!__Saldo_Final,_AmortizacionesTablaCliente)</f>
        <v>7.2759576141834259E-12</v>
      </c>
    </row>
    <row r="155" spans="1:9" hidden="1" x14ac:dyDescent="0.25">
      <c r="A155" s="365">
        <v>136</v>
      </c>
      <c r="B155" s="366">
        <f t="shared" ca="1" si="2"/>
        <v>46724</v>
      </c>
      <c r="C155" s="367">
        <f ca="1">INDEX(T_Merger!__Saldo_Inicial,_AmortizacionesTablaCliente)</f>
        <v>7.2759576141834259E-12</v>
      </c>
      <c r="D155" s="367">
        <f ca="1">INDEX(T_Merger!__Capital,_AmortizacionesTablaCliente)</f>
        <v>0</v>
      </c>
      <c r="E155" s="522">
        <f ca="1">INDEX(T_Merger!__Interes,_AmortizacionesTablaCliente)</f>
        <v>7.8216544352471822E-14</v>
      </c>
      <c r="F155" s="367">
        <f ca="1">INDEX(T_Merger!__IVA,_AmortizacionesTablaCliente)</f>
        <v>9.3859853222966188E-15</v>
      </c>
      <c r="G155" s="367">
        <f ca="1">INDEX(T_Merger!__Pago,_AmortizacionesTablaCliente)</f>
        <v>8.7602529674768438E-14</v>
      </c>
      <c r="H155" s="494">
        <v>0</v>
      </c>
      <c r="I155" s="368">
        <f ca="1">INDEX(T_Merger!__Saldo_Final,_AmortizacionesTablaCliente)</f>
        <v>7.2759576141834259E-12</v>
      </c>
    </row>
    <row r="156" spans="1:9" hidden="1" x14ac:dyDescent="0.25">
      <c r="A156" s="365">
        <v>137</v>
      </c>
      <c r="B156" s="366">
        <f t="shared" ca="1" si="2"/>
        <v>46755</v>
      </c>
      <c r="C156" s="367">
        <f ca="1">INDEX(T_Merger!__Saldo_Inicial,_AmortizacionesTablaCliente)</f>
        <v>7.2759576141834259E-12</v>
      </c>
      <c r="D156" s="367">
        <f ca="1">INDEX(T_Merger!__Capital,_AmortizacionesTablaCliente)</f>
        <v>0</v>
      </c>
      <c r="E156" s="522">
        <f ca="1">INDEX(T_Merger!__Interes,_AmortizacionesTablaCliente)</f>
        <v>7.8216544352471822E-14</v>
      </c>
      <c r="F156" s="367">
        <f ca="1">INDEX(T_Merger!__IVA,_AmortizacionesTablaCliente)</f>
        <v>9.3859853222966188E-15</v>
      </c>
      <c r="G156" s="367">
        <f ca="1">INDEX(T_Merger!__Pago,_AmortizacionesTablaCliente)</f>
        <v>8.7602529674768438E-14</v>
      </c>
      <c r="H156" s="494">
        <v>0</v>
      </c>
      <c r="I156" s="368">
        <f ca="1">INDEX(T_Merger!__Saldo_Final,_AmortizacionesTablaCliente)</f>
        <v>7.2759576141834259E-12</v>
      </c>
    </row>
    <row r="157" spans="1:9" hidden="1" x14ac:dyDescent="0.25">
      <c r="A157" s="365">
        <v>138</v>
      </c>
      <c r="B157" s="366">
        <f t="shared" ca="1" si="2"/>
        <v>46786</v>
      </c>
      <c r="C157" s="367">
        <f ca="1">INDEX(T_Merger!__Saldo_Inicial,_AmortizacionesTablaCliente)</f>
        <v>7.2759576141834259E-12</v>
      </c>
      <c r="D157" s="367">
        <f ca="1">INDEX(T_Merger!__Capital,_AmortizacionesTablaCliente)</f>
        <v>0</v>
      </c>
      <c r="E157" s="522">
        <f ca="1">INDEX(T_Merger!__Interes,_AmortizacionesTablaCliente)</f>
        <v>7.8216544352471822E-14</v>
      </c>
      <c r="F157" s="367">
        <f ca="1">INDEX(T_Merger!__IVA,_AmortizacionesTablaCliente)</f>
        <v>9.3859853222966188E-15</v>
      </c>
      <c r="G157" s="367">
        <f ca="1">INDEX(T_Merger!__Pago,_AmortizacionesTablaCliente)</f>
        <v>8.7602529674768438E-14</v>
      </c>
      <c r="H157" s="494">
        <v>0</v>
      </c>
      <c r="I157" s="368">
        <f ca="1">INDEX(T_Merger!__Saldo_Final,_AmortizacionesTablaCliente)</f>
        <v>7.2759576141834259E-12</v>
      </c>
    </row>
    <row r="158" spans="1:9" hidden="1" x14ac:dyDescent="0.25">
      <c r="A158" s="365">
        <v>139</v>
      </c>
      <c r="B158" s="366">
        <f t="shared" ca="1" si="2"/>
        <v>46815</v>
      </c>
      <c r="C158" s="367">
        <f ca="1">INDEX(T_Merger!__Saldo_Inicial,_AmortizacionesTablaCliente)</f>
        <v>7.2759576141834259E-12</v>
      </c>
      <c r="D158" s="367">
        <f ca="1">INDEX(T_Merger!__Capital,_AmortizacionesTablaCliente)</f>
        <v>0</v>
      </c>
      <c r="E158" s="522">
        <f ca="1">INDEX(T_Merger!__Interes,_AmortizacionesTablaCliente)</f>
        <v>7.8216544352471822E-14</v>
      </c>
      <c r="F158" s="367">
        <f ca="1">INDEX(T_Merger!__IVA,_AmortizacionesTablaCliente)</f>
        <v>9.3859853222966188E-15</v>
      </c>
      <c r="G158" s="367">
        <f ca="1">INDEX(T_Merger!__Pago,_AmortizacionesTablaCliente)</f>
        <v>8.7602529674768438E-14</v>
      </c>
      <c r="H158" s="494">
        <v>0</v>
      </c>
      <c r="I158" s="368">
        <f ca="1">INDEX(T_Merger!__Saldo_Final,_AmortizacionesTablaCliente)</f>
        <v>7.2759576141834259E-12</v>
      </c>
    </row>
    <row r="159" spans="1:9" hidden="1" x14ac:dyDescent="0.25">
      <c r="A159" s="365">
        <v>140</v>
      </c>
      <c r="B159" s="366">
        <f t="shared" ca="1" si="2"/>
        <v>46846</v>
      </c>
      <c r="C159" s="367">
        <f ca="1">INDEX(T_Merger!__Saldo_Inicial,_AmortizacionesTablaCliente)</f>
        <v>7.2759576141834259E-12</v>
      </c>
      <c r="D159" s="367">
        <f ca="1">INDEX(T_Merger!__Capital,_AmortizacionesTablaCliente)</f>
        <v>0</v>
      </c>
      <c r="E159" s="522">
        <f ca="1">INDEX(T_Merger!__Interes,_AmortizacionesTablaCliente)</f>
        <v>7.8216544352471822E-14</v>
      </c>
      <c r="F159" s="367">
        <f ca="1">INDEX(T_Merger!__IVA,_AmortizacionesTablaCliente)</f>
        <v>9.3859853222966188E-15</v>
      </c>
      <c r="G159" s="367">
        <f ca="1">INDEX(T_Merger!__Pago,_AmortizacionesTablaCliente)</f>
        <v>8.7602529674768438E-14</v>
      </c>
      <c r="H159" s="494">
        <v>0</v>
      </c>
      <c r="I159" s="368">
        <f ca="1">INDEX(T_Merger!__Saldo_Final,_AmortizacionesTablaCliente)</f>
        <v>7.2759576141834259E-12</v>
      </c>
    </row>
    <row r="160" spans="1:9" hidden="1" x14ac:dyDescent="0.25">
      <c r="A160" s="365">
        <v>141</v>
      </c>
      <c r="B160" s="366">
        <f t="shared" ca="1" si="2"/>
        <v>46876</v>
      </c>
      <c r="C160" s="367">
        <f ca="1">INDEX(T_Merger!__Saldo_Inicial,_AmortizacionesTablaCliente)</f>
        <v>7.2759576141834259E-12</v>
      </c>
      <c r="D160" s="367">
        <f ca="1">INDEX(T_Merger!__Capital,_AmortizacionesTablaCliente)</f>
        <v>0</v>
      </c>
      <c r="E160" s="522">
        <f ca="1">INDEX(T_Merger!__Interes,_AmortizacionesTablaCliente)</f>
        <v>7.8216544352471822E-14</v>
      </c>
      <c r="F160" s="367">
        <f ca="1">INDEX(T_Merger!__IVA,_AmortizacionesTablaCliente)</f>
        <v>9.3859853222966188E-15</v>
      </c>
      <c r="G160" s="367">
        <f ca="1">INDEX(T_Merger!__Pago,_AmortizacionesTablaCliente)</f>
        <v>8.7602529674768438E-14</v>
      </c>
      <c r="H160" s="494">
        <v>0</v>
      </c>
      <c r="I160" s="368">
        <f ca="1">INDEX(T_Merger!__Saldo_Final,_AmortizacionesTablaCliente)</f>
        <v>7.2759576141834259E-12</v>
      </c>
    </row>
    <row r="161" spans="1:9" hidden="1" x14ac:dyDescent="0.25">
      <c r="A161" s="365">
        <v>142</v>
      </c>
      <c r="B161" s="366">
        <f t="shared" ca="1" si="2"/>
        <v>46907</v>
      </c>
      <c r="C161" s="367">
        <f ca="1">INDEX(T_Merger!__Saldo_Inicial,_AmortizacionesTablaCliente)</f>
        <v>7.2759576141834259E-12</v>
      </c>
      <c r="D161" s="367">
        <f ca="1">INDEX(T_Merger!__Capital,_AmortizacionesTablaCliente)</f>
        <v>0</v>
      </c>
      <c r="E161" s="522">
        <f ca="1">INDEX(T_Merger!__Interes,_AmortizacionesTablaCliente)</f>
        <v>7.8216544352471822E-14</v>
      </c>
      <c r="F161" s="367">
        <f ca="1">INDEX(T_Merger!__IVA,_AmortizacionesTablaCliente)</f>
        <v>9.3859853222966188E-15</v>
      </c>
      <c r="G161" s="367">
        <f ca="1">INDEX(T_Merger!__Pago,_AmortizacionesTablaCliente)</f>
        <v>8.7602529674768438E-14</v>
      </c>
      <c r="H161" s="494">
        <v>0</v>
      </c>
      <c r="I161" s="368">
        <f ca="1">INDEX(T_Merger!__Saldo_Final,_AmortizacionesTablaCliente)</f>
        <v>7.2759576141834259E-12</v>
      </c>
    </row>
    <row r="162" spans="1:9" hidden="1" x14ac:dyDescent="0.25">
      <c r="A162" s="365">
        <v>143</v>
      </c>
      <c r="B162" s="366">
        <f t="shared" ca="1" si="2"/>
        <v>46937</v>
      </c>
      <c r="C162" s="367">
        <f ca="1">INDEX(T_Merger!__Saldo_Inicial,_AmortizacionesTablaCliente)</f>
        <v>7.2759576141834259E-12</v>
      </c>
      <c r="D162" s="367">
        <f ca="1">INDEX(T_Merger!__Capital,_AmortizacionesTablaCliente)</f>
        <v>0</v>
      </c>
      <c r="E162" s="522">
        <f ca="1">INDEX(T_Merger!__Interes,_AmortizacionesTablaCliente)</f>
        <v>7.8216544352471822E-14</v>
      </c>
      <c r="F162" s="367">
        <f ca="1">INDEX(T_Merger!__IVA,_AmortizacionesTablaCliente)</f>
        <v>9.3859853222966188E-15</v>
      </c>
      <c r="G162" s="367">
        <f ca="1">INDEX(T_Merger!__Pago,_AmortizacionesTablaCliente)</f>
        <v>8.7602529674768438E-14</v>
      </c>
      <c r="H162" s="494">
        <v>0</v>
      </c>
      <c r="I162" s="368">
        <f ca="1">INDEX(T_Merger!__Saldo_Final,_AmortizacionesTablaCliente)</f>
        <v>7.2759576141834259E-12</v>
      </c>
    </row>
    <row r="163" spans="1:9" hidden="1" x14ac:dyDescent="0.25">
      <c r="A163" s="365">
        <v>144</v>
      </c>
      <c r="B163" s="366">
        <f t="shared" ca="1" si="2"/>
        <v>46968</v>
      </c>
      <c r="C163" s="367">
        <f ca="1">INDEX(T_Merger!__Saldo_Inicial,_AmortizacionesTablaCliente)</f>
        <v>7.2759576141834259E-12</v>
      </c>
      <c r="D163" s="367">
        <f ca="1">INDEX(T_Merger!__Capital,_AmortizacionesTablaCliente)</f>
        <v>0</v>
      </c>
      <c r="E163" s="522">
        <f ca="1">INDEX(T_Merger!__Interes,_AmortizacionesTablaCliente)</f>
        <v>7.8216544352471822E-14</v>
      </c>
      <c r="F163" s="367">
        <f ca="1">INDEX(T_Merger!__IVA,_AmortizacionesTablaCliente)</f>
        <v>9.3859853222966188E-15</v>
      </c>
      <c r="G163" s="367">
        <f ca="1">INDEX(T_Merger!__Pago,_AmortizacionesTablaCliente)</f>
        <v>8.7602529674768438E-14</v>
      </c>
      <c r="H163" s="494">
        <v>0</v>
      </c>
      <c r="I163" s="368">
        <f ca="1">INDEX(T_Merger!__Saldo_Final,_AmortizacionesTablaCliente)</f>
        <v>7.2759576141834259E-12</v>
      </c>
    </row>
    <row r="164" spans="1:9" hidden="1" x14ac:dyDescent="0.25">
      <c r="A164" s="365">
        <v>145</v>
      </c>
      <c r="B164" s="366">
        <f t="shared" ca="1" si="2"/>
        <v>46999</v>
      </c>
      <c r="C164" s="367">
        <f ca="1">INDEX(T_Merger!__Saldo_Inicial,_AmortizacionesTablaCliente)</f>
        <v>7.2759576141834259E-12</v>
      </c>
      <c r="D164" s="367">
        <f ca="1">INDEX(T_Merger!__Capital,_AmortizacionesTablaCliente)</f>
        <v>0</v>
      </c>
      <c r="E164" s="522">
        <f ca="1">INDEX(T_Merger!__Interes,_AmortizacionesTablaCliente)</f>
        <v>7.8216544352471822E-14</v>
      </c>
      <c r="F164" s="367">
        <f ca="1">INDEX(T_Merger!__IVA,_AmortizacionesTablaCliente)</f>
        <v>9.3859853222966188E-15</v>
      </c>
      <c r="G164" s="367">
        <f ca="1">INDEX(T_Merger!__Pago,_AmortizacionesTablaCliente)</f>
        <v>8.7602529674768438E-14</v>
      </c>
      <c r="H164" s="494">
        <v>0</v>
      </c>
      <c r="I164" s="368">
        <f ca="1">INDEX(T_Merger!__Saldo_Final,_AmortizacionesTablaCliente)</f>
        <v>7.2759576141834259E-12</v>
      </c>
    </row>
    <row r="165" spans="1:9" hidden="1" x14ac:dyDescent="0.25">
      <c r="A165" s="365">
        <v>146</v>
      </c>
      <c r="B165" s="366">
        <f t="shared" ca="1" si="2"/>
        <v>47029</v>
      </c>
      <c r="C165" s="367">
        <f ca="1">INDEX(T_Merger!__Saldo_Inicial,_AmortizacionesTablaCliente)</f>
        <v>7.2759576141834259E-12</v>
      </c>
      <c r="D165" s="367">
        <f ca="1">INDEX(T_Merger!__Capital,_AmortizacionesTablaCliente)</f>
        <v>0</v>
      </c>
      <c r="E165" s="522">
        <f ca="1">INDEX(T_Merger!__Interes,_AmortizacionesTablaCliente)</f>
        <v>7.8216544352471822E-14</v>
      </c>
      <c r="F165" s="367">
        <f ca="1">INDEX(T_Merger!__IVA,_AmortizacionesTablaCliente)</f>
        <v>9.3859853222966188E-15</v>
      </c>
      <c r="G165" s="367">
        <f ca="1">INDEX(T_Merger!__Pago,_AmortizacionesTablaCliente)</f>
        <v>8.7602529674768438E-14</v>
      </c>
      <c r="H165" s="494">
        <v>0</v>
      </c>
      <c r="I165" s="368">
        <f ca="1">INDEX(T_Merger!__Saldo_Final,_AmortizacionesTablaCliente)</f>
        <v>7.2759576141834259E-12</v>
      </c>
    </row>
    <row r="166" spans="1:9" hidden="1" x14ac:dyDescent="0.25">
      <c r="A166" s="365">
        <v>147</v>
      </c>
      <c r="B166" s="366">
        <f t="shared" ca="1" si="2"/>
        <v>47060</v>
      </c>
      <c r="C166" s="367">
        <f ca="1">INDEX(T_Merger!__Saldo_Inicial,_AmortizacionesTablaCliente)</f>
        <v>7.2759576141834259E-12</v>
      </c>
      <c r="D166" s="367">
        <f ca="1">INDEX(T_Merger!__Capital,_AmortizacionesTablaCliente)</f>
        <v>0</v>
      </c>
      <c r="E166" s="522">
        <f ca="1">INDEX(T_Merger!__Interes,_AmortizacionesTablaCliente)</f>
        <v>7.8216544352471822E-14</v>
      </c>
      <c r="F166" s="367">
        <f ca="1">INDEX(T_Merger!__IVA,_AmortizacionesTablaCliente)</f>
        <v>9.3859853222966188E-15</v>
      </c>
      <c r="G166" s="367">
        <f ca="1">INDEX(T_Merger!__Pago,_AmortizacionesTablaCliente)</f>
        <v>8.7602529674768438E-14</v>
      </c>
      <c r="H166" s="494">
        <v>0</v>
      </c>
      <c r="I166" s="368">
        <f ca="1">INDEX(T_Merger!__Saldo_Final,_AmortizacionesTablaCliente)</f>
        <v>7.2759576141834259E-12</v>
      </c>
    </row>
    <row r="167" spans="1:9" hidden="1" x14ac:dyDescent="0.25">
      <c r="A167" s="365">
        <v>148</v>
      </c>
      <c r="B167" s="366">
        <f t="shared" ca="1" si="2"/>
        <v>47090</v>
      </c>
      <c r="C167" s="367">
        <f ca="1">INDEX(T_Merger!__Saldo_Inicial,_AmortizacionesTablaCliente)</f>
        <v>7.2759576141834259E-12</v>
      </c>
      <c r="D167" s="367">
        <f ca="1">INDEX(T_Merger!__Capital,_AmortizacionesTablaCliente)</f>
        <v>0</v>
      </c>
      <c r="E167" s="522">
        <f ca="1">INDEX(T_Merger!__Interes,_AmortizacionesTablaCliente)</f>
        <v>7.8216544352471822E-14</v>
      </c>
      <c r="F167" s="367">
        <f ca="1">INDEX(T_Merger!__IVA,_AmortizacionesTablaCliente)</f>
        <v>9.3859853222966188E-15</v>
      </c>
      <c r="G167" s="367">
        <f ca="1">INDEX(T_Merger!__Pago,_AmortizacionesTablaCliente)</f>
        <v>8.7602529674768438E-14</v>
      </c>
      <c r="H167" s="494">
        <v>0</v>
      </c>
      <c r="I167" s="368">
        <f ca="1">INDEX(T_Merger!__Saldo_Final,_AmortizacionesTablaCliente)</f>
        <v>7.2759576141834259E-12</v>
      </c>
    </row>
    <row r="168" spans="1:9" hidden="1" x14ac:dyDescent="0.25">
      <c r="A168" s="365">
        <v>149</v>
      </c>
      <c r="B168" s="366">
        <f t="shared" ca="1" si="2"/>
        <v>47121</v>
      </c>
      <c r="C168" s="367">
        <f ca="1">INDEX(T_Merger!__Saldo_Inicial,_AmortizacionesTablaCliente)</f>
        <v>7.2759576141834259E-12</v>
      </c>
      <c r="D168" s="367">
        <f ca="1">INDEX(T_Merger!__Capital,_AmortizacionesTablaCliente)</f>
        <v>0</v>
      </c>
      <c r="E168" s="522">
        <f ca="1">INDEX(T_Merger!__Interes,_AmortizacionesTablaCliente)</f>
        <v>7.8216544352471822E-14</v>
      </c>
      <c r="F168" s="367">
        <f ca="1">INDEX(T_Merger!__IVA,_AmortizacionesTablaCliente)</f>
        <v>9.3859853222966188E-15</v>
      </c>
      <c r="G168" s="367">
        <f ca="1">INDEX(T_Merger!__Pago,_AmortizacionesTablaCliente)</f>
        <v>8.7602529674768438E-14</v>
      </c>
      <c r="H168" s="494">
        <v>0</v>
      </c>
      <c r="I168" s="368">
        <f ca="1">INDEX(T_Merger!__Saldo_Final,_AmortizacionesTablaCliente)</f>
        <v>7.2759576141834259E-12</v>
      </c>
    </row>
    <row r="169" spans="1:9" hidden="1" x14ac:dyDescent="0.25">
      <c r="A169" s="365">
        <v>150</v>
      </c>
      <c r="B169" s="366">
        <f t="shared" ca="1" si="2"/>
        <v>47152</v>
      </c>
      <c r="C169" s="367">
        <f ca="1">INDEX(T_Merger!__Saldo_Inicial,_AmortizacionesTablaCliente)</f>
        <v>7.2759576141834259E-12</v>
      </c>
      <c r="D169" s="367">
        <f ca="1">INDEX(T_Merger!__Capital,_AmortizacionesTablaCliente)</f>
        <v>0</v>
      </c>
      <c r="E169" s="522">
        <f ca="1">INDEX(T_Merger!__Interes,_AmortizacionesTablaCliente)</f>
        <v>7.8216544352471822E-14</v>
      </c>
      <c r="F169" s="367">
        <f ca="1">INDEX(T_Merger!__IVA,_AmortizacionesTablaCliente)</f>
        <v>9.3859853222966188E-15</v>
      </c>
      <c r="G169" s="367">
        <f ca="1">INDEX(T_Merger!__Pago,_AmortizacionesTablaCliente)</f>
        <v>8.7602529674768438E-14</v>
      </c>
      <c r="H169" s="494">
        <v>0</v>
      </c>
      <c r="I169" s="368">
        <f ca="1">INDEX(T_Merger!__Saldo_Final,_AmortizacionesTablaCliente)</f>
        <v>7.2759576141834259E-12</v>
      </c>
    </row>
    <row r="170" spans="1:9" hidden="1" x14ac:dyDescent="0.25">
      <c r="A170" s="365">
        <v>151</v>
      </c>
      <c r="B170" s="366">
        <f t="shared" ca="1" si="2"/>
        <v>47180</v>
      </c>
      <c r="C170" s="367">
        <f ca="1">INDEX(T_Merger!__Saldo_Inicial,_AmortizacionesTablaCliente)</f>
        <v>7.2759576141834259E-12</v>
      </c>
      <c r="D170" s="367">
        <f ca="1">INDEX(T_Merger!__Capital,_AmortizacionesTablaCliente)</f>
        <v>0</v>
      </c>
      <c r="E170" s="522">
        <f ca="1">INDEX(T_Merger!__Interes,_AmortizacionesTablaCliente)</f>
        <v>7.8216544352471822E-14</v>
      </c>
      <c r="F170" s="367">
        <f ca="1">INDEX(T_Merger!__IVA,_AmortizacionesTablaCliente)</f>
        <v>9.3859853222966188E-15</v>
      </c>
      <c r="G170" s="367">
        <f ca="1">INDEX(T_Merger!__Pago,_AmortizacionesTablaCliente)</f>
        <v>8.7602529674768438E-14</v>
      </c>
      <c r="H170" s="494">
        <v>0</v>
      </c>
      <c r="I170" s="368">
        <f ca="1">INDEX(T_Merger!__Saldo_Final,_AmortizacionesTablaCliente)</f>
        <v>7.2759576141834259E-12</v>
      </c>
    </row>
    <row r="171" spans="1:9" hidden="1" x14ac:dyDescent="0.25">
      <c r="A171" s="365">
        <v>152</v>
      </c>
      <c r="B171" s="366">
        <f t="shared" ca="1" si="2"/>
        <v>47211</v>
      </c>
      <c r="C171" s="367">
        <f ca="1">INDEX(T_Merger!__Saldo_Inicial,_AmortizacionesTablaCliente)</f>
        <v>7.2759576141834259E-12</v>
      </c>
      <c r="D171" s="367">
        <f ca="1">INDEX(T_Merger!__Capital,_AmortizacionesTablaCliente)</f>
        <v>0</v>
      </c>
      <c r="E171" s="522">
        <f ca="1">INDEX(T_Merger!__Interes,_AmortizacionesTablaCliente)</f>
        <v>7.8216544352471822E-14</v>
      </c>
      <c r="F171" s="367">
        <f ca="1">INDEX(T_Merger!__IVA,_AmortizacionesTablaCliente)</f>
        <v>9.3859853222966188E-15</v>
      </c>
      <c r="G171" s="367">
        <f ca="1">INDEX(T_Merger!__Pago,_AmortizacionesTablaCliente)</f>
        <v>8.7602529674768438E-14</v>
      </c>
      <c r="H171" s="494">
        <v>0</v>
      </c>
      <c r="I171" s="368">
        <f ca="1">INDEX(T_Merger!__Saldo_Final,_AmortizacionesTablaCliente)</f>
        <v>7.2759576141834259E-12</v>
      </c>
    </row>
    <row r="172" spans="1:9" hidden="1" x14ac:dyDescent="0.25">
      <c r="A172" s="365">
        <v>153</v>
      </c>
      <c r="B172" s="366">
        <f t="shared" ca="1" si="2"/>
        <v>47241</v>
      </c>
      <c r="C172" s="367">
        <f ca="1">INDEX(T_Merger!__Saldo_Inicial,_AmortizacionesTablaCliente)</f>
        <v>7.2759576141834259E-12</v>
      </c>
      <c r="D172" s="367">
        <f ca="1">INDEX(T_Merger!__Capital,_AmortizacionesTablaCliente)</f>
        <v>0</v>
      </c>
      <c r="E172" s="522">
        <f ca="1">INDEX(T_Merger!__Interes,_AmortizacionesTablaCliente)</f>
        <v>7.8216544352471822E-14</v>
      </c>
      <c r="F172" s="367">
        <f ca="1">INDEX(T_Merger!__IVA,_AmortizacionesTablaCliente)</f>
        <v>9.3859853222966188E-15</v>
      </c>
      <c r="G172" s="367">
        <f ca="1">INDEX(T_Merger!__Pago,_AmortizacionesTablaCliente)</f>
        <v>8.7602529674768438E-14</v>
      </c>
      <c r="H172" s="494">
        <v>0</v>
      </c>
      <c r="I172" s="368">
        <f ca="1">INDEX(T_Merger!__Saldo_Final,_AmortizacionesTablaCliente)</f>
        <v>7.2759576141834259E-12</v>
      </c>
    </row>
    <row r="173" spans="1:9" hidden="1" x14ac:dyDescent="0.25">
      <c r="A173" s="365">
        <v>154</v>
      </c>
      <c r="B173" s="366">
        <f t="shared" ca="1" si="2"/>
        <v>47272</v>
      </c>
      <c r="C173" s="367">
        <f ca="1">INDEX(T_Merger!__Saldo_Inicial,_AmortizacionesTablaCliente)</f>
        <v>7.2759576141834259E-12</v>
      </c>
      <c r="D173" s="367">
        <f ca="1">INDEX(T_Merger!__Capital,_AmortizacionesTablaCliente)</f>
        <v>0</v>
      </c>
      <c r="E173" s="522">
        <f ca="1">INDEX(T_Merger!__Interes,_AmortizacionesTablaCliente)</f>
        <v>7.8216544352471822E-14</v>
      </c>
      <c r="F173" s="367">
        <f ca="1">INDEX(T_Merger!__IVA,_AmortizacionesTablaCliente)</f>
        <v>9.3859853222966188E-15</v>
      </c>
      <c r="G173" s="367">
        <f ca="1">INDEX(T_Merger!__Pago,_AmortizacionesTablaCliente)</f>
        <v>8.7602529674768438E-14</v>
      </c>
      <c r="H173" s="494">
        <v>0</v>
      </c>
      <c r="I173" s="368">
        <f ca="1">INDEX(T_Merger!__Saldo_Final,_AmortizacionesTablaCliente)</f>
        <v>7.2759576141834259E-12</v>
      </c>
    </row>
    <row r="174" spans="1:9" hidden="1" x14ac:dyDescent="0.25">
      <c r="A174" s="365">
        <v>155</v>
      </c>
      <c r="B174" s="366">
        <f t="shared" ca="1" si="2"/>
        <v>47302</v>
      </c>
      <c r="C174" s="367">
        <f ca="1">INDEX(T_Merger!__Saldo_Inicial,_AmortizacionesTablaCliente)</f>
        <v>7.2759576141834259E-12</v>
      </c>
      <c r="D174" s="367">
        <f ca="1">INDEX(T_Merger!__Capital,_AmortizacionesTablaCliente)</f>
        <v>0</v>
      </c>
      <c r="E174" s="522">
        <f ca="1">INDEX(T_Merger!__Interes,_AmortizacionesTablaCliente)</f>
        <v>7.8216544352471822E-14</v>
      </c>
      <c r="F174" s="367">
        <f ca="1">INDEX(T_Merger!__IVA,_AmortizacionesTablaCliente)</f>
        <v>9.3859853222966188E-15</v>
      </c>
      <c r="G174" s="367">
        <f ca="1">INDEX(T_Merger!__Pago,_AmortizacionesTablaCliente)</f>
        <v>8.7602529674768438E-14</v>
      </c>
      <c r="H174" s="494">
        <v>0</v>
      </c>
      <c r="I174" s="368">
        <f ca="1">INDEX(T_Merger!__Saldo_Final,_AmortizacionesTablaCliente)</f>
        <v>7.2759576141834259E-12</v>
      </c>
    </row>
    <row r="175" spans="1:9" hidden="1" x14ac:dyDescent="0.25">
      <c r="A175" s="365">
        <v>156</v>
      </c>
      <c r="B175" s="366">
        <f t="shared" ca="1" si="2"/>
        <v>47333</v>
      </c>
      <c r="C175" s="367">
        <f ca="1">INDEX(T_Merger!__Saldo_Inicial,_AmortizacionesTablaCliente)</f>
        <v>7.2759576141834259E-12</v>
      </c>
      <c r="D175" s="367">
        <f ca="1">INDEX(T_Merger!__Capital,_AmortizacionesTablaCliente)</f>
        <v>0</v>
      </c>
      <c r="E175" s="522">
        <f ca="1">INDEX(T_Merger!__Interes,_AmortizacionesTablaCliente)</f>
        <v>7.8216544352471822E-14</v>
      </c>
      <c r="F175" s="367">
        <f ca="1">INDEX(T_Merger!__IVA,_AmortizacionesTablaCliente)</f>
        <v>9.3859853222966188E-15</v>
      </c>
      <c r="G175" s="367">
        <f ca="1">INDEX(T_Merger!__Pago,_AmortizacionesTablaCliente)</f>
        <v>8.7602529674768438E-14</v>
      </c>
      <c r="H175" s="494">
        <v>0</v>
      </c>
      <c r="I175" s="368">
        <f ca="1">INDEX(T_Merger!__Saldo_Final,_AmortizacionesTablaCliente)</f>
        <v>7.2759576141834259E-12</v>
      </c>
    </row>
    <row r="176" spans="1:9" hidden="1" x14ac:dyDescent="0.25">
      <c r="A176" s="365">
        <v>157</v>
      </c>
      <c r="B176" s="366">
        <f t="shared" ca="1" si="2"/>
        <v>47364</v>
      </c>
      <c r="C176" s="367">
        <f ca="1">INDEX(T_Merger!__Saldo_Inicial,_AmortizacionesTablaCliente)</f>
        <v>7.2759576141834259E-12</v>
      </c>
      <c r="D176" s="367">
        <f ca="1">INDEX(T_Merger!__Capital,_AmortizacionesTablaCliente)</f>
        <v>0</v>
      </c>
      <c r="E176" s="522">
        <f ca="1">INDEX(T_Merger!__Interes,_AmortizacionesTablaCliente)</f>
        <v>7.8216544352471822E-14</v>
      </c>
      <c r="F176" s="367">
        <f ca="1">INDEX(T_Merger!__IVA,_AmortizacionesTablaCliente)</f>
        <v>9.3859853222966188E-15</v>
      </c>
      <c r="G176" s="367">
        <f ca="1">INDEX(T_Merger!__Pago,_AmortizacionesTablaCliente)</f>
        <v>8.7602529674768438E-14</v>
      </c>
      <c r="H176" s="494">
        <v>0</v>
      </c>
      <c r="I176" s="368">
        <f ca="1">INDEX(T_Merger!__Saldo_Final,_AmortizacionesTablaCliente)</f>
        <v>7.2759576141834259E-12</v>
      </c>
    </row>
    <row r="177" spans="1:9" hidden="1" x14ac:dyDescent="0.25">
      <c r="A177" s="365">
        <v>158</v>
      </c>
      <c r="B177" s="366">
        <f t="shared" ca="1" si="2"/>
        <v>47394</v>
      </c>
      <c r="C177" s="367">
        <f ca="1">INDEX(T_Merger!__Saldo_Inicial,_AmortizacionesTablaCliente)</f>
        <v>7.2759576141834259E-12</v>
      </c>
      <c r="D177" s="367">
        <f ca="1">INDEX(T_Merger!__Capital,_AmortizacionesTablaCliente)</f>
        <v>0</v>
      </c>
      <c r="E177" s="522">
        <f ca="1">INDEX(T_Merger!__Interes,_AmortizacionesTablaCliente)</f>
        <v>7.8216544352471822E-14</v>
      </c>
      <c r="F177" s="367">
        <f ca="1">INDEX(T_Merger!__IVA,_AmortizacionesTablaCliente)</f>
        <v>9.3859853222966188E-15</v>
      </c>
      <c r="G177" s="367">
        <f ca="1">INDEX(T_Merger!__Pago,_AmortizacionesTablaCliente)</f>
        <v>8.7602529674768438E-14</v>
      </c>
      <c r="H177" s="494">
        <v>0</v>
      </c>
      <c r="I177" s="368">
        <f ca="1">INDEX(T_Merger!__Saldo_Final,_AmortizacionesTablaCliente)</f>
        <v>7.2759576141834259E-12</v>
      </c>
    </row>
    <row r="178" spans="1:9" hidden="1" x14ac:dyDescent="0.25">
      <c r="A178" s="365">
        <v>159</v>
      </c>
      <c r="B178" s="366">
        <f t="shared" ca="1" si="2"/>
        <v>47425</v>
      </c>
      <c r="C178" s="367">
        <f ca="1">INDEX(T_Merger!__Saldo_Inicial,_AmortizacionesTablaCliente)</f>
        <v>7.2759576141834259E-12</v>
      </c>
      <c r="D178" s="367">
        <f ca="1">INDEX(T_Merger!__Capital,_AmortizacionesTablaCliente)</f>
        <v>0</v>
      </c>
      <c r="E178" s="522">
        <f ca="1">INDEX(T_Merger!__Interes,_AmortizacionesTablaCliente)</f>
        <v>7.8216544352471822E-14</v>
      </c>
      <c r="F178" s="367">
        <f ca="1">INDEX(T_Merger!__IVA,_AmortizacionesTablaCliente)</f>
        <v>9.3859853222966188E-15</v>
      </c>
      <c r="G178" s="367">
        <f ca="1">INDEX(T_Merger!__Pago,_AmortizacionesTablaCliente)</f>
        <v>8.7602529674768438E-14</v>
      </c>
      <c r="H178" s="494">
        <v>0</v>
      </c>
      <c r="I178" s="368">
        <f ca="1">INDEX(T_Merger!__Saldo_Final,_AmortizacionesTablaCliente)</f>
        <v>7.2759576141834259E-12</v>
      </c>
    </row>
    <row r="179" spans="1:9" hidden="1" x14ac:dyDescent="0.25">
      <c r="A179" s="365">
        <v>160</v>
      </c>
      <c r="B179" s="366">
        <f t="shared" ca="1" si="2"/>
        <v>47455</v>
      </c>
      <c r="C179" s="367">
        <f ca="1">INDEX(T_Merger!__Saldo_Inicial,_AmortizacionesTablaCliente)</f>
        <v>7.2759576141834259E-12</v>
      </c>
      <c r="D179" s="367">
        <f ca="1">INDEX(T_Merger!__Capital,_AmortizacionesTablaCliente)</f>
        <v>0</v>
      </c>
      <c r="E179" s="522">
        <f ca="1">INDEX(T_Merger!__Interes,_AmortizacionesTablaCliente)</f>
        <v>7.8216544352471822E-14</v>
      </c>
      <c r="F179" s="367">
        <f ca="1">INDEX(T_Merger!__IVA,_AmortizacionesTablaCliente)</f>
        <v>9.3859853222966188E-15</v>
      </c>
      <c r="G179" s="367">
        <f ca="1">INDEX(T_Merger!__Pago,_AmortizacionesTablaCliente)</f>
        <v>8.7602529674768438E-14</v>
      </c>
      <c r="H179" s="494">
        <v>0</v>
      </c>
      <c r="I179" s="368">
        <f ca="1">INDEX(T_Merger!__Saldo_Final,_AmortizacionesTablaCliente)</f>
        <v>7.2759576141834259E-12</v>
      </c>
    </row>
    <row r="180" spans="1:9" hidden="1" x14ac:dyDescent="0.25">
      <c r="A180" s="365">
        <v>161</v>
      </c>
      <c r="B180" s="366">
        <f t="shared" ca="1" si="2"/>
        <v>47486</v>
      </c>
      <c r="C180" s="367">
        <f ca="1">INDEX(T_Merger!__Saldo_Inicial,_AmortizacionesTablaCliente)</f>
        <v>7.2759576141834259E-12</v>
      </c>
      <c r="D180" s="367">
        <f ca="1">INDEX(T_Merger!__Capital,_AmortizacionesTablaCliente)</f>
        <v>0</v>
      </c>
      <c r="E180" s="522">
        <f ca="1">INDEX(T_Merger!__Interes,_AmortizacionesTablaCliente)</f>
        <v>7.8216544352471822E-14</v>
      </c>
      <c r="F180" s="367">
        <f ca="1">INDEX(T_Merger!__IVA,_AmortizacionesTablaCliente)</f>
        <v>9.3859853222966188E-15</v>
      </c>
      <c r="G180" s="367">
        <f ca="1">INDEX(T_Merger!__Pago,_AmortizacionesTablaCliente)</f>
        <v>8.7602529674768438E-14</v>
      </c>
      <c r="H180" s="494">
        <v>0</v>
      </c>
      <c r="I180" s="368">
        <f ca="1">INDEX(T_Merger!__Saldo_Final,_AmortizacionesTablaCliente)</f>
        <v>7.2759576141834259E-12</v>
      </c>
    </row>
    <row r="181" spans="1:9" hidden="1" x14ac:dyDescent="0.25">
      <c r="A181" s="365">
        <v>162</v>
      </c>
      <c r="B181" s="366">
        <f t="shared" ca="1" si="2"/>
        <v>47517</v>
      </c>
      <c r="C181" s="367">
        <f ca="1">INDEX(T_Merger!__Saldo_Inicial,_AmortizacionesTablaCliente)</f>
        <v>7.2759576141834259E-12</v>
      </c>
      <c r="D181" s="367">
        <f ca="1">INDEX(T_Merger!__Capital,_AmortizacionesTablaCliente)</f>
        <v>0</v>
      </c>
      <c r="E181" s="522">
        <f ca="1">INDEX(T_Merger!__Interes,_AmortizacionesTablaCliente)</f>
        <v>7.8216544352471822E-14</v>
      </c>
      <c r="F181" s="367">
        <f ca="1">INDEX(T_Merger!__IVA,_AmortizacionesTablaCliente)</f>
        <v>9.3859853222966188E-15</v>
      </c>
      <c r="G181" s="367">
        <f ca="1">INDEX(T_Merger!__Pago,_AmortizacionesTablaCliente)</f>
        <v>8.7602529674768438E-14</v>
      </c>
      <c r="H181" s="494">
        <v>0</v>
      </c>
      <c r="I181" s="368">
        <f ca="1">INDEX(T_Merger!__Saldo_Final,_AmortizacionesTablaCliente)</f>
        <v>7.2759576141834259E-12</v>
      </c>
    </row>
    <row r="182" spans="1:9" hidden="1" x14ac:dyDescent="0.25">
      <c r="A182" s="365">
        <v>163</v>
      </c>
      <c r="B182" s="366">
        <f t="shared" ca="1" si="2"/>
        <v>47545</v>
      </c>
      <c r="C182" s="367">
        <f ca="1">INDEX(T_Merger!__Saldo_Inicial,_AmortizacionesTablaCliente)</f>
        <v>7.2759576141834259E-12</v>
      </c>
      <c r="D182" s="367">
        <f ca="1">INDEX(T_Merger!__Capital,_AmortizacionesTablaCliente)</f>
        <v>0</v>
      </c>
      <c r="E182" s="522">
        <f ca="1">INDEX(T_Merger!__Interes,_AmortizacionesTablaCliente)</f>
        <v>7.8216544352471822E-14</v>
      </c>
      <c r="F182" s="367">
        <f ca="1">INDEX(T_Merger!__IVA,_AmortizacionesTablaCliente)</f>
        <v>9.3859853222966188E-15</v>
      </c>
      <c r="G182" s="367">
        <f ca="1">INDEX(T_Merger!__Pago,_AmortizacionesTablaCliente)</f>
        <v>8.7602529674768438E-14</v>
      </c>
      <c r="H182" s="494">
        <v>0</v>
      </c>
      <c r="I182" s="368">
        <f ca="1">INDEX(T_Merger!__Saldo_Final,_AmortizacionesTablaCliente)</f>
        <v>7.2759576141834259E-12</v>
      </c>
    </row>
    <row r="183" spans="1:9" hidden="1" x14ac:dyDescent="0.25">
      <c r="A183" s="365">
        <v>164</v>
      </c>
      <c r="B183" s="366">
        <f t="shared" ca="1" si="2"/>
        <v>47576</v>
      </c>
      <c r="C183" s="367">
        <f ca="1">INDEX(T_Merger!__Saldo_Inicial,_AmortizacionesTablaCliente)</f>
        <v>7.2759576141834259E-12</v>
      </c>
      <c r="D183" s="367">
        <f ca="1">INDEX(T_Merger!__Capital,_AmortizacionesTablaCliente)</f>
        <v>0</v>
      </c>
      <c r="E183" s="522">
        <f ca="1">INDEX(T_Merger!__Interes,_AmortizacionesTablaCliente)</f>
        <v>7.8216544352471822E-14</v>
      </c>
      <c r="F183" s="367">
        <f ca="1">INDEX(T_Merger!__IVA,_AmortizacionesTablaCliente)</f>
        <v>9.3859853222966188E-15</v>
      </c>
      <c r="G183" s="367">
        <f ca="1">INDEX(T_Merger!__Pago,_AmortizacionesTablaCliente)</f>
        <v>8.7602529674768438E-14</v>
      </c>
      <c r="H183" s="494">
        <v>0</v>
      </c>
      <c r="I183" s="368">
        <f ca="1">INDEX(T_Merger!__Saldo_Final,_AmortizacionesTablaCliente)</f>
        <v>7.2759576141834259E-12</v>
      </c>
    </row>
    <row r="184" spans="1:9" hidden="1" x14ac:dyDescent="0.25">
      <c r="A184" s="365">
        <v>165</v>
      </c>
      <c r="B184" s="366">
        <f t="shared" ca="1" si="2"/>
        <v>47606</v>
      </c>
      <c r="C184" s="367">
        <f ca="1">INDEX(T_Merger!__Saldo_Inicial,_AmortizacionesTablaCliente)</f>
        <v>7.2759576141834259E-12</v>
      </c>
      <c r="D184" s="367">
        <f ca="1">INDEX(T_Merger!__Capital,_AmortizacionesTablaCliente)</f>
        <v>0</v>
      </c>
      <c r="E184" s="522">
        <f ca="1">INDEX(T_Merger!__Interes,_AmortizacionesTablaCliente)</f>
        <v>7.8216544352471822E-14</v>
      </c>
      <c r="F184" s="367">
        <f ca="1">INDEX(T_Merger!__IVA,_AmortizacionesTablaCliente)</f>
        <v>9.3859853222966188E-15</v>
      </c>
      <c r="G184" s="367">
        <f ca="1">INDEX(T_Merger!__Pago,_AmortizacionesTablaCliente)</f>
        <v>8.7602529674768438E-14</v>
      </c>
      <c r="H184" s="494">
        <v>0</v>
      </c>
      <c r="I184" s="368">
        <f ca="1">INDEX(T_Merger!__Saldo_Final,_AmortizacionesTablaCliente)</f>
        <v>7.2759576141834259E-12</v>
      </c>
    </row>
    <row r="185" spans="1:9" hidden="1" x14ac:dyDescent="0.25">
      <c r="A185" s="365">
        <v>166</v>
      </c>
      <c r="B185" s="366">
        <f t="shared" ca="1" si="2"/>
        <v>47637</v>
      </c>
      <c r="C185" s="367">
        <f ca="1">INDEX(T_Merger!__Saldo_Inicial,_AmortizacionesTablaCliente)</f>
        <v>7.2759576141834259E-12</v>
      </c>
      <c r="D185" s="367">
        <f ca="1">INDEX(T_Merger!__Capital,_AmortizacionesTablaCliente)</f>
        <v>0</v>
      </c>
      <c r="E185" s="522">
        <f ca="1">INDEX(T_Merger!__Interes,_AmortizacionesTablaCliente)</f>
        <v>7.8216544352471822E-14</v>
      </c>
      <c r="F185" s="367">
        <f ca="1">INDEX(T_Merger!__IVA,_AmortizacionesTablaCliente)</f>
        <v>9.3859853222966188E-15</v>
      </c>
      <c r="G185" s="367">
        <f ca="1">INDEX(T_Merger!__Pago,_AmortizacionesTablaCliente)</f>
        <v>8.7602529674768438E-14</v>
      </c>
      <c r="H185" s="494">
        <v>0</v>
      </c>
      <c r="I185" s="368">
        <f ca="1">INDEX(T_Merger!__Saldo_Final,_AmortizacionesTablaCliente)</f>
        <v>7.2759576141834259E-12</v>
      </c>
    </row>
    <row r="186" spans="1:9" hidden="1" x14ac:dyDescent="0.25">
      <c r="A186" s="365">
        <v>167</v>
      </c>
      <c r="B186" s="366">
        <f t="shared" ca="1" si="2"/>
        <v>47667</v>
      </c>
      <c r="C186" s="367">
        <f ca="1">INDEX(T_Merger!__Saldo_Inicial,_AmortizacionesTablaCliente)</f>
        <v>7.2759576141834259E-12</v>
      </c>
      <c r="D186" s="367">
        <f ca="1">INDEX(T_Merger!__Capital,_AmortizacionesTablaCliente)</f>
        <v>0</v>
      </c>
      <c r="E186" s="522">
        <f ca="1">INDEX(T_Merger!__Interes,_AmortizacionesTablaCliente)</f>
        <v>7.8216544352471822E-14</v>
      </c>
      <c r="F186" s="367">
        <f ca="1">INDEX(T_Merger!__IVA,_AmortizacionesTablaCliente)</f>
        <v>9.3859853222966188E-15</v>
      </c>
      <c r="G186" s="367">
        <f ca="1">INDEX(T_Merger!__Pago,_AmortizacionesTablaCliente)</f>
        <v>8.7602529674768438E-14</v>
      </c>
      <c r="H186" s="494">
        <v>0</v>
      </c>
      <c r="I186" s="368">
        <f ca="1">INDEX(T_Merger!__Saldo_Final,_AmortizacionesTablaCliente)</f>
        <v>7.2759576141834259E-12</v>
      </c>
    </row>
    <row r="187" spans="1:9" hidden="1" x14ac:dyDescent="0.25">
      <c r="A187" s="365">
        <v>168</v>
      </c>
      <c r="B187" s="366">
        <f t="shared" ca="1" si="2"/>
        <v>47698</v>
      </c>
      <c r="C187" s="367">
        <f ca="1">INDEX(T_Merger!__Saldo_Inicial,_AmortizacionesTablaCliente)</f>
        <v>7.2759576141834259E-12</v>
      </c>
      <c r="D187" s="367">
        <f ca="1">INDEX(T_Merger!__Capital,_AmortizacionesTablaCliente)</f>
        <v>0</v>
      </c>
      <c r="E187" s="522">
        <f ca="1">INDEX(T_Merger!__Interes,_AmortizacionesTablaCliente)</f>
        <v>7.8216544352471822E-14</v>
      </c>
      <c r="F187" s="367">
        <f ca="1">INDEX(T_Merger!__IVA,_AmortizacionesTablaCliente)</f>
        <v>9.3859853222966188E-15</v>
      </c>
      <c r="G187" s="367">
        <f ca="1">INDEX(T_Merger!__Pago,_AmortizacionesTablaCliente)</f>
        <v>8.7602529674768438E-14</v>
      </c>
      <c r="H187" s="494">
        <v>0</v>
      </c>
      <c r="I187" s="368">
        <f ca="1">INDEX(T_Merger!__Saldo_Final,_AmortizacionesTablaCliente)</f>
        <v>7.2759576141834259E-12</v>
      </c>
    </row>
    <row r="188" spans="1:9" hidden="1" x14ac:dyDescent="0.25">
      <c r="A188" s="365">
        <v>169</v>
      </c>
      <c r="B188" s="366">
        <f t="shared" ca="1" si="2"/>
        <v>47729</v>
      </c>
      <c r="C188" s="367">
        <f ca="1">INDEX(T_Merger!__Saldo_Inicial,_AmortizacionesTablaCliente)</f>
        <v>7.2759576141834259E-12</v>
      </c>
      <c r="D188" s="367">
        <f ca="1">INDEX(T_Merger!__Capital,_AmortizacionesTablaCliente)</f>
        <v>0</v>
      </c>
      <c r="E188" s="522">
        <f ca="1">INDEX(T_Merger!__Interes,_AmortizacionesTablaCliente)</f>
        <v>7.8216544352471822E-14</v>
      </c>
      <c r="F188" s="367">
        <f ca="1">INDEX(T_Merger!__IVA,_AmortizacionesTablaCliente)</f>
        <v>9.3859853222966188E-15</v>
      </c>
      <c r="G188" s="367">
        <f ca="1">INDEX(T_Merger!__Pago,_AmortizacionesTablaCliente)</f>
        <v>8.7602529674768438E-14</v>
      </c>
      <c r="H188" s="494">
        <v>0</v>
      </c>
      <c r="I188" s="368">
        <f ca="1">INDEX(T_Merger!__Saldo_Final,_AmortizacionesTablaCliente)</f>
        <v>7.2759576141834259E-12</v>
      </c>
    </row>
    <row r="189" spans="1:9" hidden="1" x14ac:dyDescent="0.25">
      <c r="A189" s="365">
        <v>170</v>
      </c>
      <c r="B189" s="366">
        <f t="shared" ca="1" si="2"/>
        <v>47759</v>
      </c>
      <c r="C189" s="367">
        <f ca="1">INDEX(T_Merger!__Saldo_Inicial,_AmortizacionesTablaCliente)</f>
        <v>7.2759576141834259E-12</v>
      </c>
      <c r="D189" s="367">
        <f ca="1">INDEX(T_Merger!__Capital,_AmortizacionesTablaCliente)</f>
        <v>0</v>
      </c>
      <c r="E189" s="522">
        <f ca="1">INDEX(T_Merger!__Interes,_AmortizacionesTablaCliente)</f>
        <v>7.8216544352471822E-14</v>
      </c>
      <c r="F189" s="367">
        <f ca="1">INDEX(T_Merger!__IVA,_AmortizacionesTablaCliente)</f>
        <v>9.3859853222966188E-15</v>
      </c>
      <c r="G189" s="367">
        <f ca="1">INDEX(T_Merger!__Pago,_AmortizacionesTablaCliente)</f>
        <v>8.7602529674768438E-14</v>
      </c>
      <c r="H189" s="494">
        <v>0</v>
      </c>
      <c r="I189" s="368">
        <f ca="1">INDEX(T_Merger!__Saldo_Final,_AmortizacionesTablaCliente)</f>
        <v>7.2759576141834259E-12</v>
      </c>
    </row>
    <row r="190" spans="1:9" hidden="1" x14ac:dyDescent="0.25">
      <c r="A190" s="365">
        <v>171</v>
      </c>
      <c r="B190" s="366">
        <f t="shared" ca="1" si="2"/>
        <v>47790</v>
      </c>
      <c r="C190" s="367">
        <f ca="1">INDEX(T_Merger!__Saldo_Inicial,_AmortizacionesTablaCliente)</f>
        <v>7.2759576141834259E-12</v>
      </c>
      <c r="D190" s="367">
        <f ca="1">INDEX(T_Merger!__Capital,_AmortizacionesTablaCliente)</f>
        <v>0</v>
      </c>
      <c r="E190" s="522">
        <f ca="1">INDEX(T_Merger!__Interes,_AmortizacionesTablaCliente)</f>
        <v>7.8216544352471822E-14</v>
      </c>
      <c r="F190" s="367">
        <f ca="1">INDEX(T_Merger!__IVA,_AmortizacionesTablaCliente)</f>
        <v>9.3859853222966188E-15</v>
      </c>
      <c r="G190" s="367">
        <f ca="1">INDEX(T_Merger!__Pago,_AmortizacionesTablaCliente)</f>
        <v>8.7602529674768438E-14</v>
      </c>
      <c r="H190" s="494">
        <v>0</v>
      </c>
      <c r="I190" s="368">
        <f ca="1">INDEX(T_Merger!__Saldo_Final,_AmortizacionesTablaCliente)</f>
        <v>7.2759576141834259E-12</v>
      </c>
    </row>
    <row r="191" spans="1:9" hidden="1" x14ac:dyDescent="0.25">
      <c r="A191" s="365">
        <v>172</v>
      </c>
      <c r="B191" s="366">
        <f t="shared" ca="1" si="2"/>
        <v>47820</v>
      </c>
      <c r="C191" s="367">
        <f ca="1">INDEX(T_Merger!__Saldo_Inicial,_AmortizacionesTablaCliente)</f>
        <v>7.2759576141834259E-12</v>
      </c>
      <c r="D191" s="367">
        <f ca="1">INDEX(T_Merger!__Capital,_AmortizacionesTablaCliente)</f>
        <v>0</v>
      </c>
      <c r="E191" s="522">
        <f ca="1">INDEX(T_Merger!__Interes,_AmortizacionesTablaCliente)</f>
        <v>7.8216544352471822E-14</v>
      </c>
      <c r="F191" s="367">
        <f ca="1">INDEX(T_Merger!__IVA,_AmortizacionesTablaCliente)</f>
        <v>9.3859853222966188E-15</v>
      </c>
      <c r="G191" s="367">
        <f ca="1">INDEX(T_Merger!__Pago,_AmortizacionesTablaCliente)</f>
        <v>8.7602529674768438E-14</v>
      </c>
      <c r="H191" s="494">
        <v>0</v>
      </c>
      <c r="I191" s="368">
        <f ca="1">INDEX(T_Merger!__Saldo_Final,_AmortizacionesTablaCliente)</f>
        <v>7.2759576141834259E-12</v>
      </c>
    </row>
    <row r="192" spans="1:9" hidden="1" x14ac:dyDescent="0.25">
      <c r="A192" s="365">
        <v>173</v>
      </c>
      <c r="B192" s="366">
        <f t="shared" ca="1" si="2"/>
        <v>47851</v>
      </c>
      <c r="C192" s="367">
        <f ca="1">INDEX(T_Merger!__Saldo_Inicial,_AmortizacionesTablaCliente)</f>
        <v>7.2759576141834259E-12</v>
      </c>
      <c r="D192" s="367">
        <f ca="1">INDEX(T_Merger!__Capital,_AmortizacionesTablaCliente)</f>
        <v>0</v>
      </c>
      <c r="E192" s="522">
        <f ca="1">INDEX(T_Merger!__Interes,_AmortizacionesTablaCliente)</f>
        <v>7.8216544352471822E-14</v>
      </c>
      <c r="F192" s="367">
        <f ca="1">INDEX(T_Merger!__IVA,_AmortizacionesTablaCliente)</f>
        <v>9.3859853222966188E-15</v>
      </c>
      <c r="G192" s="367">
        <f ca="1">INDEX(T_Merger!__Pago,_AmortizacionesTablaCliente)</f>
        <v>8.7602529674768438E-14</v>
      </c>
      <c r="H192" s="494">
        <v>0</v>
      </c>
      <c r="I192" s="368">
        <f ca="1">INDEX(T_Merger!__Saldo_Final,_AmortizacionesTablaCliente)</f>
        <v>7.2759576141834259E-12</v>
      </c>
    </row>
    <row r="193" spans="1:9" hidden="1" x14ac:dyDescent="0.25">
      <c r="A193" s="365">
        <v>174</v>
      </c>
      <c r="B193" s="366">
        <f t="shared" ca="1" si="2"/>
        <v>47882</v>
      </c>
      <c r="C193" s="367">
        <f ca="1">INDEX(T_Merger!__Saldo_Inicial,_AmortizacionesTablaCliente)</f>
        <v>7.2759576141834259E-12</v>
      </c>
      <c r="D193" s="367">
        <f ca="1">INDEX(T_Merger!__Capital,_AmortizacionesTablaCliente)</f>
        <v>0</v>
      </c>
      <c r="E193" s="522">
        <f ca="1">INDEX(T_Merger!__Interes,_AmortizacionesTablaCliente)</f>
        <v>7.8216544352471822E-14</v>
      </c>
      <c r="F193" s="367">
        <f ca="1">INDEX(T_Merger!__IVA,_AmortizacionesTablaCliente)</f>
        <v>9.3859853222966188E-15</v>
      </c>
      <c r="G193" s="367">
        <f ca="1">INDEX(T_Merger!__Pago,_AmortizacionesTablaCliente)</f>
        <v>8.7602529674768438E-14</v>
      </c>
      <c r="H193" s="494">
        <v>0</v>
      </c>
      <c r="I193" s="368">
        <f ca="1">INDEX(T_Merger!__Saldo_Final,_AmortizacionesTablaCliente)</f>
        <v>7.2759576141834259E-12</v>
      </c>
    </row>
    <row r="194" spans="1:9" hidden="1" x14ac:dyDescent="0.25">
      <c r="A194" s="365">
        <v>175</v>
      </c>
      <c r="B194" s="366">
        <f t="shared" ca="1" si="2"/>
        <v>47910</v>
      </c>
      <c r="C194" s="367">
        <f ca="1">INDEX(T_Merger!__Saldo_Inicial,_AmortizacionesTablaCliente)</f>
        <v>7.2759576141834259E-12</v>
      </c>
      <c r="D194" s="367">
        <f ca="1">INDEX(T_Merger!__Capital,_AmortizacionesTablaCliente)</f>
        <v>0</v>
      </c>
      <c r="E194" s="522">
        <f ca="1">INDEX(T_Merger!__Interes,_AmortizacionesTablaCliente)</f>
        <v>7.8216544352471822E-14</v>
      </c>
      <c r="F194" s="367">
        <f ca="1">INDEX(T_Merger!__IVA,_AmortizacionesTablaCliente)</f>
        <v>9.3859853222966188E-15</v>
      </c>
      <c r="G194" s="367">
        <f ca="1">INDEX(T_Merger!__Pago,_AmortizacionesTablaCliente)</f>
        <v>8.7602529674768438E-14</v>
      </c>
      <c r="H194" s="494">
        <v>0</v>
      </c>
      <c r="I194" s="368">
        <f ca="1">INDEX(T_Merger!__Saldo_Final,_AmortizacionesTablaCliente)</f>
        <v>7.2759576141834259E-12</v>
      </c>
    </row>
    <row r="195" spans="1:9" hidden="1" x14ac:dyDescent="0.25">
      <c r="A195" s="365">
        <v>176</v>
      </c>
      <c r="B195" s="366">
        <f t="shared" ca="1" si="2"/>
        <v>47941</v>
      </c>
      <c r="C195" s="367">
        <f ca="1">INDEX(T_Merger!__Saldo_Inicial,_AmortizacionesTablaCliente)</f>
        <v>7.2759576141834259E-12</v>
      </c>
      <c r="D195" s="367">
        <f ca="1">INDEX(T_Merger!__Capital,_AmortizacionesTablaCliente)</f>
        <v>0</v>
      </c>
      <c r="E195" s="522">
        <f ca="1">INDEX(T_Merger!__Interes,_AmortizacionesTablaCliente)</f>
        <v>7.8216544352471822E-14</v>
      </c>
      <c r="F195" s="367">
        <f ca="1">INDEX(T_Merger!__IVA,_AmortizacionesTablaCliente)</f>
        <v>9.3859853222966188E-15</v>
      </c>
      <c r="G195" s="367">
        <f ca="1">INDEX(T_Merger!__Pago,_AmortizacionesTablaCliente)</f>
        <v>8.7602529674768438E-14</v>
      </c>
      <c r="H195" s="494">
        <v>0</v>
      </c>
      <c r="I195" s="368">
        <f ca="1">INDEX(T_Merger!__Saldo_Final,_AmortizacionesTablaCliente)</f>
        <v>7.2759576141834259E-12</v>
      </c>
    </row>
    <row r="196" spans="1:9" hidden="1" x14ac:dyDescent="0.25">
      <c r="A196" s="365">
        <v>177</v>
      </c>
      <c r="B196" s="366">
        <f t="shared" ca="1" si="2"/>
        <v>47971</v>
      </c>
      <c r="C196" s="367">
        <f ca="1">INDEX(T_Merger!__Saldo_Inicial,_AmortizacionesTablaCliente)</f>
        <v>7.2759576141834259E-12</v>
      </c>
      <c r="D196" s="367">
        <f ca="1">INDEX(T_Merger!__Capital,_AmortizacionesTablaCliente)</f>
        <v>0</v>
      </c>
      <c r="E196" s="522">
        <f ca="1">INDEX(T_Merger!__Interes,_AmortizacionesTablaCliente)</f>
        <v>7.8216544352471822E-14</v>
      </c>
      <c r="F196" s="367">
        <f ca="1">INDEX(T_Merger!__IVA,_AmortizacionesTablaCliente)</f>
        <v>9.3859853222966188E-15</v>
      </c>
      <c r="G196" s="367">
        <f ca="1">INDEX(T_Merger!__Pago,_AmortizacionesTablaCliente)</f>
        <v>8.7602529674768438E-14</v>
      </c>
      <c r="H196" s="494">
        <v>0</v>
      </c>
      <c r="I196" s="368">
        <f ca="1">INDEX(T_Merger!__Saldo_Final,_AmortizacionesTablaCliente)</f>
        <v>7.2759576141834259E-12</v>
      </c>
    </row>
    <row r="197" spans="1:9" hidden="1" x14ac:dyDescent="0.25">
      <c r="A197" s="365">
        <v>178</v>
      </c>
      <c r="B197" s="366">
        <f t="shared" ca="1" si="2"/>
        <v>48002</v>
      </c>
      <c r="C197" s="367">
        <f ca="1">INDEX(T_Merger!__Saldo_Inicial,_AmortizacionesTablaCliente)</f>
        <v>7.2759576141834259E-12</v>
      </c>
      <c r="D197" s="367">
        <f ca="1">INDEX(T_Merger!__Capital,_AmortizacionesTablaCliente)</f>
        <v>0</v>
      </c>
      <c r="E197" s="522">
        <f ca="1">INDEX(T_Merger!__Interes,_AmortizacionesTablaCliente)</f>
        <v>7.8216544352471822E-14</v>
      </c>
      <c r="F197" s="367">
        <f ca="1">INDEX(T_Merger!__IVA,_AmortizacionesTablaCliente)</f>
        <v>9.3859853222966188E-15</v>
      </c>
      <c r="G197" s="367">
        <f ca="1">INDEX(T_Merger!__Pago,_AmortizacionesTablaCliente)</f>
        <v>8.7602529674768438E-14</v>
      </c>
      <c r="H197" s="494">
        <v>0</v>
      </c>
      <c r="I197" s="368">
        <f ca="1">INDEX(T_Merger!__Saldo_Final,_AmortizacionesTablaCliente)</f>
        <v>7.2759576141834259E-12</v>
      </c>
    </row>
    <row r="198" spans="1:9" hidden="1" x14ac:dyDescent="0.25">
      <c r="A198" s="365">
        <v>179</v>
      </c>
      <c r="B198" s="366">
        <f t="shared" ca="1" si="2"/>
        <v>48032</v>
      </c>
      <c r="C198" s="367">
        <f ca="1">INDEX(T_Merger!__Saldo_Inicial,_AmortizacionesTablaCliente)</f>
        <v>7.2759576141834259E-12</v>
      </c>
      <c r="D198" s="367">
        <f ca="1">INDEX(T_Merger!__Capital,_AmortizacionesTablaCliente)</f>
        <v>0</v>
      </c>
      <c r="E198" s="522">
        <f ca="1">INDEX(T_Merger!__Interes,_AmortizacionesTablaCliente)</f>
        <v>7.8216544352471822E-14</v>
      </c>
      <c r="F198" s="367">
        <f ca="1">INDEX(T_Merger!__IVA,_AmortizacionesTablaCliente)</f>
        <v>9.3859853222966188E-15</v>
      </c>
      <c r="G198" s="367">
        <f ca="1">INDEX(T_Merger!__Pago,_AmortizacionesTablaCliente)</f>
        <v>8.7602529674768438E-14</v>
      </c>
      <c r="H198" s="494">
        <v>0</v>
      </c>
      <c r="I198" s="368">
        <f ca="1">INDEX(T_Merger!__Saldo_Final,_AmortizacionesTablaCliente)</f>
        <v>7.2759576141834259E-12</v>
      </c>
    </row>
    <row r="199" spans="1:9" hidden="1" x14ac:dyDescent="0.25">
      <c r="A199" s="365">
        <v>180</v>
      </c>
      <c r="B199" s="366">
        <f t="shared" ca="1" si="2"/>
        <v>48063</v>
      </c>
      <c r="C199" s="367">
        <f ca="1">INDEX(T_Merger!__Saldo_Inicial,_AmortizacionesTablaCliente)</f>
        <v>7.2759576141834259E-12</v>
      </c>
      <c r="D199" s="367">
        <f ca="1">INDEX(T_Merger!__Capital,_AmortizacionesTablaCliente)</f>
        <v>0</v>
      </c>
      <c r="E199" s="522">
        <f ca="1">INDEX(T_Merger!__Interes,_AmortizacionesTablaCliente)</f>
        <v>7.8216544352471822E-14</v>
      </c>
      <c r="F199" s="367">
        <f ca="1">INDEX(T_Merger!__IVA,_AmortizacionesTablaCliente)</f>
        <v>9.3859853222966188E-15</v>
      </c>
      <c r="G199" s="367">
        <f ca="1">INDEX(T_Merger!__Pago,_AmortizacionesTablaCliente)</f>
        <v>8.7602529674768438E-14</v>
      </c>
      <c r="H199" s="494">
        <v>0</v>
      </c>
      <c r="I199" s="368">
        <f ca="1">INDEX(T_Merger!__Saldo_Final,_AmortizacionesTablaCliente)</f>
        <v>7.2759576141834259E-12</v>
      </c>
    </row>
    <row r="200" spans="1:9" hidden="1" x14ac:dyDescent="0.25">
      <c r="A200" s="365">
        <v>181</v>
      </c>
      <c r="B200" s="366">
        <f t="shared" ca="1" si="2"/>
        <v>48094</v>
      </c>
      <c r="C200" s="367">
        <f ca="1">INDEX(T_Merger!__Saldo_Inicial,_AmortizacionesTablaCliente)</f>
        <v>7.2759576141834259E-12</v>
      </c>
      <c r="D200" s="367">
        <f ca="1">INDEX(T_Merger!__Capital,_AmortizacionesTablaCliente)</f>
        <v>0</v>
      </c>
      <c r="E200" s="522">
        <f ca="1">INDEX(T_Merger!__Interes,_AmortizacionesTablaCliente)</f>
        <v>7.8216544352471822E-14</v>
      </c>
      <c r="F200" s="367">
        <f ca="1">INDEX(T_Merger!__IVA,_AmortizacionesTablaCliente)</f>
        <v>9.3859853222966188E-15</v>
      </c>
      <c r="G200" s="367">
        <f ca="1">INDEX(T_Merger!__Pago,_AmortizacionesTablaCliente)</f>
        <v>8.7602529674768438E-14</v>
      </c>
      <c r="H200" s="494">
        <v>0</v>
      </c>
      <c r="I200" s="368">
        <f ca="1">INDEX(T_Merger!__Saldo_Final,_AmortizacionesTablaCliente)</f>
        <v>7.2759576141834259E-12</v>
      </c>
    </row>
    <row r="201" spans="1:9" hidden="1" x14ac:dyDescent="0.25">
      <c r="A201" s="365">
        <v>182</v>
      </c>
      <c r="B201" s="366">
        <f t="shared" ca="1" si="2"/>
        <v>48124</v>
      </c>
      <c r="C201" s="367">
        <f ca="1">INDEX(T_Merger!__Saldo_Inicial,_AmortizacionesTablaCliente)</f>
        <v>7.2759576141834259E-12</v>
      </c>
      <c r="D201" s="367">
        <f ca="1">INDEX(T_Merger!__Capital,_AmortizacionesTablaCliente)</f>
        <v>0</v>
      </c>
      <c r="E201" s="522">
        <f ca="1">INDEX(T_Merger!__Interes,_AmortizacionesTablaCliente)</f>
        <v>7.8216544352471822E-14</v>
      </c>
      <c r="F201" s="367">
        <f ca="1">INDEX(T_Merger!__IVA,_AmortizacionesTablaCliente)</f>
        <v>9.3859853222966188E-15</v>
      </c>
      <c r="G201" s="367">
        <f ca="1">INDEX(T_Merger!__Pago,_AmortizacionesTablaCliente)</f>
        <v>8.7602529674768438E-14</v>
      </c>
      <c r="H201" s="494">
        <v>0</v>
      </c>
      <c r="I201" s="368">
        <f ca="1">INDEX(T_Merger!__Saldo_Final,_AmortizacionesTablaCliente)</f>
        <v>7.2759576141834259E-12</v>
      </c>
    </row>
    <row r="202" spans="1:9" hidden="1" x14ac:dyDescent="0.25">
      <c r="A202" s="365">
        <v>183</v>
      </c>
      <c r="B202" s="366">
        <f t="shared" ca="1" si="2"/>
        <v>48155</v>
      </c>
      <c r="C202" s="367">
        <f ca="1">INDEX(T_Merger!__Saldo_Inicial,_AmortizacionesTablaCliente)</f>
        <v>7.2759576141834259E-12</v>
      </c>
      <c r="D202" s="367">
        <f ca="1">INDEX(T_Merger!__Capital,_AmortizacionesTablaCliente)</f>
        <v>0</v>
      </c>
      <c r="E202" s="522">
        <f ca="1">INDEX(T_Merger!__Interes,_AmortizacionesTablaCliente)</f>
        <v>7.8216544352471822E-14</v>
      </c>
      <c r="F202" s="367">
        <f ca="1">INDEX(T_Merger!__IVA,_AmortizacionesTablaCliente)</f>
        <v>9.3859853222966188E-15</v>
      </c>
      <c r="G202" s="367">
        <f ca="1">INDEX(T_Merger!__Pago,_AmortizacionesTablaCliente)</f>
        <v>8.7602529674768438E-14</v>
      </c>
      <c r="H202" s="494">
        <v>0</v>
      </c>
      <c r="I202" s="368">
        <f ca="1">INDEX(T_Merger!__Saldo_Final,_AmortizacionesTablaCliente)</f>
        <v>7.2759576141834259E-12</v>
      </c>
    </row>
    <row r="203" spans="1:9" hidden="1" x14ac:dyDescent="0.25">
      <c r="A203" s="365">
        <v>184</v>
      </c>
      <c r="B203" s="366">
        <f t="shared" ca="1" si="2"/>
        <v>48185</v>
      </c>
      <c r="C203" s="367">
        <f ca="1">INDEX(T_Merger!__Saldo_Inicial,_AmortizacionesTablaCliente)</f>
        <v>7.2759576141834259E-12</v>
      </c>
      <c r="D203" s="367">
        <f ca="1">INDEX(T_Merger!__Capital,_AmortizacionesTablaCliente)</f>
        <v>0</v>
      </c>
      <c r="E203" s="522">
        <f ca="1">INDEX(T_Merger!__Interes,_AmortizacionesTablaCliente)</f>
        <v>7.8216544352471822E-14</v>
      </c>
      <c r="F203" s="367">
        <f ca="1">INDEX(T_Merger!__IVA,_AmortizacionesTablaCliente)</f>
        <v>9.3859853222966188E-15</v>
      </c>
      <c r="G203" s="367">
        <f ca="1">INDEX(T_Merger!__Pago,_AmortizacionesTablaCliente)</f>
        <v>8.7602529674768438E-14</v>
      </c>
      <c r="H203" s="494">
        <v>0</v>
      </c>
      <c r="I203" s="368">
        <f ca="1">INDEX(T_Merger!__Saldo_Final,_AmortizacionesTablaCliente)</f>
        <v>7.2759576141834259E-12</v>
      </c>
    </row>
    <row r="204" spans="1:9" hidden="1" x14ac:dyDescent="0.25">
      <c r="A204" s="365">
        <v>185</v>
      </c>
      <c r="B204" s="366">
        <f t="shared" ca="1" si="2"/>
        <v>48216</v>
      </c>
      <c r="C204" s="367">
        <f ca="1">INDEX(T_Merger!__Saldo_Inicial,_AmortizacionesTablaCliente)</f>
        <v>7.2759576141834259E-12</v>
      </c>
      <c r="D204" s="367">
        <f ca="1">INDEX(T_Merger!__Capital,_AmortizacionesTablaCliente)</f>
        <v>0</v>
      </c>
      <c r="E204" s="522">
        <f ca="1">INDEX(T_Merger!__Interes,_AmortizacionesTablaCliente)</f>
        <v>7.8216544352471822E-14</v>
      </c>
      <c r="F204" s="367">
        <f ca="1">INDEX(T_Merger!__IVA,_AmortizacionesTablaCliente)</f>
        <v>9.3859853222966188E-15</v>
      </c>
      <c r="G204" s="367">
        <f ca="1">INDEX(T_Merger!__Pago,_AmortizacionesTablaCliente)</f>
        <v>8.7602529674768438E-14</v>
      </c>
      <c r="H204" s="494">
        <v>0</v>
      </c>
      <c r="I204" s="368">
        <f ca="1">INDEX(T_Merger!__Saldo_Final,_AmortizacionesTablaCliente)</f>
        <v>7.2759576141834259E-12</v>
      </c>
    </row>
    <row r="205" spans="1:9" hidden="1" x14ac:dyDescent="0.25">
      <c r="A205" s="365">
        <v>186</v>
      </c>
      <c r="B205" s="366">
        <f t="shared" ca="1" si="2"/>
        <v>48247</v>
      </c>
      <c r="C205" s="367">
        <f ca="1">INDEX(T_Merger!__Saldo_Inicial,_AmortizacionesTablaCliente)</f>
        <v>7.2759576141834259E-12</v>
      </c>
      <c r="D205" s="367">
        <f ca="1">INDEX(T_Merger!__Capital,_AmortizacionesTablaCliente)</f>
        <v>0</v>
      </c>
      <c r="E205" s="522">
        <f ca="1">INDEX(T_Merger!__Interes,_AmortizacionesTablaCliente)</f>
        <v>7.8216544352471822E-14</v>
      </c>
      <c r="F205" s="367">
        <f ca="1">INDEX(T_Merger!__IVA,_AmortizacionesTablaCliente)</f>
        <v>9.3859853222966188E-15</v>
      </c>
      <c r="G205" s="367">
        <f ca="1">INDEX(T_Merger!__Pago,_AmortizacionesTablaCliente)</f>
        <v>8.7602529674768438E-14</v>
      </c>
      <c r="H205" s="494">
        <v>0</v>
      </c>
      <c r="I205" s="368">
        <f ca="1">INDEX(T_Merger!__Saldo_Final,_AmortizacionesTablaCliente)</f>
        <v>7.2759576141834259E-12</v>
      </c>
    </row>
    <row r="206" spans="1:9" hidden="1" x14ac:dyDescent="0.25">
      <c r="A206" s="365">
        <v>187</v>
      </c>
      <c r="B206" s="366">
        <f t="shared" ca="1" si="2"/>
        <v>48276</v>
      </c>
      <c r="C206" s="367">
        <f ca="1">INDEX(T_Merger!__Saldo_Inicial,_AmortizacionesTablaCliente)</f>
        <v>7.2759576141834259E-12</v>
      </c>
      <c r="D206" s="367">
        <f ca="1">INDEX(T_Merger!__Capital,_AmortizacionesTablaCliente)</f>
        <v>0</v>
      </c>
      <c r="E206" s="522">
        <f ca="1">INDEX(T_Merger!__Interes,_AmortizacionesTablaCliente)</f>
        <v>7.8216544352471822E-14</v>
      </c>
      <c r="F206" s="367">
        <f ca="1">INDEX(T_Merger!__IVA,_AmortizacionesTablaCliente)</f>
        <v>9.3859853222966188E-15</v>
      </c>
      <c r="G206" s="367">
        <f ca="1">INDEX(T_Merger!__Pago,_AmortizacionesTablaCliente)</f>
        <v>8.7602529674768438E-14</v>
      </c>
      <c r="H206" s="494">
        <v>0</v>
      </c>
      <c r="I206" s="368">
        <f ca="1">INDEX(T_Merger!__Saldo_Final,_AmortizacionesTablaCliente)</f>
        <v>7.2759576141834259E-12</v>
      </c>
    </row>
    <row r="207" spans="1:9" hidden="1" x14ac:dyDescent="0.25">
      <c r="A207" s="365">
        <v>188</v>
      </c>
      <c r="B207" s="366">
        <f t="shared" ca="1" si="2"/>
        <v>48307</v>
      </c>
      <c r="C207" s="367">
        <f ca="1">INDEX(T_Merger!__Saldo_Inicial,_AmortizacionesTablaCliente)</f>
        <v>7.2759576141834259E-12</v>
      </c>
      <c r="D207" s="367">
        <f ca="1">INDEX(T_Merger!__Capital,_AmortizacionesTablaCliente)</f>
        <v>0</v>
      </c>
      <c r="E207" s="522">
        <f ca="1">INDEX(T_Merger!__Interes,_AmortizacionesTablaCliente)</f>
        <v>7.8216544352471822E-14</v>
      </c>
      <c r="F207" s="367">
        <f ca="1">INDEX(T_Merger!__IVA,_AmortizacionesTablaCliente)</f>
        <v>9.3859853222966188E-15</v>
      </c>
      <c r="G207" s="367">
        <f ca="1">INDEX(T_Merger!__Pago,_AmortizacionesTablaCliente)</f>
        <v>8.7602529674768438E-14</v>
      </c>
      <c r="H207" s="494">
        <v>0</v>
      </c>
      <c r="I207" s="368">
        <f ca="1">INDEX(T_Merger!__Saldo_Final,_AmortizacionesTablaCliente)</f>
        <v>7.2759576141834259E-12</v>
      </c>
    </row>
    <row r="208" spans="1:9" hidden="1" x14ac:dyDescent="0.25">
      <c r="A208" s="365">
        <v>189</v>
      </c>
      <c r="B208" s="366">
        <f t="shared" ca="1" si="2"/>
        <v>48337</v>
      </c>
      <c r="C208" s="367">
        <f ca="1">INDEX(T_Merger!__Saldo_Inicial,_AmortizacionesTablaCliente)</f>
        <v>7.2759576141834259E-12</v>
      </c>
      <c r="D208" s="367">
        <f ca="1">INDEX(T_Merger!__Capital,_AmortizacionesTablaCliente)</f>
        <v>0</v>
      </c>
      <c r="E208" s="522">
        <f ca="1">INDEX(T_Merger!__Interes,_AmortizacionesTablaCliente)</f>
        <v>7.8216544352471822E-14</v>
      </c>
      <c r="F208" s="367">
        <f ca="1">INDEX(T_Merger!__IVA,_AmortizacionesTablaCliente)</f>
        <v>9.3859853222966188E-15</v>
      </c>
      <c r="G208" s="367">
        <f ca="1">INDEX(T_Merger!__Pago,_AmortizacionesTablaCliente)</f>
        <v>8.7602529674768438E-14</v>
      </c>
      <c r="H208" s="494">
        <v>0</v>
      </c>
      <c r="I208" s="368">
        <f ca="1">INDEX(T_Merger!__Saldo_Final,_AmortizacionesTablaCliente)</f>
        <v>7.2759576141834259E-12</v>
      </c>
    </row>
    <row r="209" spans="1:9" hidden="1" x14ac:dyDescent="0.25">
      <c r="A209" s="365">
        <v>190</v>
      </c>
      <c r="B209" s="366">
        <f t="shared" ca="1" si="2"/>
        <v>48368</v>
      </c>
      <c r="C209" s="367">
        <f ca="1">INDEX(T_Merger!__Saldo_Inicial,_AmortizacionesTablaCliente)</f>
        <v>7.2759576141834259E-12</v>
      </c>
      <c r="D209" s="367">
        <f ca="1">INDEX(T_Merger!__Capital,_AmortizacionesTablaCliente)</f>
        <v>0</v>
      </c>
      <c r="E209" s="522">
        <f ca="1">INDEX(T_Merger!__Interes,_AmortizacionesTablaCliente)</f>
        <v>7.8216544352471822E-14</v>
      </c>
      <c r="F209" s="367">
        <f ca="1">INDEX(T_Merger!__IVA,_AmortizacionesTablaCliente)</f>
        <v>9.3859853222966188E-15</v>
      </c>
      <c r="G209" s="367">
        <f ca="1">INDEX(T_Merger!__Pago,_AmortizacionesTablaCliente)</f>
        <v>8.7602529674768438E-14</v>
      </c>
      <c r="H209" s="494">
        <v>0</v>
      </c>
      <c r="I209" s="368">
        <f ca="1">INDEX(T_Merger!__Saldo_Final,_AmortizacionesTablaCliente)</f>
        <v>7.2759576141834259E-12</v>
      </c>
    </row>
    <row r="210" spans="1:9" hidden="1" x14ac:dyDescent="0.25">
      <c r="A210" s="365">
        <v>191</v>
      </c>
      <c r="B210" s="366">
        <f t="shared" ca="1" si="2"/>
        <v>48398</v>
      </c>
      <c r="C210" s="367">
        <f ca="1">INDEX(T_Merger!__Saldo_Inicial,_AmortizacionesTablaCliente)</f>
        <v>7.2759576141834259E-12</v>
      </c>
      <c r="D210" s="367">
        <f ca="1">INDEX(T_Merger!__Capital,_AmortizacionesTablaCliente)</f>
        <v>0</v>
      </c>
      <c r="E210" s="522">
        <f ca="1">INDEX(T_Merger!__Interes,_AmortizacionesTablaCliente)</f>
        <v>7.8216544352471822E-14</v>
      </c>
      <c r="F210" s="367">
        <f ca="1">INDEX(T_Merger!__IVA,_AmortizacionesTablaCliente)</f>
        <v>9.3859853222966188E-15</v>
      </c>
      <c r="G210" s="367">
        <f ca="1">INDEX(T_Merger!__Pago,_AmortizacionesTablaCliente)</f>
        <v>8.7602529674768438E-14</v>
      </c>
      <c r="H210" s="494">
        <v>0</v>
      </c>
      <c r="I210" s="368">
        <f ca="1">INDEX(T_Merger!__Saldo_Final,_AmortizacionesTablaCliente)</f>
        <v>7.2759576141834259E-12</v>
      </c>
    </row>
    <row r="211" spans="1:9" hidden="1" x14ac:dyDescent="0.25">
      <c r="A211" s="365">
        <v>192</v>
      </c>
      <c r="B211" s="366">
        <f t="shared" ca="1" si="2"/>
        <v>48429</v>
      </c>
      <c r="C211" s="367">
        <f ca="1">INDEX(T_Merger!__Saldo_Inicial,_AmortizacionesTablaCliente)</f>
        <v>7.2759576141834259E-12</v>
      </c>
      <c r="D211" s="367">
        <f ca="1">INDEX(T_Merger!__Capital,_AmortizacionesTablaCliente)</f>
        <v>0</v>
      </c>
      <c r="E211" s="522">
        <f ca="1">INDEX(T_Merger!__Interes,_AmortizacionesTablaCliente)</f>
        <v>7.8216544352471822E-14</v>
      </c>
      <c r="F211" s="367">
        <f ca="1">INDEX(T_Merger!__IVA,_AmortizacionesTablaCliente)</f>
        <v>9.3859853222966188E-15</v>
      </c>
      <c r="G211" s="367">
        <f ca="1">INDEX(T_Merger!__Pago,_AmortizacionesTablaCliente)</f>
        <v>8.7602529674768438E-14</v>
      </c>
      <c r="H211" s="494">
        <v>0</v>
      </c>
      <c r="I211" s="368">
        <f ca="1">INDEX(T_Merger!__Saldo_Final,_AmortizacionesTablaCliente)</f>
        <v>7.2759576141834259E-12</v>
      </c>
    </row>
    <row r="212" spans="1:9" hidden="1" x14ac:dyDescent="0.25">
      <c r="A212" s="365">
        <v>193</v>
      </c>
      <c r="B212" s="366">
        <f t="shared" ref="B212:B279" ca="1" si="3">INDEX(Fechas_Pago,_AmortizacionesTablaCliente)</f>
        <v>48460</v>
      </c>
      <c r="C212" s="367">
        <f ca="1">INDEX(T_Merger!__Saldo_Inicial,_AmortizacionesTablaCliente)</f>
        <v>7.2759576141834259E-12</v>
      </c>
      <c r="D212" s="367">
        <f ca="1">INDEX(T_Merger!__Capital,_AmortizacionesTablaCliente)</f>
        <v>0</v>
      </c>
      <c r="E212" s="522">
        <f ca="1">INDEX(T_Merger!__Interes,_AmortizacionesTablaCliente)</f>
        <v>7.8216544352471822E-14</v>
      </c>
      <c r="F212" s="367">
        <f ca="1">INDEX(T_Merger!__IVA,_AmortizacionesTablaCliente)</f>
        <v>9.3859853222966188E-15</v>
      </c>
      <c r="G212" s="367">
        <f ca="1">INDEX(T_Merger!__Pago,_AmortizacionesTablaCliente)</f>
        <v>8.7602529674768438E-14</v>
      </c>
      <c r="H212" s="494">
        <v>0</v>
      </c>
      <c r="I212" s="368">
        <f ca="1">INDEX(T_Merger!__Saldo_Final,_AmortizacionesTablaCliente)</f>
        <v>7.2759576141834259E-12</v>
      </c>
    </row>
    <row r="213" spans="1:9" hidden="1" x14ac:dyDescent="0.25">
      <c r="A213" s="365">
        <v>194</v>
      </c>
      <c r="B213" s="366">
        <f t="shared" ca="1" si="3"/>
        <v>48490</v>
      </c>
      <c r="C213" s="367">
        <f ca="1">INDEX(T_Merger!__Saldo_Inicial,_AmortizacionesTablaCliente)</f>
        <v>7.2759576141834259E-12</v>
      </c>
      <c r="D213" s="367">
        <f ca="1">INDEX(T_Merger!__Capital,_AmortizacionesTablaCliente)</f>
        <v>0</v>
      </c>
      <c r="E213" s="522">
        <f ca="1">INDEX(T_Merger!__Interes,_AmortizacionesTablaCliente)</f>
        <v>7.8216544352471822E-14</v>
      </c>
      <c r="F213" s="367">
        <f ca="1">INDEX(T_Merger!__IVA,_AmortizacionesTablaCliente)</f>
        <v>9.3859853222966188E-15</v>
      </c>
      <c r="G213" s="367">
        <f ca="1">INDEX(T_Merger!__Pago,_AmortizacionesTablaCliente)</f>
        <v>8.7602529674768438E-14</v>
      </c>
      <c r="H213" s="494">
        <v>0</v>
      </c>
      <c r="I213" s="368">
        <f ca="1">INDEX(T_Merger!__Saldo_Final,_AmortizacionesTablaCliente)</f>
        <v>7.2759576141834259E-12</v>
      </c>
    </row>
    <row r="214" spans="1:9" hidden="1" x14ac:dyDescent="0.25">
      <c r="A214" s="365">
        <v>195</v>
      </c>
      <c r="B214" s="366">
        <f t="shared" ca="1" si="3"/>
        <v>48521</v>
      </c>
      <c r="C214" s="367">
        <f ca="1">INDEX(T_Merger!__Saldo_Inicial,_AmortizacionesTablaCliente)</f>
        <v>7.2759576141834259E-12</v>
      </c>
      <c r="D214" s="367">
        <f ca="1">INDEX(T_Merger!__Capital,_AmortizacionesTablaCliente)</f>
        <v>0</v>
      </c>
      <c r="E214" s="522">
        <f ca="1">INDEX(T_Merger!__Interes,_AmortizacionesTablaCliente)</f>
        <v>7.8216544352471822E-14</v>
      </c>
      <c r="F214" s="367">
        <f ca="1">INDEX(T_Merger!__IVA,_AmortizacionesTablaCliente)</f>
        <v>9.3859853222966188E-15</v>
      </c>
      <c r="G214" s="367">
        <f ca="1">INDEX(T_Merger!__Pago,_AmortizacionesTablaCliente)</f>
        <v>8.7602529674768438E-14</v>
      </c>
      <c r="H214" s="494">
        <v>0</v>
      </c>
      <c r="I214" s="368">
        <f ca="1">INDEX(T_Merger!__Saldo_Final,_AmortizacionesTablaCliente)</f>
        <v>7.2759576141834259E-12</v>
      </c>
    </row>
    <row r="215" spans="1:9" hidden="1" x14ac:dyDescent="0.25">
      <c r="A215" s="365">
        <v>196</v>
      </c>
      <c r="B215" s="366">
        <f t="shared" ca="1" si="3"/>
        <v>48551</v>
      </c>
      <c r="C215" s="367">
        <f ca="1">INDEX(T_Merger!__Saldo_Inicial,_AmortizacionesTablaCliente)</f>
        <v>7.2759576141834259E-12</v>
      </c>
      <c r="D215" s="367">
        <f ca="1">INDEX(T_Merger!__Capital,_AmortizacionesTablaCliente)</f>
        <v>0</v>
      </c>
      <c r="E215" s="522">
        <f ca="1">INDEX(T_Merger!__Interes,_AmortizacionesTablaCliente)</f>
        <v>7.8216544352471822E-14</v>
      </c>
      <c r="F215" s="367">
        <f ca="1">INDEX(T_Merger!__IVA,_AmortizacionesTablaCliente)</f>
        <v>9.3859853222966188E-15</v>
      </c>
      <c r="G215" s="367">
        <f ca="1">INDEX(T_Merger!__Pago,_AmortizacionesTablaCliente)</f>
        <v>8.7602529674768438E-14</v>
      </c>
      <c r="H215" s="494">
        <v>0</v>
      </c>
      <c r="I215" s="368">
        <f ca="1">INDEX(T_Merger!__Saldo_Final,_AmortizacionesTablaCliente)</f>
        <v>7.2759576141834259E-12</v>
      </c>
    </row>
    <row r="216" spans="1:9" hidden="1" x14ac:dyDescent="0.25">
      <c r="A216" s="365">
        <v>197</v>
      </c>
      <c r="B216" s="366">
        <f t="shared" ca="1" si="3"/>
        <v>48582</v>
      </c>
      <c r="C216" s="367">
        <f ca="1">INDEX(T_Merger!__Saldo_Inicial,_AmortizacionesTablaCliente)</f>
        <v>7.2759576141834259E-12</v>
      </c>
      <c r="D216" s="367">
        <f ca="1">INDEX(T_Merger!__Capital,_AmortizacionesTablaCliente)</f>
        <v>0</v>
      </c>
      <c r="E216" s="522">
        <f ca="1">INDEX(T_Merger!__Interes,_AmortizacionesTablaCliente)</f>
        <v>7.8216544352471822E-14</v>
      </c>
      <c r="F216" s="367">
        <f ca="1">INDEX(T_Merger!__IVA,_AmortizacionesTablaCliente)</f>
        <v>9.3859853222966188E-15</v>
      </c>
      <c r="G216" s="367">
        <f ca="1">INDEX(T_Merger!__Pago,_AmortizacionesTablaCliente)</f>
        <v>8.7602529674768438E-14</v>
      </c>
      <c r="H216" s="494">
        <v>0</v>
      </c>
      <c r="I216" s="368">
        <f ca="1">INDEX(T_Merger!__Saldo_Final,_AmortizacionesTablaCliente)</f>
        <v>7.2759576141834259E-12</v>
      </c>
    </row>
    <row r="217" spans="1:9" hidden="1" x14ac:dyDescent="0.25">
      <c r="A217" s="365">
        <v>198</v>
      </c>
      <c r="B217" s="366">
        <f t="shared" ca="1" si="3"/>
        <v>48613</v>
      </c>
      <c r="C217" s="367">
        <f ca="1">INDEX(T_Merger!__Saldo_Inicial,_AmortizacionesTablaCliente)</f>
        <v>7.2759576141834259E-12</v>
      </c>
      <c r="D217" s="367">
        <f ca="1">INDEX(T_Merger!__Capital,_AmortizacionesTablaCliente)</f>
        <v>0</v>
      </c>
      <c r="E217" s="522">
        <f ca="1">INDEX(T_Merger!__Interes,_AmortizacionesTablaCliente)</f>
        <v>7.8216544352471822E-14</v>
      </c>
      <c r="F217" s="367">
        <f ca="1">INDEX(T_Merger!__IVA,_AmortizacionesTablaCliente)</f>
        <v>9.3859853222966188E-15</v>
      </c>
      <c r="G217" s="367">
        <f ca="1">INDEX(T_Merger!__Pago,_AmortizacionesTablaCliente)</f>
        <v>8.7602529674768438E-14</v>
      </c>
      <c r="H217" s="494">
        <v>0</v>
      </c>
      <c r="I217" s="368">
        <f ca="1">INDEX(T_Merger!__Saldo_Final,_AmortizacionesTablaCliente)</f>
        <v>7.2759576141834259E-12</v>
      </c>
    </row>
    <row r="218" spans="1:9" hidden="1" x14ac:dyDescent="0.25">
      <c r="A218" s="365">
        <v>199</v>
      </c>
      <c r="B218" s="366">
        <f t="shared" ca="1" si="3"/>
        <v>48641</v>
      </c>
      <c r="C218" s="367">
        <f ca="1">INDEX(T_Merger!__Saldo_Inicial,_AmortizacionesTablaCliente)</f>
        <v>7.2759576141834259E-12</v>
      </c>
      <c r="D218" s="367">
        <f ca="1">INDEX(T_Merger!__Capital,_AmortizacionesTablaCliente)</f>
        <v>0</v>
      </c>
      <c r="E218" s="522">
        <f ca="1">INDEX(T_Merger!__Interes,_AmortizacionesTablaCliente)</f>
        <v>7.8216544352471822E-14</v>
      </c>
      <c r="F218" s="367">
        <f ca="1">INDEX(T_Merger!__IVA,_AmortizacionesTablaCliente)</f>
        <v>9.3859853222966188E-15</v>
      </c>
      <c r="G218" s="367">
        <f ca="1">INDEX(T_Merger!__Pago,_AmortizacionesTablaCliente)</f>
        <v>8.7602529674768438E-14</v>
      </c>
      <c r="H218" s="494">
        <v>0</v>
      </c>
      <c r="I218" s="368">
        <f ca="1">INDEX(T_Merger!__Saldo_Final,_AmortizacionesTablaCliente)</f>
        <v>7.2759576141834259E-12</v>
      </c>
    </row>
    <row r="219" spans="1:9" hidden="1" x14ac:dyDescent="0.25">
      <c r="A219" s="365">
        <v>200</v>
      </c>
      <c r="B219" s="366">
        <f t="shared" ca="1" si="3"/>
        <v>48672</v>
      </c>
      <c r="C219" s="367">
        <f ca="1">INDEX(T_Merger!__Saldo_Inicial,_AmortizacionesTablaCliente)</f>
        <v>7.2759576141834259E-12</v>
      </c>
      <c r="D219" s="367">
        <f ca="1">INDEX(T_Merger!__Capital,_AmortizacionesTablaCliente)</f>
        <v>0</v>
      </c>
      <c r="E219" s="522">
        <f ca="1">INDEX(T_Merger!__Interes,_AmortizacionesTablaCliente)</f>
        <v>7.8216544352471822E-14</v>
      </c>
      <c r="F219" s="367">
        <f ca="1">INDEX(T_Merger!__IVA,_AmortizacionesTablaCliente)</f>
        <v>9.3859853222966188E-15</v>
      </c>
      <c r="G219" s="367">
        <f ca="1">INDEX(T_Merger!__Pago,_AmortizacionesTablaCliente)</f>
        <v>8.7602529674768438E-14</v>
      </c>
      <c r="H219" s="494">
        <v>0</v>
      </c>
      <c r="I219" s="368">
        <f ca="1">INDEX(T_Merger!__Saldo_Final,_AmortizacionesTablaCliente)</f>
        <v>7.2759576141834259E-12</v>
      </c>
    </row>
    <row r="220" spans="1:9" hidden="1" x14ac:dyDescent="0.25">
      <c r="A220" s="365">
        <v>201</v>
      </c>
      <c r="B220" s="366">
        <f t="shared" ca="1" si="3"/>
        <v>48702</v>
      </c>
      <c r="C220" s="367">
        <f ca="1">INDEX(T_Merger!__Saldo_Inicial,_AmortizacionesTablaCliente)</f>
        <v>7.2759576141834259E-12</v>
      </c>
      <c r="D220" s="367">
        <f ca="1">INDEX(T_Merger!__Capital,_AmortizacionesTablaCliente)</f>
        <v>0</v>
      </c>
      <c r="E220" s="522">
        <f ca="1">INDEX(T_Merger!__Interes,_AmortizacionesTablaCliente)</f>
        <v>7.8216544352471822E-14</v>
      </c>
      <c r="F220" s="367">
        <f ca="1">INDEX(T_Merger!__IVA,_AmortizacionesTablaCliente)</f>
        <v>9.3859853222966188E-15</v>
      </c>
      <c r="G220" s="367">
        <f ca="1">INDEX(T_Merger!__Pago,_AmortizacionesTablaCliente)</f>
        <v>8.7602529674768438E-14</v>
      </c>
      <c r="H220" s="494">
        <v>0</v>
      </c>
      <c r="I220" s="368">
        <f ca="1">INDEX(T_Merger!__Saldo_Final,_AmortizacionesTablaCliente)</f>
        <v>7.2759576141834259E-12</v>
      </c>
    </row>
    <row r="221" spans="1:9" hidden="1" x14ac:dyDescent="0.25">
      <c r="A221" s="365">
        <v>202</v>
      </c>
      <c r="B221" s="366">
        <f t="shared" ca="1" si="3"/>
        <v>48733</v>
      </c>
      <c r="C221" s="367">
        <f ca="1">INDEX(T_Merger!__Saldo_Inicial,_AmortizacionesTablaCliente)</f>
        <v>7.2759576141834259E-12</v>
      </c>
      <c r="D221" s="367">
        <f ca="1">INDEX(T_Merger!__Capital,_AmortizacionesTablaCliente)</f>
        <v>0</v>
      </c>
      <c r="E221" s="522">
        <f ca="1">INDEX(T_Merger!__Interes,_AmortizacionesTablaCliente)</f>
        <v>7.8216544352471822E-14</v>
      </c>
      <c r="F221" s="367">
        <f ca="1">INDEX(T_Merger!__IVA,_AmortizacionesTablaCliente)</f>
        <v>9.3859853222966188E-15</v>
      </c>
      <c r="G221" s="367">
        <f ca="1">INDEX(T_Merger!__Pago,_AmortizacionesTablaCliente)</f>
        <v>8.7602529674768438E-14</v>
      </c>
      <c r="H221" s="494">
        <v>0</v>
      </c>
      <c r="I221" s="368">
        <f ca="1">INDEX(T_Merger!__Saldo_Final,_AmortizacionesTablaCliente)</f>
        <v>7.2759576141834259E-12</v>
      </c>
    </row>
    <row r="222" spans="1:9" hidden="1" x14ac:dyDescent="0.25">
      <c r="A222" s="365">
        <v>203</v>
      </c>
      <c r="B222" s="366">
        <f t="shared" ca="1" si="3"/>
        <v>48763</v>
      </c>
      <c r="C222" s="367">
        <f ca="1">INDEX(T_Merger!__Saldo_Inicial,_AmortizacionesTablaCliente)</f>
        <v>7.2759576141834259E-12</v>
      </c>
      <c r="D222" s="367">
        <f ca="1">INDEX(T_Merger!__Capital,_AmortizacionesTablaCliente)</f>
        <v>0</v>
      </c>
      <c r="E222" s="522">
        <f ca="1">INDEX(T_Merger!__Interes,_AmortizacionesTablaCliente)</f>
        <v>7.8216544352471822E-14</v>
      </c>
      <c r="F222" s="367">
        <f ca="1">INDEX(T_Merger!__IVA,_AmortizacionesTablaCliente)</f>
        <v>9.3859853222966188E-15</v>
      </c>
      <c r="G222" s="367">
        <f ca="1">INDEX(T_Merger!__Pago,_AmortizacionesTablaCliente)</f>
        <v>8.7602529674768438E-14</v>
      </c>
      <c r="H222" s="494">
        <v>0</v>
      </c>
      <c r="I222" s="368">
        <f ca="1">INDEX(T_Merger!__Saldo_Final,_AmortizacionesTablaCliente)</f>
        <v>7.2759576141834259E-12</v>
      </c>
    </row>
    <row r="223" spans="1:9" hidden="1" x14ac:dyDescent="0.25">
      <c r="A223" s="365">
        <v>204</v>
      </c>
      <c r="B223" s="366">
        <f t="shared" ca="1" si="3"/>
        <v>48794</v>
      </c>
      <c r="C223" s="367">
        <f ca="1">INDEX(T_Merger!__Saldo_Inicial,_AmortizacionesTablaCliente)</f>
        <v>7.2759576141834259E-12</v>
      </c>
      <c r="D223" s="367">
        <f ca="1">INDEX(T_Merger!__Capital,_AmortizacionesTablaCliente)</f>
        <v>0</v>
      </c>
      <c r="E223" s="522">
        <f ca="1">INDEX(T_Merger!__Interes,_AmortizacionesTablaCliente)</f>
        <v>7.8216544352471822E-14</v>
      </c>
      <c r="F223" s="367">
        <f ca="1">INDEX(T_Merger!__IVA,_AmortizacionesTablaCliente)</f>
        <v>9.3859853222966188E-15</v>
      </c>
      <c r="G223" s="367">
        <f ca="1">INDEX(T_Merger!__Pago,_AmortizacionesTablaCliente)</f>
        <v>8.7602529674768438E-14</v>
      </c>
      <c r="H223" s="494">
        <v>0</v>
      </c>
      <c r="I223" s="368">
        <f ca="1">INDEX(T_Merger!__Saldo_Final,_AmortizacionesTablaCliente)</f>
        <v>7.2759576141834259E-12</v>
      </c>
    </row>
    <row r="224" spans="1:9" hidden="1" x14ac:dyDescent="0.25">
      <c r="A224" s="365">
        <v>205</v>
      </c>
      <c r="B224" s="366">
        <f t="shared" ca="1" si="3"/>
        <v>48825</v>
      </c>
      <c r="C224" s="367">
        <f ca="1">INDEX(T_Merger!__Saldo_Inicial,_AmortizacionesTablaCliente)</f>
        <v>7.2759576141834259E-12</v>
      </c>
      <c r="D224" s="367">
        <f ca="1">INDEX(T_Merger!__Capital,_AmortizacionesTablaCliente)</f>
        <v>0</v>
      </c>
      <c r="E224" s="522">
        <f ca="1">INDEX(T_Merger!__Interes,_AmortizacionesTablaCliente)</f>
        <v>7.8216544352471822E-14</v>
      </c>
      <c r="F224" s="367">
        <f ca="1">INDEX(T_Merger!__IVA,_AmortizacionesTablaCliente)</f>
        <v>9.3859853222966188E-15</v>
      </c>
      <c r="G224" s="367">
        <f ca="1">INDEX(T_Merger!__Pago,_AmortizacionesTablaCliente)</f>
        <v>8.7602529674768438E-14</v>
      </c>
      <c r="H224" s="494">
        <v>0</v>
      </c>
      <c r="I224" s="368">
        <f ca="1">INDEX(T_Merger!__Saldo_Final,_AmortizacionesTablaCliente)</f>
        <v>7.2759576141834259E-12</v>
      </c>
    </row>
    <row r="225" spans="1:9" hidden="1" x14ac:dyDescent="0.25">
      <c r="A225" s="365">
        <v>206</v>
      </c>
      <c r="B225" s="366">
        <f t="shared" ca="1" si="3"/>
        <v>48855</v>
      </c>
      <c r="C225" s="367">
        <f ca="1">INDEX(T_Merger!__Saldo_Inicial,_AmortizacionesTablaCliente)</f>
        <v>7.2759576141834259E-12</v>
      </c>
      <c r="D225" s="367">
        <f ca="1">INDEX(T_Merger!__Capital,_AmortizacionesTablaCliente)</f>
        <v>0</v>
      </c>
      <c r="E225" s="522">
        <f ca="1">INDEX(T_Merger!__Interes,_AmortizacionesTablaCliente)</f>
        <v>7.8216544352471822E-14</v>
      </c>
      <c r="F225" s="367">
        <f ca="1">INDEX(T_Merger!__IVA,_AmortizacionesTablaCliente)</f>
        <v>9.3859853222966188E-15</v>
      </c>
      <c r="G225" s="367">
        <f ca="1">INDEX(T_Merger!__Pago,_AmortizacionesTablaCliente)</f>
        <v>8.7602529674768438E-14</v>
      </c>
      <c r="H225" s="494">
        <v>0</v>
      </c>
      <c r="I225" s="368">
        <f ca="1">INDEX(T_Merger!__Saldo_Final,_AmortizacionesTablaCliente)</f>
        <v>7.2759576141834259E-12</v>
      </c>
    </row>
    <row r="226" spans="1:9" hidden="1" x14ac:dyDescent="0.25">
      <c r="A226" s="365">
        <v>207</v>
      </c>
      <c r="B226" s="366">
        <f t="shared" ca="1" si="3"/>
        <v>48886</v>
      </c>
      <c r="C226" s="367">
        <f ca="1">INDEX(T_Merger!__Saldo_Inicial,_AmortizacionesTablaCliente)</f>
        <v>7.2759576141834259E-12</v>
      </c>
      <c r="D226" s="367">
        <f ca="1">INDEX(T_Merger!__Capital,_AmortizacionesTablaCliente)</f>
        <v>0</v>
      </c>
      <c r="E226" s="522">
        <f ca="1">INDEX(T_Merger!__Interes,_AmortizacionesTablaCliente)</f>
        <v>7.8216544352471822E-14</v>
      </c>
      <c r="F226" s="367">
        <f ca="1">INDEX(T_Merger!__IVA,_AmortizacionesTablaCliente)</f>
        <v>9.3859853222966188E-15</v>
      </c>
      <c r="G226" s="367">
        <f ca="1">INDEX(T_Merger!__Pago,_AmortizacionesTablaCliente)</f>
        <v>8.7602529674768438E-14</v>
      </c>
      <c r="H226" s="494">
        <v>0</v>
      </c>
      <c r="I226" s="368">
        <f ca="1">INDEX(T_Merger!__Saldo_Final,_AmortizacionesTablaCliente)</f>
        <v>7.2759576141834259E-12</v>
      </c>
    </row>
    <row r="227" spans="1:9" hidden="1" x14ac:dyDescent="0.25">
      <c r="A227" s="365">
        <v>208</v>
      </c>
      <c r="B227" s="366">
        <f t="shared" ca="1" si="3"/>
        <v>48916</v>
      </c>
      <c r="C227" s="367">
        <f ca="1">INDEX(T_Merger!__Saldo_Inicial,_AmortizacionesTablaCliente)</f>
        <v>7.2759576141834259E-12</v>
      </c>
      <c r="D227" s="367">
        <f ca="1">INDEX(T_Merger!__Capital,_AmortizacionesTablaCliente)</f>
        <v>0</v>
      </c>
      <c r="E227" s="522">
        <f ca="1">INDEX(T_Merger!__Interes,_AmortizacionesTablaCliente)</f>
        <v>7.8216544352471822E-14</v>
      </c>
      <c r="F227" s="367">
        <f ca="1">INDEX(T_Merger!__IVA,_AmortizacionesTablaCliente)</f>
        <v>9.3859853222966188E-15</v>
      </c>
      <c r="G227" s="367">
        <f ca="1">INDEX(T_Merger!__Pago,_AmortizacionesTablaCliente)</f>
        <v>8.7602529674768438E-14</v>
      </c>
      <c r="H227" s="494">
        <v>0</v>
      </c>
      <c r="I227" s="368">
        <f ca="1">INDEX(T_Merger!__Saldo_Final,_AmortizacionesTablaCliente)</f>
        <v>7.2759576141834259E-12</v>
      </c>
    </row>
    <row r="228" spans="1:9" hidden="1" x14ac:dyDescent="0.25">
      <c r="A228" s="365">
        <v>209</v>
      </c>
      <c r="B228" s="366">
        <f t="shared" ca="1" si="3"/>
        <v>48947</v>
      </c>
      <c r="C228" s="367">
        <f ca="1">INDEX(T_Merger!__Saldo_Inicial,_AmortizacionesTablaCliente)</f>
        <v>7.2759576141834259E-12</v>
      </c>
      <c r="D228" s="367">
        <f ca="1">INDEX(T_Merger!__Capital,_AmortizacionesTablaCliente)</f>
        <v>0</v>
      </c>
      <c r="E228" s="522">
        <f ca="1">INDEX(T_Merger!__Interes,_AmortizacionesTablaCliente)</f>
        <v>7.8216544352471822E-14</v>
      </c>
      <c r="F228" s="367">
        <f ca="1">INDEX(T_Merger!__IVA,_AmortizacionesTablaCliente)</f>
        <v>9.3859853222966188E-15</v>
      </c>
      <c r="G228" s="367">
        <f ca="1">INDEX(T_Merger!__Pago,_AmortizacionesTablaCliente)</f>
        <v>8.7602529674768438E-14</v>
      </c>
      <c r="H228" s="494">
        <v>0</v>
      </c>
      <c r="I228" s="368">
        <f ca="1">INDEX(T_Merger!__Saldo_Final,_AmortizacionesTablaCliente)</f>
        <v>7.2759576141834259E-12</v>
      </c>
    </row>
    <row r="229" spans="1:9" hidden="1" x14ac:dyDescent="0.25">
      <c r="A229" s="365">
        <v>210</v>
      </c>
      <c r="B229" s="366">
        <f t="shared" ca="1" si="3"/>
        <v>48978</v>
      </c>
      <c r="C229" s="367">
        <f ca="1">INDEX(T_Merger!__Saldo_Inicial,_AmortizacionesTablaCliente)</f>
        <v>7.2759576141834259E-12</v>
      </c>
      <c r="D229" s="367">
        <f ca="1">INDEX(T_Merger!__Capital,_AmortizacionesTablaCliente)</f>
        <v>0</v>
      </c>
      <c r="E229" s="522">
        <f ca="1">INDEX(T_Merger!__Interes,_AmortizacionesTablaCliente)</f>
        <v>7.8216544352471822E-14</v>
      </c>
      <c r="F229" s="367">
        <f ca="1">INDEX(T_Merger!__IVA,_AmortizacionesTablaCliente)</f>
        <v>9.3859853222966188E-15</v>
      </c>
      <c r="G229" s="367">
        <f ca="1">INDEX(T_Merger!__Pago,_AmortizacionesTablaCliente)</f>
        <v>8.7602529674768438E-14</v>
      </c>
      <c r="H229" s="494">
        <v>0</v>
      </c>
      <c r="I229" s="368">
        <f ca="1">INDEX(T_Merger!__Saldo_Final,_AmortizacionesTablaCliente)</f>
        <v>7.2759576141834259E-12</v>
      </c>
    </row>
    <row r="230" spans="1:9" hidden="1" x14ac:dyDescent="0.25">
      <c r="A230" s="365">
        <v>211</v>
      </c>
      <c r="B230" s="366">
        <f t="shared" ca="1" si="3"/>
        <v>49006</v>
      </c>
      <c r="C230" s="367">
        <f ca="1">INDEX(T_Merger!__Saldo_Inicial,_AmortizacionesTablaCliente)</f>
        <v>7.2759576141834259E-12</v>
      </c>
      <c r="D230" s="367">
        <f ca="1">INDEX(T_Merger!__Capital,_AmortizacionesTablaCliente)</f>
        <v>0</v>
      </c>
      <c r="E230" s="522">
        <f ca="1">INDEX(T_Merger!__Interes,_AmortizacionesTablaCliente)</f>
        <v>7.8216544352471822E-14</v>
      </c>
      <c r="F230" s="367">
        <f ca="1">INDEX(T_Merger!__IVA,_AmortizacionesTablaCliente)</f>
        <v>9.3859853222966188E-15</v>
      </c>
      <c r="G230" s="367">
        <f ca="1">INDEX(T_Merger!__Pago,_AmortizacionesTablaCliente)</f>
        <v>8.7602529674768438E-14</v>
      </c>
      <c r="H230" s="494">
        <v>0</v>
      </c>
      <c r="I230" s="368">
        <f ca="1">INDEX(T_Merger!__Saldo_Final,_AmortizacionesTablaCliente)</f>
        <v>7.2759576141834259E-12</v>
      </c>
    </row>
    <row r="231" spans="1:9" hidden="1" x14ac:dyDescent="0.25">
      <c r="A231" s="365">
        <v>212</v>
      </c>
      <c r="B231" s="366">
        <f t="shared" ca="1" si="3"/>
        <v>49037</v>
      </c>
      <c r="C231" s="367">
        <f ca="1">INDEX(T_Merger!__Saldo_Inicial,_AmortizacionesTablaCliente)</f>
        <v>7.2759576141834259E-12</v>
      </c>
      <c r="D231" s="367">
        <f ca="1">INDEX(T_Merger!__Capital,_AmortizacionesTablaCliente)</f>
        <v>0</v>
      </c>
      <c r="E231" s="522">
        <f ca="1">INDEX(T_Merger!__Interes,_AmortizacionesTablaCliente)</f>
        <v>7.8216544352471822E-14</v>
      </c>
      <c r="F231" s="367">
        <f ca="1">INDEX(T_Merger!__IVA,_AmortizacionesTablaCliente)</f>
        <v>9.3859853222966188E-15</v>
      </c>
      <c r="G231" s="367">
        <f ca="1">INDEX(T_Merger!__Pago,_AmortizacionesTablaCliente)</f>
        <v>8.7602529674768438E-14</v>
      </c>
      <c r="H231" s="494">
        <v>0</v>
      </c>
      <c r="I231" s="368">
        <f ca="1">INDEX(T_Merger!__Saldo_Final,_AmortizacionesTablaCliente)</f>
        <v>7.2759576141834259E-12</v>
      </c>
    </row>
    <row r="232" spans="1:9" hidden="1" x14ac:dyDescent="0.25">
      <c r="A232" s="365">
        <v>213</v>
      </c>
      <c r="B232" s="366">
        <f t="shared" ca="1" si="3"/>
        <v>49067</v>
      </c>
      <c r="C232" s="367">
        <f ca="1">INDEX(T_Merger!__Saldo_Inicial,_AmortizacionesTablaCliente)</f>
        <v>7.2759576141834259E-12</v>
      </c>
      <c r="D232" s="367">
        <f ca="1">INDEX(T_Merger!__Capital,_AmortizacionesTablaCliente)</f>
        <v>0</v>
      </c>
      <c r="E232" s="522">
        <f ca="1">INDEX(T_Merger!__Interes,_AmortizacionesTablaCliente)</f>
        <v>7.8216544352471822E-14</v>
      </c>
      <c r="F232" s="367">
        <f ca="1">INDEX(T_Merger!__IVA,_AmortizacionesTablaCliente)</f>
        <v>9.3859853222966188E-15</v>
      </c>
      <c r="G232" s="367">
        <f ca="1">INDEX(T_Merger!__Pago,_AmortizacionesTablaCliente)</f>
        <v>8.7602529674768438E-14</v>
      </c>
      <c r="H232" s="494">
        <v>0</v>
      </c>
      <c r="I232" s="368">
        <f ca="1">INDEX(T_Merger!__Saldo_Final,_AmortizacionesTablaCliente)</f>
        <v>7.2759576141834259E-12</v>
      </c>
    </row>
    <row r="233" spans="1:9" hidden="1" x14ac:dyDescent="0.25">
      <c r="A233" s="365">
        <v>214</v>
      </c>
      <c r="B233" s="366">
        <f t="shared" ca="1" si="3"/>
        <v>49098</v>
      </c>
      <c r="C233" s="367">
        <f ca="1">INDEX(T_Merger!__Saldo_Inicial,_AmortizacionesTablaCliente)</f>
        <v>7.2759576141834259E-12</v>
      </c>
      <c r="D233" s="367">
        <f ca="1">INDEX(T_Merger!__Capital,_AmortizacionesTablaCliente)</f>
        <v>0</v>
      </c>
      <c r="E233" s="522">
        <f ca="1">INDEX(T_Merger!__Interes,_AmortizacionesTablaCliente)</f>
        <v>7.8216544352471822E-14</v>
      </c>
      <c r="F233" s="367">
        <f ca="1">INDEX(T_Merger!__IVA,_AmortizacionesTablaCliente)</f>
        <v>9.3859853222966188E-15</v>
      </c>
      <c r="G233" s="367">
        <f ca="1">INDEX(T_Merger!__Pago,_AmortizacionesTablaCliente)</f>
        <v>8.7602529674768438E-14</v>
      </c>
      <c r="H233" s="494">
        <v>0</v>
      </c>
      <c r="I233" s="368">
        <f ca="1">INDEX(T_Merger!__Saldo_Final,_AmortizacionesTablaCliente)</f>
        <v>7.2759576141834259E-12</v>
      </c>
    </row>
    <row r="234" spans="1:9" hidden="1" x14ac:dyDescent="0.25">
      <c r="A234" s="365">
        <v>215</v>
      </c>
      <c r="B234" s="366">
        <f t="shared" ca="1" si="3"/>
        <v>49128</v>
      </c>
      <c r="C234" s="367">
        <f ca="1">INDEX(T_Merger!__Saldo_Inicial,_AmortizacionesTablaCliente)</f>
        <v>7.2759576141834259E-12</v>
      </c>
      <c r="D234" s="367">
        <f ca="1">INDEX(T_Merger!__Capital,_AmortizacionesTablaCliente)</f>
        <v>0</v>
      </c>
      <c r="E234" s="522">
        <f ca="1">INDEX(T_Merger!__Interes,_AmortizacionesTablaCliente)</f>
        <v>7.8216544352471822E-14</v>
      </c>
      <c r="F234" s="367">
        <f ca="1">INDEX(T_Merger!__IVA,_AmortizacionesTablaCliente)</f>
        <v>9.3859853222966188E-15</v>
      </c>
      <c r="G234" s="367">
        <f ca="1">INDEX(T_Merger!__Pago,_AmortizacionesTablaCliente)</f>
        <v>8.7602529674768438E-14</v>
      </c>
      <c r="H234" s="494">
        <v>0</v>
      </c>
      <c r="I234" s="368">
        <f ca="1">INDEX(T_Merger!__Saldo_Final,_AmortizacionesTablaCliente)</f>
        <v>7.2759576141834259E-12</v>
      </c>
    </row>
    <row r="235" spans="1:9" hidden="1" x14ac:dyDescent="0.25">
      <c r="A235" s="365">
        <v>216</v>
      </c>
      <c r="B235" s="366">
        <f t="shared" ca="1" si="3"/>
        <v>49159</v>
      </c>
      <c r="C235" s="367">
        <f ca="1">INDEX(T_Merger!__Saldo_Inicial,_AmortizacionesTablaCliente)</f>
        <v>7.2759576141834259E-12</v>
      </c>
      <c r="D235" s="367">
        <f ca="1">INDEX(T_Merger!__Capital,_AmortizacionesTablaCliente)</f>
        <v>0</v>
      </c>
      <c r="E235" s="522">
        <f ca="1">INDEX(T_Merger!__Interes,_AmortizacionesTablaCliente)</f>
        <v>7.8216544352471822E-14</v>
      </c>
      <c r="F235" s="367">
        <f ca="1">INDEX(T_Merger!__IVA,_AmortizacionesTablaCliente)</f>
        <v>9.3859853222966188E-15</v>
      </c>
      <c r="G235" s="367">
        <f ca="1">INDEX(T_Merger!__Pago,_AmortizacionesTablaCliente)</f>
        <v>8.7602529674768438E-14</v>
      </c>
      <c r="H235" s="494">
        <v>0</v>
      </c>
      <c r="I235" s="368">
        <f ca="1">INDEX(T_Merger!__Saldo_Final,_AmortizacionesTablaCliente)</f>
        <v>7.2759576141834259E-12</v>
      </c>
    </row>
    <row r="236" spans="1:9" hidden="1" x14ac:dyDescent="0.25">
      <c r="A236" s="365">
        <v>217</v>
      </c>
      <c r="B236" s="366">
        <f t="shared" ca="1" si="3"/>
        <v>49190</v>
      </c>
      <c r="C236" s="367">
        <f ca="1">INDEX(T_Merger!__Saldo_Inicial,_AmortizacionesTablaCliente)</f>
        <v>7.2759576141834259E-12</v>
      </c>
      <c r="D236" s="367">
        <f ca="1">INDEX(T_Merger!__Capital,_AmortizacionesTablaCliente)</f>
        <v>0</v>
      </c>
      <c r="E236" s="522">
        <f ca="1">INDEX(T_Merger!__Interes,_AmortizacionesTablaCliente)</f>
        <v>7.8216544352471822E-14</v>
      </c>
      <c r="F236" s="367">
        <f ca="1">INDEX(T_Merger!__IVA,_AmortizacionesTablaCliente)</f>
        <v>9.3859853222966188E-15</v>
      </c>
      <c r="G236" s="367">
        <f ca="1">INDEX(T_Merger!__Pago,_AmortizacionesTablaCliente)</f>
        <v>8.7602529674768438E-14</v>
      </c>
      <c r="H236" s="494">
        <v>0</v>
      </c>
      <c r="I236" s="368">
        <f ca="1">INDEX(T_Merger!__Saldo_Final,_AmortizacionesTablaCliente)</f>
        <v>7.2759576141834259E-12</v>
      </c>
    </row>
    <row r="237" spans="1:9" hidden="1" x14ac:dyDescent="0.25">
      <c r="A237" s="365">
        <v>218</v>
      </c>
      <c r="B237" s="366">
        <f t="shared" ca="1" si="3"/>
        <v>49220</v>
      </c>
      <c r="C237" s="367">
        <f ca="1">INDEX(T_Merger!__Saldo_Inicial,_AmortizacionesTablaCliente)</f>
        <v>7.2759576141834259E-12</v>
      </c>
      <c r="D237" s="367">
        <f ca="1">INDEX(T_Merger!__Capital,_AmortizacionesTablaCliente)</f>
        <v>0</v>
      </c>
      <c r="E237" s="522">
        <f ca="1">INDEX(T_Merger!__Interes,_AmortizacionesTablaCliente)</f>
        <v>7.8216544352471822E-14</v>
      </c>
      <c r="F237" s="367">
        <f ca="1">INDEX(T_Merger!__IVA,_AmortizacionesTablaCliente)</f>
        <v>9.3859853222966188E-15</v>
      </c>
      <c r="G237" s="367">
        <f ca="1">INDEX(T_Merger!__Pago,_AmortizacionesTablaCliente)</f>
        <v>8.7602529674768438E-14</v>
      </c>
      <c r="H237" s="494">
        <v>0</v>
      </c>
      <c r="I237" s="368">
        <f ca="1">INDEX(T_Merger!__Saldo_Final,_AmortizacionesTablaCliente)</f>
        <v>7.2759576141834259E-12</v>
      </c>
    </row>
    <row r="238" spans="1:9" hidden="1" x14ac:dyDescent="0.25">
      <c r="A238" s="365">
        <v>219</v>
      </c>
      <c r="B238" s="366">
        <f t="shared" ca="1" si="3"/>
        <v>49251</v>
      </c>
      <c r="C238" s="367">
        <f ca="1">INDEX(T_Merger!__Saldo_Inicial,_AmortizacionesTablaCliente)</f>
        <v>7.2759576141834259E-12</v>
      </c>
      <c r="D238" s="367">
        <f ca="1">INDEX(T_Merger!__Capital,_AmortizacionesTablaCliente)</f>
        <v>0</v>
      </c>
      <c r="E238" s="522">
        <f ca="1">INDEX(T_Merger!__Interes,_AmortizacionesTablaCliente)</f>
        <v>7.8216544352471822E-14</v>
      </c>
      <c r="F238" s="367">
        <f ca="1">INDEX(T_Merger!__IVA,_AmortizacionesTablaCliente)</f>
        <v>9.3859853222966188E-15</v>
      </c>
      <c r="G238" s="367">
        <f ca="1">INDEX(T_Merger!__Pago,_AmortizacionesTablaCliente)</f>
        <v>8.7602529674768438E-14</v>
      </c>
      <c r="H238" s="494">
        <v>0</v>
      </c>
      <c r="I238" s="368">
        <f ca="1">INDEX(T_Merger!__Saldo_Final,_AmortizacionesTablaCliente)</f>
        <v>7.2759576141834259E-12</v>
      </c>
    </row>
    <row r="239" spans="1:9" hidden="1" x14ac:dyDescent="0.25">
      <c r="A239" s="365">
        <v>220</v>
      </c>
      <c r="B239" s="366">
        <f t="shared" ca="1" si="3"/>
        <v>49281</v>
      </c>
      <c r="C239" s="367">
        <f ca="1">INDEX(T_Merger!__Saldo_Inicial,_AmortizacionesTablaCliente)</f>
        <v>7.2759576141834259E-12</v>
      </c>
      <c r="D239" s="367">
        <f ca="1">INDEX(T_Merger!__Capital,_AmortizacionesTablaCliente)</f>
        <v>0</v>
      </c>
      <c r="E239" s="522">
        <f ca="1">INDEX(T_Merger!__Interes,_AmortizacionesTablaCliente)</f>
        <v>7.8216544352471822E-14</v>
      </c>
      <c r="F239" s="367">
        <f ca="1">INDEX(T_Merger!__IVA,_AmortizacionesTablaCliente)</f>
        <v>9.3859853222966188E-15</v>
      </c>
      <c r="G239" s="367">
        <f ca="1">INDEX(T_Merger!__Pago,_AmortizacionesTablaCliente)</f>
        <v>8.7602529674768438E-14</v>
      </c>
      <c r="H239" s="494">
        <v>0</v>
      </c>
      <c r="I239" s="368">
        <f ca="1">INDEX(T_Merger!__Saldo_Final,_AmortizacionesTablaCliente)</f>
        <v>7.2759576141834259E-12</v>
      </c>
    </row>
    <row r="240" spans="1:9" hidden="1" x14ac:dyDescent="0.25">
      <c r="A240" s="365">
        <v>221</v>
      </c>
      <c r="B240" s="366">
        <f t="shared" ca="1" si="3"/>
        <v>49312</v>
      </c>
      <c r="C240" s="367">
        <f ca="1">INDEX(T_Merger!__Saldo_Inicial,_AmortizacionesTablaCliente)</f>
        <v>7.2759576141834259E-12</v>
      </c>
      <c r="D240" s="367">
        <f ca="1">INDEX(T_Merger!__Capital,_AmortizacionesTablaCliente)</f>
        <v>0</v>
      </c>
      <c r="E240" s="522">
        <f ca="1">INDEX(T_Merger!__Interes,_AmortizacionesTablaCliente)</f>
        <v>7.8216544352471822E-14</v>
      </c>
      <c r="F240" s="367">
        <f ca="1">INDEX(T_Merger!__IVA,_AmortizacionesTablaCliente)</f>
        <v>9.3859853222966188E-15</v>
      </c>
      <c r="G240" s="367">
        <f ca="1">INDEX(T_Merger!__Pago,_AmortizacionesTablaCliente)</f>
        <v>8.7602529674768438E-14</v>
      </c>
      <c r="H240" s="494">
        <v>0</v>
      </c>
      <c r="I240" s="368">
        <f ca="1">INDEX(T_Merger!__Saldo_Final,_AmortizacionesTablaCliente)</f>
        <v>7.2759576141834259E-12</v>
      </c>
    </row>
    <row r="241" spans="1:9" hidden="1" x14ac:dyDescent="0.25">
      <c r="A241" s="365">
        <v>222</v>
      </c>
      <c r="B241" s="366">
        <f t="shared" ca="1" si="3"/>
        <v>49343</v>
      </c>
      <c r="C241" s="367">
        <f ca="1">INDEX(T_Merger!__Saldo_Inicial,_AmortizacionesTablaCliente)</f>
        <v>7.2759576141834259E-12</v>
      </c>
      <c r="D241" s="367">
        <f ca="1">INDEX(T_Merger!__Capital,_AmortizacionesTablaCliente)</f>
        <v>0</v>
      </c>
      <c r="E241" s="522">
        <f ca="1">INDEX(T_Merger!__Interes,_AmortizacionesTablaCliente)</f>
        <v>7.8216544352471822E-14</v>
      </c>
      <c r="F241" s="367">
        <f ca="1">INDEX(T_Merger!__IVA,_AmortizacionesTablaCliente)</f>
        <v>9.3859853222966188E-15</v>
      </c>
      <c r="G241" s="367">
        <f ca="1">INDEX(T_Merger!__Pago,_AmortizacionesTablaCliente)</f>
        <v>8.7602529674768438E-14</v>
      </c>
      <c r="H241" s="494">
        <v>0</v>
      </c>
      <c r="I241" s="368">
        <f ca="1">INDEX(T_Merger!__Saldo_Final,_AmortizacionesTablaCliente)</f>
        <v>7.2759576141834259E-12</v>
      </c>
    </row>
    <row r="242" spans="1:9" hidden="1" x14ac:dyDescent="0.25">
      <c r="A242" s="365">
        <v>223</v>
      </c>
      <c r="B242" s="366">
        <f t="shared" ca="1" si="3"/>
        <v>49371</v>
      </c>
      <c r="C242" s="367">
        <f ca="1">INDEX(T_Merger!__Saldo_Inicial,_AmortizacionesTablaCliente)</f>
        <v>7.2759576141834259E-12</v>
      </c>
      <c r="D242" s="367">
        <f ca="1">INDEX(T_Merger!__Capital,_AmortizacionesTablaCliente)</f>
        <v>0</v>
      </c>
      <c r="E242" s="522">
        <f ca="1">INDEX(T_Merger!__Interes,_AmortizacionesTablaCliente)</f>
        <v>7.8216544352471822E-14</v>
      </c>
      <c r="F242" s="367">
        <f ca="1">INDEX(T_Merger!__IVA,_AmortizacionesTablaCliente)</f>
        <v>9.3859853222966188E-15</v>
      </c>
      <c r="G242" s="367">
        <f ca="1">INDEX(T_Merger!__Pago,_AmortizacionesTablaCliente)</f>
        <v>8.7602529674768438E-14</v>
      </c>
      <c r="H242" s="494">
        <v>0</v>
      </c>
      <c r="I242" s="368">
        <f ca="1">INDEX(T_Merger!__Saldo_Final,_AmortizacionesTablaCliente)</f>
        <v>7.2759576141834259E-12</v>
      </c>
    </row>
    <row r="243" spans="1:9" hidden="1" x14ac:dyDescent="0.25">
      <c r="A243" s="365">
        <v>224</v>
      </c>
      <c r="B243" s="366">
        <f t="shared" ca="1" si="3"/>
        <v>49402</v>
      </c>
      <c r="C243" s="367">
        <f ca="1">INDEX(T_Merger!__Saldo_Inicial,_AmortizacionesTablaCliente)</f>
        <v>7.2759576141834259E-12</v>
      </c>
      <c r="D243" s="367">
        <f ca="1">INDEX(T_Merger!__Capital,_AmortizacionesTablaCliente)</f>
        <v>0</v>
      </c>
      <c r="E243" s="522">
        <f ca="1">INDEX(T_Merger!__Interes,_AmortizacionesTablaCliente)</f>
        <v>7.8216544352471822E-14</v>
      </c>
      <c r="F243" s="367">
        <f ca="1">INDEX(T_Merger!__IVA,_AmortizacionesTablaCliente)</f>
        <v>9.3859853222966188E-15</v>
      </c>
      <c r="G243" s="367">
        <f ca="1">INDEX(T_Merger!__Pago,_AmortizacionesTablaCliente)</f>
        <v>8.7602529674768438E-14</v>
      </c>
      <c r="H243" s="494">
        <v>0</v>
      </c>
      <c r="I243" s="368">
        <f ca="1">INDEX(T_Merger!__Saldo_Final,_AmortizacionesTablaCliente)</f>
        <v>7.2759576141834259E-12</v>
      </c>
    </row>
    <row r="244" spans="1:9" hidden="1" x14ac:dyDescent="0.25">
      <c r="A244" s="365">
        <v>225</v>
      </c>
      <c r="B244" s="366">
        <f t="shared" ca="1" si="3"/>
        <v>49432</v>
      </c>
      <c r="C244" s="367">
        <f ca="1">INDEX(T_Merger!__Saldo_Inicial,_AmortizacionesTablaCliente)</f>
        <v>7.2759576141834259E-12</v>
      </c>
      <c r="D244" s="367">
        <f ca="1">INDEX(T_Merger!__Capital,_AmortizacionesTablaCliente)</f>
        <v>0</v>
      </c>
      <c r="E244" s="522">
        <f ca="1">INDEX(T_Merger!__Interes,_AmortizacionesTablaCliente)</f>
        <v>7.8216544352471822E-14</v>
      </c>
      <c r="F244" s="367">
        <f ca="1">INDEX(T_Merger!__IVA,_AmortizacionesTablaCliente)</f>
        <v>9.3859853222966188E-15</v>
      </c>
      <c r="G244" s="367">
        <f ca="1">INDEX(T_Merger!__Pago,_AmortizacionesTablaCliente)</f>
        <v>8.7602529674768438E-14</v>
      </c>
      <c r="H244" s="494">
        <v>0</v>
      </c>
      <c r="I244" s="368">
        <f ca="1">INDEX(T_Merger!__Saldo_Final,_AmortizacionesTablaCliente)</f>
        <v>7.2759576141834259E-12</v>
      </c>
    </row>
    <row r="245" spans="1:9" hidden="1" x14ac:dyDescent="0.25">
      <c r="A245" s="365">
        <v>226</v>
      </c>
      <c r="B245" s="366">
        <f t="shared" ca="1" si="3"/>
        <v>49463</v>
      </c>
      <c r="C245" s="367">
        <f ca="1">INDEX(T_Merger!__Saldo_Inicial,_AmortizacionesTablaCliente)</f>
        <v>7.2759576141834259E-12</v>
      </c>
      <c r="D245" s="367">
        <f ca="1">INDEX(T_Merger!__Capital,_AmortizacionesTablaCliente)</f>
        <v>0</v>
      </c>
      <c r="E245" s="522">
        <f ca="1">INDEX(T_Merger!__Interes,_AmortizacionesTablaCliente)</f>
        <v>7.8216544352471822E-14</v>
      </c>
      <c r="F245" s="367">
        <f ca="1">INDEX(T_Merger!__IVA,_AmortizacionesTablaCliente)</f>
        <v>9.3859853222966188E-15</v>
      </c>
      <c r="G245" s="367">
        <f ca="1">INDEX(T_Merger!__Pago,_AmortizacionesTablaCliente)</f>
        <v>8.7602529674768438E-14</v>
      </c>
      <c r="H245" s="494">
        <v>0</v>
      </c>
      <c r="I245" s="368">
        <f ca="1">INDEX(T_Merger!__Saldo_Final,_AmortizacionesTablaCliente)</f>
        <v>7.2759576141834259E-12</v>
      </c>
    </row>
    <row r="246" spans="1:9" hidden="1" x14ac:dyDescent="0.25">
      <c r="A246" s="365">
        <v>227</v>
      </c>
      <c r="B246" s="366">
        <f t="shared" ca="1" si="3"/>
        <v>49493</v>
      </c>
      <c r="C246" s="367">
        <f ca="1">INDEX(T_Merger!__Saldo_Inicial,_AmortizacionesTablaCliente)</f>
        <v>7.2759576141834259E-12</v>
      </c>
      <c r="D246" s="367">
        <f ca="1">INDEX(T_Merger!__Capital,_AmortizacionesTablaCliente)</f>
        <v>0</v>
      </c>
      <c r="E246" s="522">
        <f ca="1">INDEX(T_Merger!__Interes,_AmortizacionesTablaCliente)</f>
        <v>7.8216544352471822E-14</v>
      </c>
      <c r="F246" s="367">
        <f ca="1">INDEX(T_Merger!__IVA,_AmortizacionesTablaCliente)</f>
        <v>9.3859853222966188E-15</v>
      </c>
      <c r="G246" s="367">
        <f ca="1">INDEX(T_Merger!__Pago,_AmortizacionesTablaCliente)</f>
        <v>8.7602529674768438E-14</v>
      </c>
      <c r="H246" s="494">
        <v>0</v>
      </c>
      <c r="I246" s="368">
        <f ca="1">INDEX(T_Merger!__Saldo_Final,_AmortizacionesTablaCliente)</f>
        <v>7.2759576141834259E-12</v>
      </c>
    </row>
    <row r="247" spans="1:9" hidden="1" x14ac:dyDescent="0.25">
      <c r="A247" s="365">
        <v>228</v>
      </c>
      <c r="B247" s="366">
        <f t="shared" ca="1" si="3"/>
        <v>49524</v>
      </c>
      <c r="C247" s="367">
        <f ca="1">INDEX(T_Merger!__Saldo_Inicial,_AmortizacionesTablaCliente)</f>
        <v>7.2759576141834259E-12</v>
      </c>
      <c r="D247" s="367">
        <f ca="1">INDEX(T_Merger!__Capital,_AmortizacionesTablaCliente)</f>
        <v>0</v>
      </c>
      <c r="E247" s="522">
        <f ca="1">INDEX(T_Merger!__Interes,_AmortizacionesTablaCliente)</f>
        <v>7.8216544352471822E-14</v>
      </c>
      <c r="F247" s="367">
        <f ca="1">INDEX(T_Merger!__IVA,_AmortizacionesTablaCliente)</f>
        <v>9.3859853222966188E-15</v>
      </c>
      <c r="G247" s="367">
        <f ca="1">INDEX(T_Merger!__Pago,_AmortizacionesTablaCliente)</f>
        <v>8.7602529674768438E-14</v>
      </c>
      <c r="H247" s="494">
        <v>0</v>
      </c>
      <c r="I247" s="368">
        <f ca="1">INDEX(T_Merger!__Saldo_Final,_AmortizacionesTablaCliente)</f>
        <v>7.2759576141834259E-12</v>
      </c>
    </row>
    <row r="248" spans="1:9" hidden="1" x14ac:dyDescent="0.25">
      <c r="A248" s="365">
        <v>229</v>
      </c>
      <c r="B248" s="366">
        <f t="shared" ca="1" si="3"/>
        <v>49555</v>
      </c>
      <c r="C248" s="367">
        <f ca="1">INDEX(T_Merger!__Saldo_Inicial,_AmortizacionesTablaCliente)</f>
        <v>7.2759576141834259E-12</v>
      </c>
      <c r="D248" s="367">
        <f ca="1">INDEX(T_Merger!__Capital,_AmortizacionesTablaCliente)</f>
        <v>0</v>
      </c>
      <c r="E248" s="522">
        <f ca="1">INDEX(T_Merger!__Interes,_AmortizacionesTablaCliente)</f>
        <v>7.8216544352471822E-14</v>
      </c>
      <c r="F248" s="367">
        <f ca="1">INDEX(T_Merger!__IVA,_AmortizacionesTablaCliente)</f>
        <v>9.3859853222966188E-15</v>
      </c>
      <c r="G248" s="367">
        <f ca="1">INDEX(T_Merger!__Pago,_AmortizacionesTablaCliente)</f>
        <v>8.7602529674768438E-14</v>
      </c>
      <c r="H248" s="494">
        <v>0</v>
      </c>
      <c r="I248" s="368">
        <f ca="1">INDEX(T_Merger!__Saldo_Final,_AmortizacionesTablaCliente)</f>
        <v>7.2759576141834259E-12</v>
      </c>
    </row>
    <row r="249" spans="1:9" hidden="1" x14ac:dyDescent="0.25">
      <c r="A249" s="365">
        <v>230</v>
      </c>
      <c r="B249" s="366">
        <f t="shared" ca="1" si="3"/>
        <v>49585</v>
      </c>
      <c r="C249" s="367">
        <f ca="1">INDEX(T_Merger!__Saldo_Inicial,_AmortizacionesTablaCliente)</f>
        <v>7.2759576141834259E-12</v>
      </c>
      <c r="D249" s="367">
        <f ca="1">INDEX(T_Merger!__Capital,_AmortizacionesTablaCliente)</f>
        <v>0</v>
      </c>
      <c r="E249" s="522">
        <f ca="1">INDEX(T_Merger!__Interes,_AmortizacionesTablaCliente)</f>
        <v>7.8216544352471822E-14</v>
      </c>
      <c r="F249" s="367">
        <f ca="1">INDEX(T_Merger!__IVA,_AmortizacionesTablaCliente)</f>
        <v>9.3859853222966188E-15</v>
      </c>
      <c r="G249" s="367">
        <f ca="1">INDEX(T_Merger!__Pago,_AmortizacionesTablaCliente)</f>
        <v>8.7602529674768438E-14</v>
      </c>
      <c r="H249" s="494">
        <v>0</v>
      </c>
      <c r="I249" s="368">
        <f ca="1">INDEX(T_Merger!__Saldo_Final,_AmortizacionesTablaCliente)</f>
        <v>7.2759576141834259E-12</v>
      </c>
    </row>
    <row r="250" spans="1:9" hidden="1" x14ac:dyDescent="0.25">
      <c r="A250" s="365">
        <v>231</v>
      </c>
      <c r="B250" s="366">
        <f t="shared" ca="1" si="3"/>
        <v>49616</v>
      </c>
      <c r="C250" s="367">
        <f ca="1">INDEX(T_Merger!__Saldo_Inicial,_AmortizacionesTablaCliente)</f>
        <v>7.2759576141834259E-12</v>
      </c>
      <c r="D250" s="367">
        <f ca="1">INDEX(T_Merger!__Capital,_AmortizacionesTablaCliente)</f>
        <v>0</v>
      </c>
      <c r="E250" s="522">
        <f ca="1">INDEX(T_Merger!__Interes,_AmortizacionesTablaCliente)</f>
        <v>7.8216544352471822E-14</v>
      </c>
      <c r="F250" s="367">
        <f ca="1">INDEX(T_Merger!__IVA,_AmortizacionesTablaCliente)</f>
        <v>9.3859853222966188E-15</v>
      </c>
      <c r="G250" s="367">
        <f ca="1">INDEX(T_Merger!__Pago,_AmortizacionesTablaCliente)</f>
        <v>8.7602529674768438E-14</v>
      </c>
      <c r="H250" s="494">
        <v>0</v>
      </c>
      <c r="I250" s="368">
        <f ca="1">INDEX(T_Merger!__Saldo_Final,_AmortizacionesTablaCliente)</f>
        <v>7.2759576141834259E-12</v>
      </c>
    </row>
    <row r="251" spans="1:9" hidden="1" x14ac:dyDescent="0.25">
      <c r="A251" s="365">
        <v>232</v>
      </c>
      <c r="B251" s="366">
        <f t="shared" ca="1" si="3"/>
        <v>49646</v>
      </c>
      <c r="C251" s="367">
        <f ca="1">INDEX(T_Merger!__Saldo_Inicial,_AmortizacionesTablaCliente)</f>
        <v>7.2759576141834259E-12</v>
      </c>
      <c r="D251" s="367">
        <f ca="1">INDEX(T_Merger!__Capital,_AmortizacionesTablaCliente)</f>
        <v>0</v>
      </c>
      <c r="E251" s="522">
        <f ca="1">INDEX(T_Merger!__Interes,_AmortizacionesTablaCliente)</f>
        <v>7.8216544352471822E-14</v>
      </c>
      <c r="F251" s="367">
        <f ca="1">INDEX(T_Merger!__IVA,_AmortizacionesTablaCliente)</f>
        <v>9.3859853222966188E-15</v>
      </c>
      <c r="G251" s="367">
        <f ca="1">INDEX(T_Merger!__Pago,_AmortizacionesTablaCliente)</f>
        <v>8.7602529674768438E-14</v>
      </c>
      <c r="H251" s="494">
        <v>0</v>
      </c>
      <c r="I251" s="368">
        <f ca="1">INDEX(T_Merger!__Saldo_Final,_AmortizacionesTablaCliente)</f>
        <v>7.2759576141834259E-12</v>
      </c>
    </row>
    <row r="252" spans="1:9" hidden="1" x14ac:dyDescent="0.25">
      <c r="A252" s="365">
        <v>233</v>
      </c>
      <c r="B252" s="366">
        <f t="shared" ca="1" si="3"/>
        <v>49677</v>
      </c>
      <c r="C252" s="367">
        <f ca="1">INDEX(T_Merger!__Saldo_Inicial,_AmortizacionesTablaCliente)</f>
        <v>7.2759576141834259E-12</v>
      </c>
      <c r="D252" s="367">
        <f ca="1">INDEX(T_Merger!__Capital,_AmortizacionesTablaCliente)</f>
        <v>0</v>
      </c>
      <c r="E252" s="522">
        <f ca="1">INDEX(T_Merger!__Interes,_AmortizacionesTablaCliente)</f>
        <v>7.8216544352471822E-14</v>
      </c>
      <c r="F252" s="367">
        <f ca="1">INDEX(T_Merger!__IVA,_AmortizacionesTablaCliente)</f>
        <v>9.3859853222966188E-15</v>
      </c>
      <c r="G252" s="367">
        <f ca="1">INDEX(T_Merger!__Pago,_AmortizacionesTablaCliente)</f>
        <v>8.7602529674768438E-14</v>
      </c>
      <c r="H252" s="494">
        <v>0</v>
      </c>
      <c r="I252" s="368">
        <f ca="1">INDEX(T_Merger!__Saldo_Final,_AmortizacionesTablaCliente)</f>
        <v>7.2759576141834259E-12</v>
      </c>
    </row>
    <row r="253" spans="1:9" hidden="1" x14ac:dyDescent="0.25">
      <c r="A253" s="365">
        <v>234</v>
      </c>
      <c r="B253" s="366">
        <f t="shared" ca="1" si="3"/>
        <v>49708</v>
      </c>
      <c r="C253" s="367">
        <f ca="1">INDEX(T_Merger!__Saldo_Inicial,_AmortizacionesTablaCliente)</f>
        <v>7.2759576141834259E-12</v>
      </c>
      <c r="D253" s="367">
        <f ca="1">INDEX(T_Merger!__Capital,_AmortizacionesTablaCliente)</f>
        <v>0</v>
      </c>
      <c r="E253" s="522">
        <f ca="1">INDEX(T_Merger!__Interes,_AmortizacionesTablaCliente)</f>
        <v>7.8216544352471822E-14</v>
      </c>
      <c r="F253" s="367">
        <f ca="1">INDEX(T_Merger!__IVA,_AmortizacionesTablaCliente)</f>
        <v>9.3859853222966188E-15</v>
      </c>
      <c r="G253" s="367">
        <f ca="1">INDEX(T_Merger!__Pago,_AmortizacionesTablaCliente)</f>
        <v>8.7602529674768438E-14</v>
      </c>
      <c r="H253" s="494">
        <v>0</v>
      </c>
      <c r="I253" s="368">
        <f ca="1">INDEX(T_Merger!__Saldo_Final,_AmortizacionesTablaCliente)</f>
        <v>7.2759576141834259E-12</v>
      </c>
    </row>
    <row r="254" spans="1:9" hidden="1" x14ac:dyDescent="0.25">
      <c r="A254" s="365">
        <v>235</v>
      </c>
      <c r="B254" s="366">
        <f t="shared" ca="1" si="3"/>
        <v>49737</v>
      </c>
      <c r="C254" s="367">
        <f ca="1">INDEX(T_Merger!__Saldo_Inicial,_AmortizacionesTablaCliente)</f>
        <v>7.2759576141834259E-12</v>
      </c>
      <c r="D254" s="367">
        <f ca="1">INDEX(T_Merger!__Capital,_AmortizacionesTablaCliente)</f>
        <v>0</v>
      </c>
      <c r="E254" s="522">
        <f ca="1">INDEX(T_Merger!__Interes,_AmortizacionesTablaCliente)</f>
        <v>7.8216544352471822E-14</v>
      </c>
      <c r="F254" s="367">
        <f ca="1">INDEX(T_Merger!__IVA,_AmortizacionesTablaCliente)</f>
        <v>9.3859853222966188E-15</v>
      </c>
      <c r="G254" s="367">
        <f ca="1">INDEX(T_Merger!__Pago,_AmortizacionesTablaCliente)</f>
        <v>8.7602529674768438E-14</v>
      </c>
      <c r="H254" s="494">
        <v>0</v>
      </c>
      <c r="I254" s="368">
        <f ca="1">INDEX(T_Merger!__Saldo_Final,_AmortizacionesTablaCliente)</f>
        <v>7.2759576141834259E-12</v>
      </c>
    </row>
    <row r="255" spans="1:9" hidden="1" x14ac:dyDescent="0.25">
      <c r="A255" s="365">
        <v>236</v>
      </c>
      <c r="B255" s="366">
        <f t="shared" ca="1" si="3"/>
        <v>49768</v>
      </c>
      <c r="C255" s="367">
        <f ca="1">INDEX(T_Merger!__Saldo_Inicial,_AmortizacionesTablaCliente)</f>
        <v>7.2759576141834259E-12</v>
      </c>
      <c r="D255" s="367">
        <f ca="1">INDEX(T_Merger!__Capital,_AmortizacionesTablaCliente)</f>
        <v>0</v>
      </c>
      <c r="E255" s="522">
        <f ca="1">INDEX(T_Merger!__Interes,_AmortizacionesTablaCliente)</f>
        <v>7.8216544352471822E-14</v>
      </c>
      <c r="F255" s="367">
        <f ca="1">INDEX(T_Merger!__IVA,_AmortizacionesTablaCliente)</f>
        <v>9.3859853222966188E-15</v>
      </c>
      <c r="G255" s="367">
        <f ca="1">INDEX(T_Merger!__Pago,_AmortizacionesTablaCliente)</f>
        <v>8.7602529674768438E-14</v>
      </c>
      <c r="H255" s="494">
        <v>0</v>
      </c>
      <c r="I255" s="368">
        <f ca="1">INDEX(T_Merger!__Saldo_Final,_AmortizacionesTablaCliente)</f>
        <v>7.2759576141834259E-12</v>
      </c>
    </row>
    <row r="256" spans="1:9" hidden="1" x14ac:dyDescent="0.25">
      <c r="A256" s="365">
        <v>237</v>
      </c>
      <c r="B256" s="366">
        <f t="shared" ca="1" si="3"/>
        <v>49798</v>
      </c>
      <c r="C256" s="367">
        <f ca="1">INDEX(T_Merger!__Saldo_Inicial,_AmortizacionesTablaCliente)</f>
        <v>7.2759576141834259E-12</v>
      </c>
      <c r="D256" s="367">
        <f ca="1">INDEX(T_Merger!__Capital,_AmortizacionesTablaCliente)</f>
        <v>0</v>
      </c>
      <c r="E256" s="522">
        <f ca="1">INDEX(T_Merger!__Interes,_AmortizacionesTablaCliente)</f>
        <v>7.8216544352471822E-14</v>
      </c>
      <c r="F256" s="367">
        <f ca="1">INDEX(T_Merger!__IVA,_AmortizacionesTablaCliente)</f>
        <v>9.3859853222966188E-15</v>
      </c>
      <c r="G256" s="367">
        <f ca="1">INDEX(T_Merger!__Pago,_AmortizacionesTablaCliente)</f>
        <v>8.7602529674768438E-14</v>
      </c>
      <c r="H256" s="494">
        <v>0</v>
      </c>
      <c r="I256" s="368">
        <f ca="1">INDEX(T_Merger!__Saldo_Final,_AmortizacionesTablaCliente)</f>
        <v>7.2759576141834259E-12</v>
      </c>
    </row>
    <row r="257" spans="1:9" hidden="1" x14ac:dyDescent="0.25">
      <c r="A257" s="365">
        <v>238</v>
      </c>
      <c r="B257" s="366">
        <f t="shared" ca="1" si="3"/>
        <v>49829</v>
      </c>
      <c r="C257" s="367">
        <f ca="1">INDEX(T_Merger!__Saldo_Inicial,_AmortizacionesTablaCliente)</f>
        <v>7.2759576141834259E-12</v>
      </c>
      <c r="D257" s="367">
        <f ca="1">INDEX(T_Merger!__Capital,_AmortizacionesTablaCliente)</f>
        <v>0</v>
      </c>
      <c r="E257" s="522">
        <f ca="1">INDEX(T_Merger!__Interes,_AmortizacionesTablaCliente)</f>
        <v>7.8216544352471822E-14</v>
      </c>
      <c r="F257" s="367">
        <f ca="1">INDEX(T_Merger!__IVA,_AmortizacionesTablaCliente)</f>
        <v>9.3859853222966188E-15</v>
      </c>
      <c r="G257" s="367">
        <f ca="1">INDEX(T_Merger!__Pago,_AmortizacionesTablaCliente)</f>
        <v>8.7602529674768438E-14</v>
      </c>
      <c r="H257" s="494">
        <v>0</v>
      </c>
      <c r="I257" s="368">
        <f ca="1">INDEX(T_Merger!__Saldo_Final,_AmortizacionesTablaCliente)</f>
        <v>7.2759576141834259E-12</v>
      </c>
    </row>
    <row r="258" spans="1:9" hidden="1" x14ac:dyDescent="0.25">
      <c r="A258" s="365">
        <v>239</v>
      </c>
      <c r="B258" s="366">
        <f t="shared" ca="1" si="3"/>
        <v>49859</v>
      </c>
      <c r="C258" s="367">
        <f ca="1">INDEX(T_Merger!__Saldo_Inicial,_AmortizacionesTablaCliente)</f>
        <v>7.2759576141834259E-12</v>
      </c>
      <c r="D258" s="367">
        <f ca="1">INDEX(T_Merger!__Capital,_AmortizacionesTablaCliente)</f>
        <v>0</v>
      </c>
      <c r="E258" s="522">
        <f ca="1">INDEX(T_Merger!__Interes,_AmortizacionesTablaCliente)</f>
        <v>7.8216544352471822E-14</v>
      </c>
      <c r="F258" s="367">
        <f ca="1">INDEX(T_Merger!__IVA,_AmortizacionesTablaCliente)</f>
        <v>9.3859853222966188E-15</v>
      </c>
      <c r="G258" s="367">
        <f ca="1">INDEX(T_Merger!__Pago,_AmortizacionesTablaCliente)</f>
        <v>8.7602529674768438E-14</v>
      </c>
      <c r="H258" s="494">
        <v>0</v>
      </c>
      <c r="I258" s="368">
        <f ca="1">INDEX(T_Merger!__Saldo_Final,_AmortizacionesTablaCliente)</f>
        <v>7.2759576141834259E-12</v>
      </c>
    </row>
    <row r="259" spans="1:9" hidden="1" x14ac:dyDescent="0.25">
      <c r="A259" s="365">
        <v>240</v>
      </c>
      <c r="B259" s="366">
        <f t="shared" ca="1" si="3"/>
        <v>49890</v>
      </c>
      <c r="C259" s="367">
        <f ca="1">INDEX(T_Merger!__Saldo_Inicial,_AmortizacionesTablaCliente)</f>
        <v>7.2759576141834259E-12</v>
      </c>
      <c r="D259" s="367">
        <f ca="1">INDEX(T_Merger!__Capital,_AmortizacionesTablaCliente)</f>
        <v>0</v>
      </c>
      <c r="E259" s="522">
        <f ca="1">INDEX(T_Merger!__Interes,_AmortizacionesTablaCliente)</f>
        <v>7.8216544352471822E-14</v>
      </c>
      <c r="F259" s="367">
        <f ca="1">INDEX(T_Merger!__IVA,_AmortizacionesTablaCliente)</f>
        <v>9.3859853222966188E-15</v>
      </c>
      <c r="G259" s="367">
        <f ca="1">INDEX(T_Merger!__Pago,_AmortizacionesTablaCliente)</f>
        <v>8.7602529674768438E-14</v>
      </c>
      <c r="H259" s="494">
        <v>0</v>
      </c>
      <c r="I259" s="368">
        <f ca="1">INDEX(T_Merger!__Saldo_Final,_AmortizacionesTablaCliente)</f>
        <v>7.2759576141834259E-12</v>
      </c>
    </row>
    <row r="260" spans="1:9" hidden="1" x14ac:dyDescent="0.25">
      <c r="A260" s="365">
        <v>241</v>
      </c>
      <c r="B260" s="366">
        <f t="shared" ca="1" si="3"/>
        <v>49921</v>
      </c>
      <c r="C260" s="367">
        <f ca="1">INDEX(T_Merger!__Saldo_Inicial,_AmortizacionesTablaCliente)</f>
        <v>7.2759576141834259E-12</v>
      </c>
      <c r="D260" s="367">
        <f ca="1">INDEX(T_Merger!__Capital,_AmortizacionesTablaCliente)</f>
        <v>0</v>
      </c>
      <c r="E260" s="522">
        <f ca="1">INDEX(T_Merger!__Interes,_AmortizacionesTablaCliente)</f>
        <v>7.8216544352471822E-14</v>
      </c>
      <c r="F260" s="367">
        <f ca="1">INDEX(T_Merger!__IVA,_AmortizacionesTablaCliente)</f>
        <v>9.3859853222966188E-15</v>
      </c>
      <c r="G260" s="367">
        <f ca="1">INDEX(T_Merger!__Pago,_AmortizacionesTablaCliente)</f>
        <v>8.7602529674768438E-14</v>
      </c>
      <c r="H260" s="494">
        <v>0</v>
      </c>
      <c r="I260" s="368">
        <f ca="1">INDEX(T_Merger!__Saldo_Final,_AmortizacionesTablaCliente)</f>
        <v>7.2759576141834259E-12</v>
      </c>
    </row>
    <row r="261" spans="1:9" hidden="1" x14ac:dyDescent="0.25">
      <c r="A261" s="365">
        <v>242</v>
      </c>
      <c r="B261" s="366">
        <f t="shared" ca="1" si="3"/>
        <v>49951</v>
      </c>
      <c r="C261" s="367">
        <f ca="1">INDEX(T_Merger!__Saldo_Inicial,_AmortizacionesTablaCliente)</f>
        <v>7.2759576141834259E-12</v>
      </c>
      <c r="D261" s="367">
        <f ca="1">INDEX(T_Merger!__Capital,_AmortizacionesTablaCliente)</f>
        <v>0</v>
      </c>
      <c r="E261" s="522">
        <f ca="1">INDEX(T_Merger!__Interes,_AmortizacionesTablaCliente)</f>
        <v>7.8216544352471822E-14</v>
      </c>
      <c r="F261" s="367">
        <f ca="1">INDEX(T_Merger!__IVA,_AmortizacionesTablaCliente)</f>
        <v>9.3859853222966188E-15</v>
      </c>
      <c r="G261" s="367">
        <f ca="1">INDEX(T_Merger!__Pago,_AmortizacionesTablaCliente)</f>
        <v>8.7602529674768438E-14</v>
      </c>
      <c r="H261" s="494">
        <v>0</v>
      </c>
      <c r="I261" s="368">
        <f ca="1">INDEX(T_Merger!__Saldo_Final,_AmortizacionesTablaCliente)</f>
        <v>7.2759576141834259E-12</v>
      </c>
    </row>
    <row r="262" spans="1:9" hidden="1" x14ac:dyDescent="0.25">
      <c r="A262" s="365">
        <v>243</v>
      </c>
      <c r="B262" s="366">
        <f t="shared" ca="1" si="3"/>
        <v>49982</v>
      </c>
      <c r="C262" s="367">
        <f ca="1">INDEX(T_Merger!__Saldo_Inicial,_AmortizacionesTablaCliente)</f>
        <v>7.2759576141834259E-12</v>
      </c>
      <c r="D262" s="367">
        <f ca="1">INDEX(T_Merger!__Capital,_AmortizacionesTablaCliente)</f>
        <v>0</v>
      </c>
      <c r="E262" s="522">
        <f ca="1">INDEX(T_Merger!__Interes,_AmortizacionesTablaCliente)</f>
        <v>7.8216544352471822E-14</v>
      </c>
      <c r="F262" s="367">
        <f ca="1">INDEX(T_Merger!__IVA,_AmortizacionesTablaCliente)</f>
        <v>9.3859853222966188E-15</v>
      </c>
      <c r="G262" s="367">
        <f ca="1">INDEX(T_Merger!__Pago,_AmortizacionesTablaCliente)</f>
        <v>8.7602529674768438E-14</v>
      </c>
      <c r="H262" s="494">
        <v>0</v>
      </c>
      <c r="I262" s="368">
        <f ca="1">INDEX(T_Merger!__Saldo_Final,_AmortizacionesTablaCliente)</f>
        <v>7.2759576141834259E-12</v>
      </c>
    </row>
    <row r="263" spans="1:9" hidden="1" x14ac:dyDescent="0.25">
      <c r="A263" s="365">
        <v>244</v>
      </c>
      <c r="B263" s="366">
        <f t="shared" ca="1" si="3"/>
        <v>50012</v>
      </c>
      <c r="C263" s="367">
        <f ca="1">INDEX(T_Merger!__Saldo_Inicial,_AmortizacionesTablaCliente)</f>
        <v>7.2759576141834259E-12</v>
      </c>
      <c r="D263" s="367">
        <f ca="1">INDEX(T_Merger!__Capital,_AmortizacionesTablaCliente)</f>
        <v>0</v>
      </c>
      <c r="E263" s="522">
        <f ca="1">INDEX(T_Merger!__Interes,_AmortizacionesTablaCliente)</f>
        <v>7.8216544352471822E-14</v>
      </c>
      <c r="F263" s="367">
        <f ca="1">INDEX(T_Merger!__IVA,_AmortizacionesTablaCliente)</f>
        <v>9.3859853222966188E-15</v>
      </c>
      <c r="G263" s="367">
        <f ca="1">INDEX(T_Merger!__Pago,_AmortizacionesTablaCliente)</f>
        <v>8.7602529674768438E-14</v>
      </c>
      <c r="H263" s="494">
        <v>0</v>
      </c>
      <c r="I263" s="368">
        <f ca="1">INDEX(T_Merger!__Saldo_Final,_AmortizacionesTablaCliente)</f>
        <v>7.2759576141834259E-12</v>
      </c>
    </row>
    <row r="264" spans="1:9" hidden="1" x14ac:dyDescent="0.25">
      <c r="A264" s="365">
        <v>245</v>
      </c>
      <c r="B264" s="366">
        <f t="shared" ca="1" si="3"/>
        <v>50043</v>
      </c>
      <c r="C264" s="367">
        <f ca="1">INDEX(T_Merger!__Saldo_Inicial,_AmortizacionesTablaCliente)</f>
        <v>7.2759576141834259E-12</v>
      </c>
      <c r="D264" s="367">
        <f ca="1">INDEX(T_Merger!__Capital,_AmortizacionesTablaCliente)</f>
        <v>0</v>
      </c>
      <c r="E264" s="522">
        <f ca="1">INDEX(T_Merger!__Interes,_AmortizacionesTablaCliente)</f>
        <v>7.8216544352471822E-14</v>
      </c>
      <c r="F264" s="367">
        <f ca="1">INDEX(T_Merger!__IVA,_AmortizacionesTablaCliente)</f>
        <v>9.3859853222966188E-15</v>
      </c>
      <c r="G264" s="367">
        <f ca="1">INDEX(T_Merger!__Pago,_AmortizacionesTablaCliente)</f>
        <v>8.7602529674768438E-14</v>
      </c>
      <c r="H264" s="494">
        <v>0</v>
      </c>
      <c r="I264" s="368">
        <f ca="1">INDEX(T_Merger!__Saldo_Final,_AmortizacionesTablaCliente)</f>
        <v>7.2759576141834259E-12</v>
      </c>
    </row>
    <row r="265" spans="1:9" hidden="1" x14ac:dyDescent="0.25">
      <c r="A265" s="365">
        <v>246</v>
      </c>
      <c r="B265" s="366">
        <f t="shared" ca="1" si="3"/>
        <v>50074</v>
      </c>
      <c r="C265" s="367">
        <f ca="1">INDEX(T_Merger!__Saldo_Inicial,_AmortizacionesTablaCliente)</f>
        <v>7.2759576141834259E-12</v>
      </c>
      <c r="D265" s="367">
        <f ca="1">INDEX(T_Merger!__Capital,_AmortizacionesTablaCliente)</f>
        <v>0</v>
      </c>
      <c r="E265" s="522">
        <f ca="1">INDEX(T_Merger!__Interes,_AmortizacionesTablaCliente)</f>
        <v>7.8216544352471822E-14</v>
      </c>
      <c r="F265" s="367">
        <f ca="1">INDEX(T_Merger!__IVA,_AmortizacionesTablaCliente)</f>
        <v>9.3859853222966188E-15</v>
      </c>
      <c r="G265" s="367">
        <f ca="1">INDEX(T_Merger!__Pago,_AmortizacionesTablaCliente)</f>
        <v>8.7602529674768438E-14</v>
      </c>
      <c r="H265" s="494">
        <v>0</v>
      </c>
      <c r="I265" s="368">
        <f ca="1">INDEX(T_Merger!__Saldo_Final,_AmortizacionesTablaCliente)</f>
        <v>7.2759576141834259E-12</v>
      </c>
    </row>
    <row r="266" spans="1:9" hidden="1" x14ac:dyDescent="0.25">
      <c r="A266" s="365">
        <v>247</v>
      </c>
      <c r="B266" s="366">
        <f t="shared" ca="1" si="3"/>
        <v>50102</v>
      </c>
      <c r="C266" s="367">
        <f ca="1">INDEX(T_Merger!__Saldo_Inicial,_AmortizacionesTablaCliente)</f>
        <v>7.2759576141834259E-12</v>
      </c>
      <c r="D266" s="367">
        <f ca="1">INDEX(T_Merger!__Capital,_AmortizacionesTablaCliente)</f>
        <v>0</v>
      </c>
      <c r="E266" s="522">
        <f ca="1">INDEX(T_Merger!__Interes,_AmortizacionesTablaCliente)</f>
        <v>7.8216544352471822E-14</v>
      </c>
      <c r="F266" s="367">
        <f ca="1">INDEX(T_Merger!__IVA,_AmortizacionesTablaCliente)</f>
        <v>9.3859853222966188E-15</v>
      </c>
      <c r="G266" s="367">
        <f ca="1">INDEX(T_Merger!__Pago,_AmortizacionesTablaCliente)</f>
        <v>8.7602529674768438E-14</v>
      </c>
      <c r="H266" s="494">
        <v>0</v>
      </c>
      <c r="I266" s="368">
        <f ca="1">INDEX(T_Merger!__Saldo_Final,_AmortizacionesTablaCliente)</f>
        <v>7.2759576141834259E-12</v>
      </c>
    </row>
    <row r="267" spans="1:9" hidden="1" x14ac:dyDescent="0.25">
      <c r="A267" s="365">
        <v>248</v>
      </c>
      <c r="B267" s="366">
        <f t="shared" ca="1" si="3"/>
        <v>50133</v>
      </c>
      <c r="C267" s="367">
        <f ca="1">INDEX(T_Merger!__Saldo_Inicial,_AmortizacionesTablaCliente)</f>
        <v>7.2759576141834259E-12</v>
      </c>
      <c r="D267" s="367">
        <f ca="1">INDEX(T_Merger!__Capital,_AmortizacionesTablaCliente)</f>
        <v>0</v>
      </c>
      <c r="E267" s="522">
        <f ca="1">INDEX(T_Merger!__Interes,_AmortizacionesTablaCliente)</f>
        <v>7.8216544352471822E-14</v>
      </c>
      <c r="F267" s="367">
        <f ca="1">INDEX(T_Merger!__IVA,_AmortizacionesTablaCliente)</f>
        <v>9.3859853222966188E-15</v>
      </c>
      <c r="G267" s="367">
        <f ca="1">INDEX(T_Merger!__Pago,_AmortizacionesTablaCliente)</f>
        <v>8.7602529674768438E-14</v>
      </c>
      <c r="H267" s="494">
        <v>0</v>
      </c>
      <c r="I267" s="368">
        <f ca="1">INDEX(T_Merger!__Saldo_Final,_AmortizacionesTablaCliente)</f>
        <v>7.2759576141834259E-12</v>
      </c>
    </row>
    <row r="268" spans="1:9" hidden="1" x14ac:dyDescent="0.25">
      <c r="A268" s="365">
        <v>249</v>
      </c>
      <c r="B268" s="366">
        <f t="shared" ca="1" si="3"/>
        <v>50163</v>
      </c>
      <c r="C268" s="367">
        <f ca="1">INDEX(T_Merger!__Saldo_Inicial,_AmortizacionesTablaCliente)</f>
        <v>7.2759576141834259E-12</v>
      </c>
      <c r="D268" s="367">
        <f ca="1">INDEX(T_Merger!__Capital,_AmortizacionesTablaCliente)</f>
        <v>0</v>
      </c>
      <c r="E268" s="522">
        <f ca="1">INDEX(T_Merger!__Interes,_AmortizacionesTablaCliente)</f>
        <v>7.8216544352471822E-14</v>
      </c>
      <c r="F268" s="367">
        <f ca="1">INDEX(T_Merger!__IVA,_AmortizacionesTablaCliente)</f>
        <v>9.3859853222966188E-15</v>
      </c>
      <c r="G268" s="367">
        <f ca="1">INDEX(T_Merger!__Pago,_AmortizacionesTablaCliente)</f>
        <v>8.7602529674768438E-14</v>
      </c>
      <c r="H268" s="494">
        <v>0</v>
      </c>
      <c r="I268" s="368">
        <f ca="1">INDEX(T_Merger!__Saldo_Final,_AmortizacionesTablaCliente)</f>
        <v>7.2759576141834259E-12</v>
      </c>
    </row>
    <row r="269" spans="1:9" hidden="1" x14ac:dyDescent="0.25">
      <c r="A269" s="365">
        <v>250</v>
      </c>
      <c r="B269" s="366">
        <f t="shared" ca="1" si="3"/>
        <v>50194</v>
      </c>
      <c r="C269" s="367">
        <f ca="1">INDEX(T_Merger!__Saldo_Inicial,_AmortizacionesTablaCliente)</f>
        <v>7.2759576141834259E-12</v>
      </c>
      <c r="D269" s="367">
        <f ca="1">INDEX(T_Merger!__Capital,_AmortizacionesTablaCliente)</f>
        <v>0</v>
      </c>
      <c r="E269" s="522">
        <f ca="1">INDEX(T_Merger!__Interes,_AmortizacionesTablaCliente)</f>
        <v>7.8216544352471822E-14</v>
      </c>
      <c r="F269" s="367">
        <f ca="1">INDEX(T_Merger!__IVA,_AmortizacionesTablaCliente)</f>
        <v>9.3859853222966188E-15</v>
      </c>
      <c r="G269" s="367">
        <f ca="1">INDEX(T_Merger!__Pago,_AmortizacionesTablaCliente)</f>
        <v>8.7602529674768438E-14</v>
      </c>
      <c r="H269" s="494">
        <v>0</v>
      </c>
      <c r="I269" s="368">
        <f ca="1">INDEX(T_Merger!__Saldo_Final,_AmortizacionesTablaCliente)</f>
        <v>7.2759576141834259E-12</v>
      </c>
    </row>
    <row r="270" spans="1:9" hidden="1" x14ac:dyDescent="0.25">
      <c r="A270" s="365">
        <v>251</v>
      </c>
      <c r="B270" s="366">
        <f t="shared" ca="1" si="3"/>
        <v>50224</v>
      </c>
      <c r="C270" s="367">
        <f ca="1">INDEX(T_Merger!__Saldo_Inicial,_AmortizacionesTablaCliente)</f>
        <v>7.2759576141834259E-12</v>
      </c>
      <c r="D270" s="367">
        <f ca="1">INDEX(T_Merger!__Capital,_AmortizacionesTablaCliente)</f>
        <v>0</v>
      </c>
      <c r="E270" s="522">
        <f ca="1">INDEX(T_Merger!__Interes,_AmortizacionesTablaCliente)</f>
        <v>7.8216544352471822E-14</v>
      </c>
      <c r="F270" s="367">
        <f ca="1">INDEX(T_Merger!__IVA,_AmortizacionesTablaCliente)</f>
        <v>9.3859853222966188E-15</v>
      </c>
      <c r="G270" s="367">
        <f ca="1">INDEX(T_Merger!__Pago,_AmortizacionesTablaCliente)</f>
        <v>8.7602529674768438E-14</v>
      </c>
      <c r="H270" s="494">
        <v>0</v>
      </c>
      <c r="I270" s="368">
        <f ca="1">INDEX(T_Merger!__Saldo_Final,_AmortizacionesTablaCliente)</f>
        <v>7.2759576141834259E-12</v>
      </c>
    </row>
    <row r="271" spans="1:9" hidden="1" x14ac:dyDescent="0.25">
      <c r="A271" s="365">
        <v>252</v>
      </c>
      <c r="B271" s="366">
        <f t="shared" ca="1" si="3"/>
        <v>50255</v>
      </c>
      <c r="C271" s="367">
        <f ca="1">INDEX(T_Merger!__Saldo_Inicial,_AmortizacionesTablaCliente)</f>
        <v>7.2759576141834259E-12</v>
      </c>
      <c r="D271" s="367">
        <f ca="1">INDEX(T_Merger!__Capital,_AmortizacionesTablaCliente)</f>
        <v>0</v>
      </c>
      <c r="E271" s="522">
        <f ca="1">INDEX(T_Merger!__Interes,_AmortizacionesTablaCliente)</f>
        <v>7.8216544352471822E-14</v>
      </c>
      <c r="F271" s="367">
        <f ca="1">INDEX(T_Merger!__IVA,_AmortizacionesTablaCliente)</f>
        <v>9.3859853222966188E-15</v>
      </c>
      <c r="G271" s="367">
        <f ca="1">INDEX(T_Merger!__Pago,_AmortizacionesTablaCliente)</f>
        <v>8.7602529674768438E-14</v>
      </c>
      <c r="H271" s="494">
        <v>0</v>
      </c>
      <c r="I271" s="368">
        <f ca="1">INDEX(T_Merger!__Saldo_Final,_AmortizacionesTablaCliente)</f>
        <v>7.2759576141834259E-12</v>
      </c>
    </row>
    <row r="272" spans="1:9" hidden="1" x14ac:dyDescent="0.25">
      <c r="A272" s="365">
        <v>253</v>
      </c>
      <c r="B272" s="366">
        <f t="shared" ca="1" si="3"/>
        <v>50286</v>
      </c>
      <c r="C272" s="367">
        <f ca="1">INDEX(T_Merger!__Saldo_Inicial,_AmortizacionesTablaCliente)</f>
        <v>7.2759576141834259E-12</v>
      </c>
      <c r="D272" s="367">
        <f ca="1">INDEX(T_Merger!__Capital,_AmortizacionesTablaCliente)</f>
        <v>0</v>
      </c>
      <c r="E272" s="522">
        <f ca="1">INDEX(T_Merger!__Interes,_AmortizacionesTablaCliente)</f>
        <v>7.8216544352471822E-14</v>
      </c>
      <c r="F272" s="367">
        <f ca="1">INDEX(T_Merger!__IVA,_AmortizacionesTablaCliente)</f>
        <v>9.3859853222966188E-15</v>
      </c>
      <c r="G272" s="367">
        <f ca="1">INDEX(T_Merger!__Pago,_AmortizacionesTablaCliente)</f>
        <v>8.7602529674768438E-14</v>
      </c>
      <c r="H272" s="494">
        <v>0</v>
      </c>
      <c r="I272" s="368">
        <f ca="1">INDEX(T_Merger!__Saldo_Final,_AmortizacionesTablaCliente)</f>
        <v>7.2759576141834259E-12</v>
      </c>
    </row>
    <row r="273" spans="1:10" hidden="1" x14ac:dyDescent="0.25">
      <c r="A273" s="365">
        <v>254</v>
      </c>
      <c r="B273" s="366">
        <f t="shared" ca="1" si="3"/>
        <v>50316</v>
      </c>
      <c r="C273" s="367">
        <f ca="1">INDEX(T_Merger!__Saldo_Inicial,_AmortizacionesTablaCliente)</f>
        <v>7.2759576141834259E-12</v>
      </c>
      <c r="D273" s="367">
        <f ca="1">INDEX(T_Merger!__Capital,_AmortizacionesTablaCliente)</f>
        <v>0</v>
      </c>
      <c r="E273" s="522">
        <f ca="1">INDEX(T_Merger!__Interes,_AmortizacionesTablaCliente)</f>
        <v>7.8216544352471822E-14</v>
      </c>
      <c r="F273" s="367">
        <f ca="1">INDEX(T_Merger!__IVA,_AmortizacionesTablaCliente)</f>
        <v>9.3859853222966188E-15</v>
      </c>
      <c r="G273" s="367">
        <f ca="1">INDEX(T_Merger!__Pago,_AmortizacionesTablaCliente)</f>
        <v>8.7602529674768438E-14</v>
      </c>
      <c r="H273" s="494">
        <v>0</v>
      </c>
      <c r="I273" s="368">
        <f ca="1">INDEX(T_Merger!__Saldo_Final,_AmortizacionesTablaCliente)</f>
        <v>7.2759576141834259E-12</v>
      </c>
    </row>
    <row r="274" spans="1:10" hidden="1" x14ac:dyDescent="0.25">
      <c r="A274" s="365">
        <v>255</v>
      </c>
      <c r="B274" s="366">
        <f t="shared" ca="1" si="3"/>
        <v>50347</v>
      </c>
      <c r="C274" s="367">
        <f ca="1">INDEX(T_Merger!__Saldo_Inicial,_AmortizacionesTablaCliente)</f>
        <v>7.2759576141834259E-12</v>
      </c>
      <c r="D274" s="367">
        <f ca="1">INDEX(T_Merger!__Capital,_AmortizacionesTablaCliente)</f>
        <v>0</v>
      </c>
      <c r="E274" s="522">
        <f ca="1">INDEX(T_Merger!__Interes,_AmortizacionesTablaCliente)</f>
        <v>7.8216544352471822E-14</v>
      </c>
      <c r="F274" s="367">
        <f ca="1">INDEX(T_Merger!__IVA,_AmortizacionesTablaCliente)</f>
        <v>9.3859853222966188E-15</v>
      </c>
      <c r="G274" s="367">
        <f ca="1">INDEX(T_Merger!__Pago,_AmortizacionesTablaCliente)</f>
        <v>8.7602529674768438E-14</v>
      </c>
      <c r="H274" s="494">
        <v>0</v>
      </c>
      <c r="I274" s="368">
        <f ca="1">INDEX(T_Merger!__Saldo_Final,_AmortizacionesTablaCliente)</f>
        <v>7.2759576141834259E-12</v>
      </c>
    </row>
    <row r="275" spans="1:10" hidden="1" x14ac:dyDescent="0.25">
      <c r="A275" s="365">
        <v>256</v>
      </c>
      <c r="B275" s="366">
        <f t="shared" ca="1" si="3"/>
        <v>50377</v>
      </c>
      <c r="C275" s="367">
        <f ca="1">INDEX(T_Merger!__Saldo_Inicial,_AmortizacionesTablaCliente)</f>
        <v>7.2759576141834259E-12</v>
      </c>
      <c r="D275" s="367">
        <f ca="1">INDEX(T_Merger!__Capital,_AmortizacionesTablaCliente)</f>
        <v>0</v>
      </c>
      <c r="E275" s="522">
        <f ca="1">INDEX(T_Merger!__Interes,_AmortizacionesTablaCliente)</f>
        <v>7.8216544352471822E-14</v>
      </c>
      <c r="F275" s="367">
        <f ca="1">INDEX(T_Merger!__IVA,_AmortizacionesTablaCliente)</f>
        <v>9.3859853222966188E-15</v>
      </c>
      <c r="G275" s="367">
        <f ca="1">INDEX(T_Merger!__Pago,_AmortizacionesTablaCliente)</f>
        <v>8.7602529674768438E-14</v>
      </c>
      <c r="H275" s="494">
        <v>0</v>
      </c>
      <c r="I275" s="368">
        <f ca="1">INDEX(T_Merger!__Saldo_Final,_AmortizacionesTablaCliente)</f>
        <v>7.2759576141834259E-12</v>
      </c>
    </row>
    <row r="276" spans="1:10" hidden="1" x14ac:dyDescent="0.25">
      <c r="A276" s="365">
        <v>257</v>
      </c>
      <c r="B276" s="366">
        <f t="shared" ca="1" si="3"/>
        <v>50408</v>
      </c>
      <c r="C276" s="367">
        <f ca="1">INDEX(T_Merger!__Saldo_Inicial,_AmortizacionesTablaCliente)</f>
        <v>7.2759576141834259E-12</v>
      </c>
      <c r="D276" s="367">
        <f ca="1">INDEX(T_Merger!__Capital,_AmortizacionesTablaCliente)</f>
        <v>0</v>
      </c>
      <c r="E276" s="522">
        <f ca="1">INDEX(T_Merger!__Interes,_AmortizacionesTablaCliente)</f>
        <v>7.8216544352471822E-14</v>
      </c>
      <c r="F276" s="367">
        <f ca="1">INDEX(T_Merger!__IVA,_AmortizacionesTablaCliente)</f>
        <v>9.3859853222966188E-15</v>
      </c>
      <c r="G276" s="367">
        <f ca="1">INDEX(T_Merger!__Pago,_AmortizacionesTablaCliente)</f>
        <v>8.7602529674768438E-14</v>
      </c>
      <c r="H276" s="494">
        <v>0</v>
      </c>
      <c r="I276" s="368">
        <f ca="1">INDEX(T_Merger!__Saldo_Final,_AmortizacionesTablaCliente)</f>
        <v>7.2759576141834259E-12</v>
      </c>
    </row>
    <row r="277" spans="1:10" hidden="1" x14ac:dyDescent="0.25">
      <c r="A277" s="365">
        <v>258</v>
      </c>
      <c r="B277" s="366">
        <f t="shared" ca="1" si="3"/>
        <v>50439</v>
      </c>
      <c r="C277" s="367">
        <f ca="1">INDEX(T_Merger!__Saldo_Inicial,_AmortizacionesTablaCliente)</f>
        <v>7.2759576141834259E-12</v>
      </c>
      <c r="D277" s="367">
        <f ca="1">INDEX(T_Merger!__Capital,_AmortizacionesTablaCliente)</f>
        <v>0</v>
      </c>
      <c r="E277" s="522">
        <f ca="1">INDEX(T_Merger!__Interes,_AmortizacionesTablaCliente)</f>
        <v>7.8216544352471822E-14</v>
      </c>
      <c r="F277" s="367">
        <f ca="1">INDEX(T_Merger!__IVA,_AmortizacionesTablaCliente)</f>
        <v>9.3859853222966188E-15</v>
      </c>
      <c r="G277" s="367">
        <f ca="1">INDEX(T_Merger!__Pago,_AmortizacionesTablaCliente)</f>
        <v>8.7602529674768438E-14</v>
      </c>
      <c r="H277" s="494">
        <v>0</v>
      </c>
      <c r="I277" s="368">
        <f ca="1">INDEX(T_Merger!__Saldo_Final,_AmortizacionesTablaCliente)</f>
        <v>7.2759576141834259E-12</v>
      </c>
    </row>
    <row r="278" spans="1:10" hidden="1" x14ac:dyDescent="0.25">
      <c r="A278" s="365">
        <v>259</v>
      </c>
      <c r="B278" s="366">
        <f t="shared" ca="1" si="3"/>
        <v>50467</v>
      </c>
      <c r="C278" s="367">
        <f ca="1">INDEX(T_Merger!__Saldo_Inicial,_AmortizacionesTablaCliente)</f>
        <v>7.2759576141834259E-12</v>
      </c>
      <c r="D278" s="367">
        <f ca="1">INDEX(T_Merger!__Capital,_AmortizacionesTablaCliente)</f>
        <v>0</v>
      </c>
      <c r="E278" s="522">
        <f ca="1">INDEX(T_Merger!__Interes,_AmortizacionesTablaCliente)</f>
        <v>7.8216544352471822E-14</v>
      </c>
      <c r="F278" s="367">
        <f ca="1">INDEX(T_Merger!__IVA,_AmortizacionesTablaCliente)</f>
        <v>9.3859853222966188E-15</v>
      </c>
      <c r="G278" s="367">
        <f ca="1">INDEX(T_Merger!__Pago,_AmortizacionesTablaCliente)</f>
        <v>8.7602529674768438E-14</v>
      </c>
      <c r="H278" s="494">
        <v>0</v>
      </c>
      <c r="I278" s="368">
        <f ca="1">INDEX(T_Merger!__Saldo_Final,_AmortizacionesTablaCliente)</f>
        <v>7.2759576141834259E-12</v>
      </c>
    </row>
    <row r="279" spans="1:10" hidden="1" x14ac:dyDescent="0.25">
      <c r="A279" s="369">
        <v>260</v>
      </c>
      <c r="B279" s="370">
        <f t="shared" ca="1" si="3"/>
        <v>50498</v>
      </c>
      <c r="C279" s="371">
        <f ca="1">INDEX(T_Merger!__Saldo_Inicial,_AmortizacionesTablaCliente)</f>
        <v>7.2759576141834259E-12</v>
      </c>
      <c r="D279" s="371">
        <f ca="1">INDEX(T_Merger!__Capital,_AmortizacionesTablaCliente)</f>
        <v>0</v>
      </c>
      <c r="E279" s="521">
        <f ca="1">INDEX(T_Merger!__Interes,_AmortizacionesTablaCliente)</f>
        <v>7.8216544352471822E-14</v>
      </c>
      <c r="F279" s="371">
        <f ca="1">INDEX(T_Merger!__IVA,_AmortizacionesTablaCliente)</f>
        <v>9.3859853222966188E-15</v>
      </c>
      <c r="G279" s="371">
        <f ca="1">INDEX(T_Merger!__Pago,_AmortizacionesTablaCliente)</f>
        <v>8.7602529674768438E-14</v>
      </c>
      <c r="H279" s="495">
        <v>0</v>
      </c>
      <c r="I279" s="372">
        <f ca="1">INDEX(T_Merger!__Saldo_Final,_AmortizacionesTablaCliente)</f>
        <v>7.2759576141834259E-12</v>
      </c>
    </row>
    <row r="280" spans="1:10" ht="15" thickBot="1" x14ac:dyDescent="0.35">
      <c r="A280" s="356"/>
      <c r="B280" s="357"/>
      <c r="C280" s="358" t="s">
        <v>1689</v>
      </c>
      <c r="D280" s="359">
        <f ca="1">SUM(D20:D279)</f>
        <v>149041.75685999999</v>
      </c>
      <c r="E280" s="359">
        <f ca="1">SUM(E20:E279)</f>
        <v>10749.532258459431</v>
      </c>
      <c r="F280" s="359">
        <f ca="1">SUM(F20:F279)</f>
        <v>1289.9438710151317</v>
      </c>
      <c r="G280" s="359">
        <f ca="1">SUM(G20:G279)</f>
        <v>161081.23298947455</v>
      </c>
      <c r="H280" s="359">
        <f>SUM(H20:H279)</f>
        <v>0</v>
      </c>
      <c r="I280" s="360"/>
    </row>
    <row r="281" spans="1:10" x14ac:dyDescent="0.25">
      <c r="A281" s="977" t="s">
        <v>3638</v>
      </c>
      <c r="B281" s="978"/>
      <c r="C281" s="978"/>
      <c r="D281" s="978"/>
      <c r="E281" s="978"/>
      <c r="F281" s="978"/>
      <c r="G281" s="978"/>
      <c r="H281" s="978"/>
      <c r="I281" s="979"/>
    </row>
    <row r="282" spans="1:10" x14ac:dyDescent="0.25">
      <c r="A282" s="949"/>
      <c r="B282" s="950"/>
      <c r="C282" s="950"/>
      <c r="D282" s="950"/>
      <c r="E282" s="950"/>
      <c r="F282" s="950"/>
      <c r="G282" s="950"/>
      <c r="H282" s="950"/>
      <c r="I282" s="951"/>
    </row>
    <row r="283" spans="1:10" x14ac:dyDescent="0.25">
      <c r="A283" s="94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0"/>
      <c r="C283" s="950"/>
      <c r="D283" s="950"/>
      <c r="E283" s="950"/>
      <c r="F283" s="950"/>
      <c r="G283" s="950"/>
      <c r="H283" s="950"/>
      <c r="I283" s="951"/>
    </row>
    <row r="284" spans="1:10" x14ac:dyDescent="0.25">
      <c r="A284" s="949"/>
      <c r="B284" s="950"/>
      <c r="C284" s="950"/>
      <c r="D284" s="950"/>
      <c r="E284" s="950"/>
      <c r="F284" s="950"/>
      <c r="G284" s="950"/>
      <c r="H284" s="950"/>
      <c r="I284" s="951"/>
    </row>
    <row r="285" spans="1:10" ht="14.4" thickBot="1" x14ac:dyDescent="0.3">
      <c r="A285" s="952"/>
      <c r="B285" s="953"/>
      <c r="C285" s="953"/>
      <c r="D285" s="953"/>
      <c r="E285" s="953"/>
      <c r="F285" s="953"/>
      <c r="G285" s="953"/>
      <c r="H285" s="953"/>
      <c r="I285" s="954"/>
    </row>
    <row r="286" spans="1:10" ht="14.4" thickBot="1" x14ac:dyDescent="0.3">
      <c r="J286" s="624"/>
    </row>
    <row r="288" spans="1:10" ht="14.4" x14ac:dyDescent="0.3">
      <c r="B288" s="972" t="s">
        <v>5005</v>
      </c>
      <c r="C288" s="972"/>
      <c r="D288" s="972"/>
      <c r="E288" s="972"/>
      <c r="F288" s="972"/>
      <c r="G288" s="972"/>
      <c r="H288" s="972"/>
      <c r="I288" s="972"/>
    </row>
    <row r="289" spans="2:9" ht="22.8" x14ac:dyDescent="0.3">
      <c r="B289" s="355" t="s">
        <v>1683</v>
      </c>
      <c r="C289" s="355" t="s">
        <v>1632</v>
      </c>
      <c r="D289" s="355" t="s">
        <v>1684</v>
      </c>
      <c r="E289" s="355" t="s">
        <v>1634</v>
      </c>
      <c r="F289" s="355" t="s">
        <v>1685</v>
      </c>
      <c r="G289" s="355" t="s">
        <v>1635</v>
      </c>
      <c r="H289"/>
      <c r="I289" s="355" t="s">
        <v>1636</v>
      </c>
    </row>
    <row r="290" spans="2:9" ht="14.4" x14ac:dyDescent="0.3">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zoomScale="70" zoomScaleNormal="70" workbookViewId="0"/>
  </sheetViews>
  <sheetFormatPr defaultColWidth="9.109375" defaultRowHeight="14.4" x14ac:dyDescent="0.3"/>
  <cols>
    <col min="1" max="1" width="38.33203125" customWidth="1"/>
    <col min="2" max="2" width="13.33203125" bestFit="1" customWidth="1"/>
    <col min="3" max="3" width="1.6640625" customWidth="1"/>
    <col min="4" max="4" width="32.6640625" customWidth="1"/>
    <col min="5" max="5" width="26.44140625" customWidth="1"/>
    <col min="6" max="6" width="31.44140625" customWidth="1"/>
    <col min="7" max="7" width="26.44140625" customWidth="1"/>
    <col min="8" max="8" width="35.6640625" style="12" customWidth="1"/>
    <col min="9" max="9" width="1.6640625" bestFit="1" customWidth="1"/>
    <col min="10" max="11" width="14.6640625" customWidth="1"/>
    <col min="12" max="12" width="20.6640625" bestFit="1" customWidth="1"/>
    <col min="13" max="13" width="2.6640625" customWidth="1"/>
    <col min="14" max="14" width="2.6640625" style="695" customWidth="1"/>
    <col min="15" max="16" width="23.6640625" customWidth="1"/>
    <col min="17" max="17" width="30.33203125" customWidth="1"/>
    <col min="18" max="19" width="23.6640625" customWidth="1"/>
    <col min="20" max="20" width="20.109375" style="677" customWidth="1"/>
    <col min="21" max="21" width="3.44140625" customWidth="1"/>
    <col min="22" max="22" width="23.88671875" style="707" customWidth="1"/>
    <col min="23" max="23" width="23.88671875" customWidth="1"/>
    <col min="24" max="24" width="27.6640625" customWidth="1"/>
    <col min="25" max="25" width="18.109375" customWidth="1"/>
    <col min="26" max="26" width="1.44140625" customWidth="1"/>
    <col min="27" max="27" width="27.6640625" bestFit="1" customWidth="1"/>
  </cols>
  <sheetData>
    <row r="1" spans="1:27" ht="20.399999999999999" thickBot="1" x14ac:dyDescent="0.45">
      <c r="A1" s="10" t="s">
        <v>418</v>
      </c>
      <c r="B1" s="10"/>
      <c r="C1" s="10"/>
      <c r="D1" s="10"/>
      <c r="E1" s="10"/>
      <c r="F1" s="10"/>
      <c r="G1" s="10"/>
      <c r="H1" s="78"/>
      <c r="I1" s="10"/>
      <c r="J1" s="10"/>
      <c r="K1" s="10"/>
      <c r="L1" s="10"/>
    </row>
    <row r="2" spans="1:27" ht="15" thickTop="1" x14ac:dyDescent="0.3">
      <c r="D2" s="108"/>
    </row>
    <row r="3" spans="1:27" ht="18" thickBot="1" x14ac:dyDescent="0.4">
      <c r="A3" s="206" t="s">
        <v>11026</v>
      </c>
      <c r="B3" s="206"/>
      <c r="D3" s="206" t="s">
        <v>425</v>
      </c>
      <c r="E3" s="206"/>
      <c r="F3" s="206"/>
      <c r="G3" s="206"/>
      <c r="H3" s="207"/>
      <c r="J3" s="206" t="s">
        <v>4</v>
      </c>
      <c r="K3" s="206"/>
      <c r="L3" s="206"/>
      <c r="M3" s="501"/>
      <c r="O3" s="206" t="s">
        <v>4958</v>
      </c>
      <c r="P3" s="206"/>
      <c r="Q3" s="206"/>
      <c r="R3" s="206"/>
      <c r="S3" s="206"/>
      <c r="T3" s="206"/>
      <c r="U3" s="614" t="s">
        <v>488</v>
      </c>
      <c r="V3" s="206" t="s">
        <v>11027</v>
      </c>
      <c r="W3" s="206"/>
      <c r="X3" s="206"/>
      <c r="Y3" s="206"/>
      <c r="Z3" s="206"/>
      <c r="AA3" s="206"/>
    </row>
    <row r="4" spans="1:27" ht="15.6" thickTop="1" thickBot="1" x14ac:dyDescent="0.35">
      <c r="D4" s="108"/>
    </row>
    <row r="5" spans="1:27" x14ac:dyDescent="0.3">
      <c r="A5" s="989" t="s">
        <v>1679</v>
      </c>
      <c r="B5" s="989"/>
      <c r="D5" s="16" t="s">
        <v>11023</v>
      </c>
      <c r="E5" s="35">
        <v>25000</v>
      </c>
      <c r="F5" s="896"/>
      <c r="G5" s="896"/>
      <c r="H5" s="897"/>
      <c r="J5" s="990" t="s">
        <v>419</v>
      </c>
      <c r="K5" s="991"/>
      <c r="L5" s="74" t="s">
        <v>1630</v>
      </c>
      <c r="O5" s="679" t="s">
        <v>2113</v>
      </c>
      <c r="P5" s="564" t="s">
        <v>4944</v>
      </c>
      <c r="Q5" s="677"/>
      <c r="V5" s="681" t="s">
        <v>4941</v>
      </c>
      <c r="W5" s="681"/>
      <c r="X5" s="681"/>
      <c r="Y5" s="681"/>
      <c r="Z5" s="681"/>
      <c r="AA5" s="681" t="s">
        <v>488</v>
      </c>
    </row>
    <row r="6" spans="1:27" x14ac:dyDescent="0.3">
      <c r="A6" s="42" t="s">
        <v>420</v>
      </c>
      <c r="B6" s="42" t="s">
        <v>1678</v>
      </c>
      <c r="D6" s="16" t="s">
        <v>11025</v>
      </c>
      <c r="E6" s="912">
        <v>0.16</v>
      </c>
      <c r="F6" s="896"/>
      <c r="G6" s="896"/>
      <c r="H6" s="897"/>
      <c r="J6" s="57"/>
      <c r="K6" s="16"/>
      <c r="L6" s="58"/>
      <c r="O6" s="676" t="str">
        <f>CA_Servicios!CA.Branding</f>
        <v>Banorte</v>
      </c>
      <c r="P6" s="565" t="str">
        <f>DGET(C_MARCA,P5,$O$5:$O$6)</f>
        <v>BTE</v>
      </c>
      <c r="Q6" s="677"/>
      <c r="W6" s="705"/>
      <c r="X6" s="705"/>
      <c r="Y6" s="705"/>
      <c r="Z6" s="705"/>
      <c r="AA6" s="705"/>
    </row>
    <row r="7" spans="1:27" x14ac:dyDescent="0.3">
      <c r="A7" s="32" t="s">
        <v>1670</v>
      </c>
      <c r="B7" s="498">
        <f ca="1">VLOOKUP(SELECCION_TIPO_PERSONA,C_TIPO_PERSONA_DESC,2,0)</f>
        <v>1</v>
      </c>
      <c r="D7" s="108"/>
      <c r="E7" s="896"/>
      <c r="F7" s="896"/>
      <c r="G7" s="896"/>
      <c r="H7" s="897"/>
      <c r="J7" s="987" t="s">
        <v>1620</v>
      </c>
      <c r="K7" s="988"/>
      <c r="L7" s="196">
        <f ca="1">MontoEnganche</f>
        <v>15000</v>
      </c>
      <c r="Y7" s="675"/>
      <c r="Z7" s="675"/>
      <c r="AA7" s="556" t="s">
        <v>4996</v>
      </c>
    </row>
    <row r="8" spans="1:27" x14ac:dyDescent="0.3">
      <c r="A8" s="36" t="s">
        <v>1671</v>
      </c>
      <c r="B8" s="499">
        <f ca="1">VLOOKUP(SELECCION_ESTADO,C_ESTADO_DESC,2,0)</f>
        <v>1</v>
      </c>
      <c r="D8" s="148" t="s">
        <v>2219</v>
      </c>
      <c r="E8" s="118" t="s">
        <v>1571</v>
      </c>
      <c r="J8" s="987" t="s">
        <v>1623</v>
      </c>
      <c r="K8" s="988"/>
      <c r="L8" s="196" t="str">
        <f ca="1">MontoSeguroDeContado</f>
        <v>$0.00</v>
      </c>
      <c r="O8" s="563" t="s">
        <v>4941</v>
      </c>
      <c r="P8" s="564" t="s">
        <v>4944</v>
      </c>
      <c r="X8" s="675"/>
      <c r="Y8" s="675"/>
      <c r="Z8" s="675"/>
      <c r="AA8" s="676">
        <f t="array" ref="AA8">SUM(IF(COMBO_PRODUCTO&lt;&gt;0,1))</f>
        <v>2</v>
      </c>
    </row>
    <row r="9" spans="1:27" x14ac:dyDescent="0.3">
      <c r="A9" s="198" t="s">
        <v>0</v>
      </c>
      <c r="B9" s="499">
        <f ca="1">VLOOKUP(SELECCION_CONDICION_AUTO,C_CONDICION_AUTO_DESC,2,0)</f>
        <v>1</v>
      </c>
      <c r="C9" s="39"/>
      <c r="D9" s="31" t="s">
        <v>429</v>
      </c>
      <c r="E9" s="115">
        <f ca="1">ID_CONDICION_AUTO</f>
        <v>1</v>
      </c>
      <c r="J9" s="987" t="s">
        <v>1621</v>
      </c>
      <c r="K9" s="988"/>
      <c r="L9" s="196">
        <f ca="1">MontoComisionPorAperturaConIva</f>
        <v>4322.21094894</v>
      </c>
      <c r="O9" s="558" t="str">
        <f>SELECCION_PRODUCTO</f>
        <v>AutoEstrene</v>
      </c>
      <c r="P9" s="565" t="str">
        <f>DGET(C_PRODUCTO,P8,$O$8:$O$9)</f>
        <v>AET</v>
      </c>
      <c r="X9" s="556" t="s">
        <v>5067</v>
      </c>
      <c r="Y9" s="609" t="s">
        <v>5068</v>
      </c>
      <c r="Z9" s="675"/>
      <c r="AA9" s="617" t="s">
        <v>4995</v>
      </c>
    </row>
    <row r="10" spans="1:27" x14ac:dyDescent="0.3">
      <c r="A10" s="198" t="s">
        <v>2101</v>
      </c>
      <c r="B10" s="499">
        <f ca="1">VLOOKUP(SELECCION_MODELO,C_MODELO_AÑO_DESC,2,0)</f>
        <v>2</v>
      </c>
      <c r="D10" s="33" t="s">
        <v>430</v>
      </c>
      <c r="E10" s="168" t="str">
        <f ca="1">VLOOKUP(ID_CONDICION_AUTO,C_CONDICION_AUTO,2,0)</f>
        <v>Nuevo</v>
      </c>
      <c r="F10" s="33"/>
      <c r="G10" s="906"/>
      <c r="J10" s="987" t="s">
        <v>1622</v>
      </c>
      <c r="K10" s="988"/>
      <c r="L10" s="196">
        <f ca="1">AportacionAdicional</f>
        <v>0</v>
      </c>
      <c r="X10" s="676" t="str">
        <f>C.Otros!A10</f>
        <v>AutoEstrene</v>
      </c>
      <c r="Y10" s="676" t="str">
        <f>C.Otros!A10</f>
        <v>AutoEstrene</v>
      </c>
      <c r="Z10" s="675"/>
      <c r="AA10" s="676" t="str">
        <f t="array" ref="AA10">INDEX(X10:Y10,,MATCH(Marca.Código,$X$9:$Y$9,0))</f>
        <v>AutoEstrene</v>
      </c>
    </row>
    <row r="11" spans="1:27" x14ac:dyDescent="0.3">
      <c r="A11" s="36" t="s">
        <v>4068</v>
      </c>
      <c r="B11" s="499">
        <f ca="1">VLOOKUP(SELECCION_CALCULO_SEGURO,C_CALCULO_SEGURO_DESC,2,0)</f>
        <v>1</v>
      </c>
      <c r="D11" s="33" t="s">
        <v>4957</v>
      </c>
      <c r="E11" s="71" t="b">
        <f ca="1">VLOOKUP(ID_CONDICION_AUTO,C_CONDICION_AUTO,4,0)</f>
        <v>1</v>
      </c>
      <c r="F11" s="33"/>
      <c r="G11" s="16"/>
      <c r="J11" s="985" t="s">
        <v>1624</v>
      </c>
      <c r="K11" s="986"/>
      <c r="L11" s="197">
        <f ca="1">SUM(L7:L10)</f>
        <v>19322.210948939999</v>
      </c>
      <c r="O11" s="563" t="s">
        <v>4948</v>
      </c>
      <c r="P11" s="564" t="s">
        <v>4944</v>
      </c>
      <c r="Q11" s="574" t="s">
        <v>3635</v>
      </c>
      <c r="R11" s="317" t="s">
        <v>11020</v>
      </c>
      <c r="X11" s="676" t="str">
        <f>C.Otros!A11</f>
        <v>AutoNómina</v>
      </c>
      <c r="Y11" s="676"/>
      <c r="Z11" s="675"/>
      <c r="AA11" s="676" t="str">
        <f>INDEX(X11:Y11,,MATCH(Marca.Código,$X$9:$Y$9,0))</f>
        <v>AutoNómina</v>
      </c>
    </row>
    <row r="12" spans="1:27" x14ac:dyDescent="0.3">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x14ac:dyDescent="0.3">
      <c r="A13" s="36" t="s">
        <v>1673</v>
      </c>
      <c r="B13" s="200">
        <f ca="1">VLOOKUP(SELECCION_INCREMENTO_RC,C_ADIC_INCREMENTO_RC_DESC,2,0)</f>
        <v>0</v>
      </c>
      <c r="D13" s="907" t="s">
        <v>11012</v>
      </c>
      <c r="E13" s="905">
        <f ca="1">VLOOKUP(ID_CONDICION_AUTO,C_CONDICION_AUTO,5,0)</f>
        <v>0.3</v>
      </c>
      <c r="F13" s="501"/>
      <c r="G13" s="501"/>
      <c r="H13" s="567"/>
      <c r="J13" s="987" t="s">
        <v>1618</v>
      </c>
      <c r="K13" s="988"/>
      <c r="L13" s="196">
        <f ca="1">MontoFinanciarAuto</f>
        <v>135000</v>
      </c>
    </row>
    <row r="14" spans="1:27" x14ac:dyDescent="0.3">
      <c r="A14" s="36" t="s">
        <v>1674</v>
      </c>
      <c r="B14" s="200">
        <f ca="1">VLOOKUP(SELECCION_INDEMN_AÑO1,C_Indem_Valor_Factura_Desc,2,0)</f>
        <v>1</v>
      </c>
      <c r="D14" s="903"/>
      <c r="E14" s="904"/>
      <c r="F14" s="896"/>
      <c r="G14" s="896"/>
      <c r="H14" s="897"/>
      <c r="J14" s="987" t="s">
        <v>1619</v>
      </c>
      <c r="K14" s="988"/>
      <c r="L14" s="196">
        <f ca="1">MontoFinanciarSeguros</f>
        <v>8041.7568599999995</v>
      </c>
      <c r="O14" s="563" t="s">
        <v>430</v>
      </c>
      <c r="P14" s="574" t="s">
        <v>1599</v>
      </c>
      <c r="Q14" s="574" t="s">
        <v>1600</v>
      </c>
      <c r="V14" s="681" t="s">
        <v>1609</v>
      </c>
      <c r="W14" s="681"/>
      <c r="X14" s="681"/>
      <c r="Y14" s="681"/>
      <c r="Z14" s="681"/>
      <c r="AA14" s="681"/>
    </row>
    <row r="15" spans="1:27" x14ac:dyDescent="0.3">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x14ac:dyDescent="0.3">
      <c r="A16" s="36" t="s">
        <v>1675</v>
      </c>
      <c r="B16" s="200">
        <f ca="1">VLOOKUP(SELECCION_PLAZO,C_PLAZO_DESC,2,0)</f>
        <v>3</v>
      </c>
      <c r="D16" s="37" t="s">
        <v>3178</v>
      </c>
      <c r="E16" s="238">
        <f>1-(MONTO_MÍNIMO_FINANCIAR_AUTO/CapturaValorFactura)</f>
        <v>0.83333333333333337</v>
      </c>
      <c r="F16" s="16"/>
      <c r="G16" s="569"/>
      <c r="H16" s="567"/>
      <c r="J16" s="61" t="s">
        <v>436</v>
      </c>
      <c r="K16" s="193" t="s">
        <v>1614</v>
      </c>
      <c r="L16" s="62" t="s">
        <v>1625</v>
      </c>
      <c r="AA16" s="556" t="s">
        <v>4996</v>
      </c>
    </row>
    <row r="17" spans="1:27" x14ac:dyDescent="0.3">
      <c r="A17" s="199" t="s">
        <v>1676</v>
      </c>
      <c r="B17" s="201">
        <f ca="1">VLOOKUP(SELECCION_FRECUENCIA,C_FRECUENCIA_DESC,2,0)</f>
        <v>1</v>
      </c>
      <c r="J17" s="195">
        <v>12</v>
      </c>
      <c r="K17" s="64">
        <v>0.129</v>
      </c>
      <c r="L17" s="59">
        <v>13413.47</v>
      </c>
      <c r="O17" s="677" t="s">
        <v>5075</v>
      </c>
      <c r="W17" s="501"/>
      <c r="AA17" s="613">
        <f t="array" ref="AA17">SUM(IF(COMBO_FRECUENCIA&lt;&gt;0,1))</f>
        <v>1</v>
      </c>
    </row>
    <row r="18" spans="1:27" x14ac:dyDescent="0.3">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x14ac:dyDescent="0.3">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x14ac:dyDescent="0.3">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 thickBot="1" x14ac:dyDescent="0.35">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x14ac:dyDescent="0.3">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x14ac:dyDescent="0.3">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x14ac:dyDescent="0.3">
      <c r="D24" s="75" t="s">
        <v>2234</v>
      </c>
      <c r="E24" s="119" t="str">
        <f ca="1">VLOOKUP(ID_CONDICION_MODELO,C_CONDICION_MODELO,2,0)</f>
        <v>Reciente</v>
      </c>
      <c r="G24" s="696"/>
    </row>
    <row r="25" spans="1:27" x14ac:dyDescent="0.3">
      <c r="I25" s="125"/>
      <c r="K25" s="64"/>
      <c r="L25" s="35"/>
      <c r="O25" s="691" t="s">
        <v>5087</v>
      </c>
      <c r="X25" s="675"/>
      <c r="Y25" s="675"/>
      <c r="Z25" s="675"/>
      <c r="AA25" s="675"/>
    </row>
    <row r="26" spans="1:27" x14ac:dyDescent="0.3">
      <c r="D26" s="65" t="s">
        <v>11024</v>
      </c>
      <c r="E26" s="911">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x14ac:dyDescent="0.3">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x14ac:dyDescent="0.3">
      <c r="D28" s="148" t="s">
        <v>482</v>
      </c>
      <c r="E28" s="118" t="s">
        <v>1571</v>
      </c>
      <c r="F28" s="123" t="s">
        <v>2236</v>
      </c>
      <c r="G28" s="123" t="s">
        <v>2237</v>
      </c>
      <c r="H28" s="126"/>
      <c r="Y28" s="612"/>
      <c r="AA28" s="556" t="s">
        <v>4996</v>
      </c>
    </row>
    <row r="29" spans="1:27" x14ac:dyDescent="0.3">
      <c r="D29" s="31" t="s">
        <v>2176</v>
      </c>
      <c r="E29" s="159" t="str">
        <f>CONCATENATE(SELECCION_MARCA,", ",SELECCION_AUTO)</f>
        <v>Acura, ILX</v>
      </c>
      <c r="F29" s="161"/>
      <c r="G29" s="155"/>
      <c r="H29" s="115"/>
      <c r="Q29" s="574" t="s">
        <v>5085</v>
      </c>
      <c r="X29" s="612"/>
      <c r="Y29" s="612"/>
      <c r="AA29" s="613">
        <f t="array" ref="AA29">SUM(IF(COMBO_TIPO_PERSONA&lt;&gt;0,1))</f>
        <v>3</v>
      </c>
    </row>
    <row r="30" spans="1:27" x14ac:dyDescent="0.3">
      <c r="D30" s="33"/>
      <c r="E30" s="156"/>
      <c r="F30" s="162"/>
      <c r="G30" s="156"/>
      <c r="H30" s="71"/>
      <c r="Q30" s="692" t="b">
        <f>NOT(ISERROR(Override_Nombre_Tarifa))</f>
        <v>0</v>
      </c>
      <c r="W30" s="501"/>
      <c r="X30" s="556" t="s">
        <v>4945</v>
      </c>
      <c r="Y30" s="609" t="s">
        <v>4946</v>
      </c>
      <c r="Z30" s="612" t="s">
        <v>488</v>
      </c>
      <c r="AA30" s="617" t="s">
        <v>4995</v>
      </c>
    </row>
    <row r="31" spans="1:27" x14ac:dyDescent="0.3">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x14ac:dyDescent="0.3">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x14ac:dyDescent="0.3">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x14ac:dyDescent="0.3">
      <c r="D34" s="33" t="s">
        <v>430</v>
      </c>
      <c r="E34" s="697" t="str">
        <f ca="1">CHOOSE(Catálogo_a_usar,F34,G34)</f>
        <v>Acura, ILX</v>
      </c>
      <c r="F34" s="124" t="str">
        <f ca="1">VLOOKUP(ID_AUTO,C_AUTO,2,0)</f>
        <v>Acura, ILX</v>
      </c>
      <c r="G34" s="124" t="e">
        <f ca="1">VLOOKUP(ID_AUTO,C_AutosSeminuevos,2,0)</f>
        <v>#N/A</v>
      </c>
      <c r="H34" s="71" t="s">
        <v>488</v>
      </c>
      <c r="U34" s="677"/>
    </row>
    <row r="35" spans="4:27" x14ac:dyDescent="0.3">
      <c r="D35" s="33" t="s">
        <v>2159</v>
      </c>
      <c r="E35" s="698">
        <f ca="1">CHOOSE(Catálogo_a_usar,F35,G35)</f>
        <v>1</v>
      </c>
      <c r="F35" s="124">
        <f ca="1">VLOOKUP(ID_AUTO,C_AUTO,10,0)</f>
        <v>1</v>
      </c>
      <c r="G35" s="124" t="e">
        <f ca="1">VLOOKUP(ID_AUTO,C_AutosSeminuevos,6,0)</f>
        <v>#N/A</v>
      </c>
      <c r="H35" s="71"/>
      <c r="X35" s="675"/>
      <c r="Y35" s="675"/>
      <c r="Z35" s="675"/>
      <c r="AA35" s="675"/>
    </row>
    <row r="36" spans="4:27" x14ac:dyDescent="0.3">
      <c r="D36" s="33"/>
      <c r="E36" s="34"/>
      <c r="F36" s="142" t="s">
        <v>1695</v>
      </c>
      <c r="G36" s="130" t="s">
        <v>1695</v>
      </c>
      <c r="H36" s="131" t="s">
        <v>2160</v>
      </c>
      <c r="U36" s="705" t="s">
        <v>5105</v>
      </c>
      <c r="V36" s="681" t="s">
        <v>4948</v>
      </c>
      <c r="W36" s="681"/>
      <c r="X36" s="681"/>
      <c r="Y36" s="681"/>
      <c r="Z36" s="681"/>
      <c r="AA36" s="681" t="s">
        <v>488</v>
      </c>
    </row>
    <row r="37" spans="4:27" x14ac:dyDescent="0.3">
      <c r="D37" s="37" t="s">
        <v>3634</v>
      </c>
      <c r="E37" s="114" t="b">
        <f ca="1">ID_TIPO_AUTO = _3.5T</f>
        <v>0</v>
      </c>
      <c r="F37" s="312"/>
      <c r="G37" s="313"/>
      <c r="H37" s="314"/>
      <c r="W37" s="705"/>
      <c r="X37" s="705"/>
      <c r="Y37" s="705"/>
      <c r="Z37" s="705"/>
      <c r="AA37" s="705"/>
    </row>
    <row r="38" spans="4:27" x14ac:dyDescent="0.3">
      <c r="F38" s="120"/>
      <c r="G38" s="120"/>
      <c r="H38" s="120"/>
      <c r="X38" s="88" t="s">
        <v>5097</v>
      </c>
      <c r="Y38" s="563" t="str">
        <f>Marca.Código &amp; "_" &amp; PROD.Código</f>
        <v>BTE_AET</v>
      </c>
      <c r="Z38" s="675"/>
      <c r="AA38" s="556" t="s">
        <v>4996</v>
      </c>
    </row>
    <row r="39" spans="4:27" x14ac:dyDescent="0.3">
      <c r="D39" s="148" t="s">
        <v>439</v>
      </c>
      <c r="E39" s="118" t="s">
        <v>1571</v>
      </c>
      <c r="F39" s="123" t="s">
        <v>2236</v>
      </c>
      <c r="G39" s="123" t="s">
        <v>2237</v>
      </c>
      <c r="H39" s="126"/>
      <c r="W39" s="675"/>
      <c r="X39" s="675"/>
      <c r="Y39" s="675"/>
      <c r="Z39" s="675"/>
      <c r="AA39" s="676">
        <f t="array" ref="AA39">SUM(IF(COMBO_TIPO_TARIFA&lt;&gt;0,1))</f>
        <v>3</v>
      </c>
    </row>
    <row r="40" spans="4:27" x14ac:dyDescent="0.3">
      <c r="D40" s="33" t="s">
        <v>429</v>
      </c>
      <c r="E40" s="71">
        <f ca="1">ID_ESTADO</f>
        <v>1</v>
      </c>
      <c r="F40" s="122"/>
      <c r="G40" s="34"/>
      <c r="H40" s="71" t="s">
        <v>488</v>
      </c>
      <c r="V40" s="719"/>
      <c r="W40" s="556" t="s">
        <v>5070</v>
      </c>
      <c r="X40" s="556" t="s">
        <v>5071</v>
      </c>
      <c r="Y40" s="609" t="s">
        <v>5072</v>
      </c>
      <c r="Z40" s="675"/>
      <c r="AA40" s="617" t="s">
        <v>4995</v>
      </c>
    </row>
    <row r="41" spans="4:27" x14ac:dyDescent="0.3">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x14ac:dyDescent="0.3">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x14ac:dyDescent="0.3">
      <c r="D43" s="33" t="s">
        <v>2155</v>
      </c>
      <c r="E43" s="71" t="b">
        <f ca="1">VLOOKUP(ID_ESTADO,C_ESTADO,7,0)</f>
        <v>0</v>
      </c>
      <c r="F43" s="122"/>
      <c r="G43" s="34"/>
      <c r="H43" s="71" t="s">
        <v>488</v>
      </c>
      <c r="W43" s="913" t="s">
        <v>11031</v>
      </c>
      <c r="AA43" s="876" t="str">
        <f>INDEX(W43:Y43,,MATCH(OPCION_TIPO_TARIFA,$W$40:$Y$40,0))</f>
        <v>Preautorizados</v>
      </c>
    </row>
    <row r="44" spans="4:27" x14ac:dyDescent="0.3">
      <c r="D44" s="33" t="s">
        <v>4948</v>
      </c>
      <c r="E44" s="71">
        <f ca="1">VLOOKUP(ID_ESTADO,C_ESTADO,10,0)</f>
        <v>1</v>
      </c>
      <c r="F44" s="122"/>
      <c r="G44" s="34"/>
      <c r="H44" s="71"/>
    </row>
    <row r="45" spans="4:27" x14ac:dyDescent="0.3">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x14ac:dyDescent="0.3">
      <c r="D46" s="33"/>
      <c r="E46" s="304"/>
      <c r="F46" s="305" t="b">
        <f ca="1">NOT(Auto.Es3.5T?)</f>
        <v>1</v>
      </c>
      <c r="G46" s="306" t="b">
        <f ca="1">F46</f>
        <v>1</v>
      </c>
      <c r="H46" s="71" t="s">
        <v>3624</v>
      </c>
      <c r="W46" s="705"/>
      <c r="X46" s="705"/>
      <c r="Y46" s="705"/>
      <c r="Z46" s="705"/>
      <c r="AA46" s="705"/>
    </row>
    <row r="47" spans="4:27" x14ac:dyDescent="0.3">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x14ac:dyDescent="0.3">
      <c r="D48" s="37"/>
      <c r="E48" s="72"/>
      <c r="F48" s="139" t="s">
        <v>440</v>
      </c>
      <c r="G48" s="140" t="s">
        <v>408</v>
      </c>
      <c r="H48" s="141" t="s">
        <v>2157</v>
      </c>
      <c r="W48" s="703"/>
      <c r="X48" s="703"/>
      <c r="Y48" s="703"/>
      <c r="Z48" s="703"/>
      <c r="AA48" s="704">
        <f t="array" aca="1" ref="AA48" ca="1">SUM(IF(COMBO_GARANTIA_EXTENDIDA&lt;&gt;0,1))</f>
        <v>2</v>
      </c>
    </row>
    <row r="49" spans="4:27" x14ac:dyDescent="0.3">
      <c r="E49" s="12"/>
      <c r="F49" s="12"/>
      <c r="G49" s="12"/>
      <c r="W49" s="703"/>
      <c r="X49" s="556" t="b">
        <v>1</v>
      </c>
      <c r="Y49" s="609" t="b">
        <v>0</v>
      </c>
      <c r="Z49" s="703"/>
      <c r="AA49" s="617" t="s">
        <v>4995</v>
      </c>
    </row>
    <row r="50" spans="4:27" x14ac:dyDescent="0.3">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x14ac:dyDescent="0.3">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x14ac:dyDescent="0.3">
      <c r="D52" s="33" t="s">
        <v>2108</v>
      </c>
      <c r="E52" s="70">
        <f ca="1">IF(ValorFactura=0,0,CapturaAportacionAdicional)</f>
        <v>0</v>
      </c>
      <c r="G52" s="120"/>
      <c r="H52" s="120"/>
      <c r="V52" s="708"/>
      <c r="W52" s="676"/>
    </row>
    <row r="53" spans="4:27" x14ac:dyDescent="0.3">
      <c r="D53" s="75" t="s">
        <v>1680</v>
      </c>
      <c r="E53" s="491">
        <f>CapturaPorcentajeEnganche</f>
        <v>0.1</v>
      </c>
      <c r="G53" s="120"/>
      <c r="H53" s="120"/>
      <c r="V53" s="708"/>
      <c r="W53" s="676"/>
      <c r="X53" s="676"/>
      <c r="Y53" s="675"/>
      <c r="Z53" s="676"/>
    </row>
    <row r="54" spans="4:27" x14ac:dyDescent="0.3">
      <c r="D54" s="16"/>
      <c r="E54" s="35"/>
      <c r="G54" s="120"/>
      <c r="H54" s="120"/>
      <c r="V54" s="681" t="s">
        <v>5102</v>
      </c>
      <c r="W54" s="681"/>
      <c r="X54" s="681"/>
      <c r="Y54" s="681"/>
      <c r="Z54" s="681"/>
      <c r="AA54" s="681" t="s">
        <v>488</v>
      </c>
    </row>
    <row r="55" spans="4:27" x14ac:dyDescent="0.3">
      <c r="D55" s="65" t="s">
        <v>4955</v>
      </c>
      <c r="E55" s="910" t="b">
        <f ca="1">PorcentajeEnganche &gt;= CondiciónAuto.EngancheMin_TarifaReducida</f>
        <v>0</v>
      </c>
      <c r="F55" s="896"/>
      <c r="G55" s="896"/>
      <c r="H55" s="897"/>
      <c r="W55" s="705"/>
      <c r="X55" s="705"/>
      <c r="Y55" s="705"/>
      <c r="Z55" s="705"/>
      <c r="AA55" s="705"/>
    </row>
    <row r="56" spans="4:27" x14ac:dyDescent="0.3">
      <c r="D56" s="908"/>
      <c r="E56" s="909"/>
      <c r="F56" s="896"/>
      <c r="G56" s="896"/>
      <c r="H56" s="897"/>
      <c r="X56" s="88" t="s">
        <v>4957</v>
      </c>
      <c r="Y56" s="563" t="b">
        <f ca="1">CondiciónAuto.EsNuevo?</f>
        <v>1</v>
      </c>
      <c r="Z56" s="705"/>
      <c r="AA56" s="556" t="s">
        <v>4996</v>
      </c>
    </row>
    <row r="57" spans="4:27" x14ac:dyDescent="0.3">
      <c r="D57" s="148" t="s">
        <v>2227</v>
      </c>
      <c r="E57" s="118" t="s">
        <v>1571</v>
      </c>
      <c r="F57" s="120"/>
      <c r="G57" s="120"/>
      <c r="H57" s="120"/>
      <c r="W57" s="705"/>
      <c r="X57" s="705"/>
      <c r="Y57" s="705"/>
      <c r="Z57" s="705"/>
      <c r="AA57" s="706">
        <f t="array" aca="1" ref="AA57" ca="1">SUM(IF(COMBO_SEGURO&lt;&gt;0,1))</f>
        <v>10</v>
      </c>
    </row>
    <row r="58" spans="4:27" x14ac:dyDescent="0.3">
      <c r="D58" s="31" t="s">
        <v>429</v>
      </c>
      <c r="E58" s="115">
        <f ca="1">ID_CALCULO_SEGURO</f>
        <v>1</v>
      </c>
      <c r="F58" s="129"/>
      <c r="G58" s="120"/>
      <c r="H58" s="120"/>
      <c r="W58" s="705"/>
      <c r="X58" s="556" t="b">
        <v>1</v>
      </c>
      <c r="Y58" s="609" t="b">
        <v>0</v>
      </c>
      <c r="Z58" s="705"/>
      <c r="AA58" s="617" t="s">
        <v>4995</v>
      </c>
    </row>
    <row r="59" spans="4:27" x14ac:dyDescent="0.3">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x14ac:dyDescent="0.3">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x14ac:dyDescent="0.3">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x14ac:dyDescent="0.3">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x14ac:dyDescent="0.3">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x14ac:dyDescent="0.3">
      <c r="D64" s="127" t="s">
        <v>1</v>
      </c>
      <c r="E64" s="71">
        <f ca="1">VLOOKUP(ID_CALCULO_SEGURO,C_CALCULO_SEGURO,5,0)</f>
        <v>3</v>
      </c>
      <c r="F64" s="129"/>
      <c r="G64" s="120"/>
      <c r="H64" s="120"/>
      <c r="X64" s="706" t="str">
        <f>'C. Seguros'!B43</f>
        <v>Anual Contado</v>
      </c>
      <c r="Y64" s="706"/>
      <c r="Z64" s="705"/>
      <c r="AA64" s="706" t="str">
        <f t="shared" ca="1" si="0"/>
        <v>Anual Contado</v>
      </c>
    </row>
    <row r="65" spans="4:27" x14ac:dyDescent="0.3">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x14ac:dyDescent="0.3">
      <c r="E66" s="120"/>
      <c r="F66" s="120"/>
      <c r="G66" s="120"/>
      <c r="H66" s="120"/>
      <c r="X66" s="706" t="str">
        <f>'C. Seguros'!B45</f>
        <v>Multianual Contado (36M)</v>
      </c>
      <c r="Y66" s="706"/>
      <c r="Z66" s="705"/>
      <c r="AA66" s="706" t="str">
        <f t="shared" ca="1" si="0"/>
        <v>Multianual Contado (36M)</v>
      </c>
    </row>
    <row r="67" spans="4:27" x14ac:dyDescent="0.3">
      <c r="D67" s="148" t="s">
        <v>2229</v>
      </c>
      <c r="E67" s="118"/>
      <c r="F67" s="120"/>
      <c r="G67" s="120"/>
      <c r="H67" s="120"/>
      <c r="X67" s="706" t="str">
        <f>'C. Seguros'!B46</f>
        <v>Multianual Contado (48M)</v>
      </c>
      <c r="Y67" s="706"/>
      <c r="Z67" s="705"/>
      <c r="AA67" s="706" t="str">
        <f t="shared" ca="1" si="0"/>
        <v>Multianual Contado (48M)</v>
      </c>
    </row>
    <row r="68" spans="4:27" x14ac:dyDescent="0.3">
      <c r="D68" s="31" t="s">
        <v>1678</v>
      </c>
      <c r="E68" s="115">
        <f ca="1">IF(Seguro.EsMultianual?,E69,E70)</f>
        <v>1</v>
      </c>
      <c r="F68" s="120"/>
      <c r="G68" s="120"/>
      <c r="H68" s="120"/>
      <c r="X68" s="706" t="str">
        <f>'C. Seguros'!B47</f>
        <v>Multianual Contado (60M)</v>
      </c>
      <c r="Y68" s="706"/>
      <c r="Z68" s="705"/>
      <c r="AA68" s="706" t="str">
        <f t="shared" ca="1" si="0"/>
        <v>Multianual Contado (60M)</v>
      </c>
    </row>
    <row r="69" spans="4:27" x14ac:dyDescent="0.3">
      <c r="D69" s="176" t="s">
        <v>2231</v>
      </c>
      <c r="E69" s="177">
        <f ca="1">VLOOKUP(ID_PLAZO,C_PLAZO,5,0)</f>
        <v>1</v>
      </c>
      <c r="F69" s="120"/>
      <c r="G69" s="120"/>
      <c r="H69" s="120"/>
    </row>
    <row r="70" spans="4:27" x14ac:dyDescent="0.3">
      <c r="D70" s="178" t="s">
        <v>2230</v>
      </c>
      <c r="E70" s="179">
        <v>1</v>
      </c>
      <c r="F70" s="120"/>
      <c r="G70" s="120"/>
      <c r="H70" s="120"/>
    </row>
    <row r="71" spans="4:27" x14ac:dyDescent="0.3">
      <c r="D71" s="33" t="s">
        <v>2232</v>
      </c>
      <c r="E71" s="166">
        <f ca="1">VLOOKUP(ID_FACTOR_MULTIANUAL,C_FACTOR_MULTIANUAL,4,0)</f>
        <v>1</v>
      </c>
      <c r="F71" s="120"/>
      <c r="G71" s="120"/>
      <c r="H71" s="120"/>
      <c r="V71" s="681" t="s">
        <v>5100</v>
      </c>
      <c r="W71" s="681"/>
      <c r="X71" s="681"/>
      <c r="Y71" s="681"/>
      <c r="Z71" s="681"/>
      <c r="AA71" s="681" t="s">
        <v>488</v>
      </c>
    </row>
    <row r="72" spans="4:27" x14ac:dyDescent="0.3">
      <c r="D72" s="37" t="s">
        <v>2233</v>
      </c>
      <c r="E72" s="167">
        <f ca="1">VLOOKUP(ID_FACTOR_MULTIANUAL,C_FACTOR_MULTIANUAL,5,0)</f>
        <v>1</v>
      </c>
      <c r="F72" s="120"/>
      <c r="G72" s="120"/>
      <c r="H72" s="120"/>
      <c r="V72" s="708"/>
      <c r="W72" s="706"/>
      <c r="X72" s="706"/>
      <c r="Y72" s="705"/>
      <c r="Z72" s="706"/>
      <c r="AA72" s="705"/>
    </row>
    <row r="73" spans="4:27" x14ac:dyDescent="0.3">
      <c r="E73" s="120"/>
      <c r="F73" s="120"/>
      <c r="G73" s="120"/>
      <c r="H73" s="120"/>
      <c r="X73" s="88" t="s">
        <v>5106</v>
      </c>
      <c r="Y73" s="563" t="b">
        <f ca="1">CondiciónAuto.EsNuevo?</f>
        <v>1</v>
      </c>
      <c r="Z73" s="705"/>
      <c r="AA73" s="556" t="s">
        <v>4996</v>
      </c>
    </row>
    <row r="74" spans="4:27" x14ac:dyDescent="0.3">
      <c r="D74" s="180" t="s">
        <v>2163</v>
      </c>
      <c r="W74" s="705"/>
      <c r="X74" s="705"/>
      <c r="Y74" s="705"/>
      <c r="Z74" s="705"/>
      <c r="AA74" s="706">
        <f t="array" aca="1" ref="AA74" ca="1">SUM(IF(COMBO_INCREMENTO_RC&lt;&gt;0,1))</f>
        <v>3</v>
      </c>
    </row>
    <row r="75" spans="4:27" x14ac:dyDescent="0.3">
      <c r="D75" s="31"/>
      <c r="E75" s="152"/>
      <c r="F75" s="152"/>
      <c r="G75" s="152"/>
      <c r="H75" s="32"/>
      <c r="W75" s="705"/>
      <c r="X75" s="556" t="b">
        <v>1</v>
      </c>
      <c r="Y75" s="609" t="b">
        <v>0</v>
      </c>
      <c r="Z75" s="705"/>
      <c r="AA75" s="617" t="s">
        <v>4995</v>
      </c>
    </row>
    <row r="76" spans="4:27" x14ac:dyDescent="0.3">
      <c r="D76" s="33"/>
      <c r="E76" s="148" t="s">
        <v>2164</v>
      </c>
      <c r="F76" s="16"/>
      <c r="G76" s="16"/>
      <c r="H76" s="71"/>
      <c r="W76" s="705"/>
      <c r="X76" s="706" t="str">
        <f>'C. Seguros'!B23</f>
        <v>No</v>
      </c>
      <c r="Y76" s="706" t="str">
        <f>X76</f>
        <v>No</v>
      </c>
      <c r="Z76" s="705"/>
      <c r="AA76" s="706" t="str">
        <f ca="1">INDEX(X76:Y76,,MATCH(OPCION_INCREMENTO_RC,$X$75:$Y$75,0))</f>
        <v>No</v>
      </c>
    </row>
    <row r="77" spans="4:27" x14ac:dyDescent="0.3">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x14ac:dyDescent="0.3">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x14ac:dyDescent="0.3">
      <c r="D79" s="33"/>
      <c r="E79" s="826" t="s">
        <v>10928</v>
      </c>
      <c r="F79" s="831" t="e">
        <f ca="1">VLOOKUP(ID_AUTO,C_TARIFAS_ESPECIALES,7,0)</f>
        <v>#N/A</v>
      </c>
      <c r="G79" s="16"/>
      <c r="H79" s="36"/>
    </row>
    <row r="80" spans="4:27" x14ac:dyDescent="0.3">
      <c r="D80" s="33"/>
      <c r="E80" s="827" t="s">
        <v>10929</v>
      </c>
      <c r="F80" s="831" t="e">
        <f ca="1">VLOOKUP(ID_AUTO,C_TARIFAS_RESTRINGIDAS,7,0)</f>
        <v>#N/A</v>
      </c>
      <c r="G80" s="16"/>
      <c r="H80" s="36"/>
    </row>
    <row r="81" spans="1:27" x14ac:dyDescent="0.3">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x14ac:dyDescent="0.3">
      <c r="D82" s="33"/>
      <c r="E82" s="16"/>
      <c r="F82" s="16"/>
      <c r="G82" s="34"/>
      <c r="H82" s="36"/>
      <c r="W82" s="705"/>
      <c r="X82" s="705"/>
      <c r="Y82" s="705"/>
      <c r="Z82" s="705"/>
      <c r="AA82" s="705"/>
    </row>
    <row r="83" spans="1:27" x14ac:dyDescent="0.3">
      <c r="D83" s="33"/>
      <c r="E83" s="42" t="s">
        <v>1571</v>
      </c>
      <c r="F83" s="285" t="s">
        <v>2411</v>
      </c>
      <c r="G83" s="123" t="s">
        <v>2225</v>
      </c>
      <c r="H83" s="126"/>
      <c r="X83" s="88" t="s">
        <v>5099</v>
      </c>
      <c r="Y83" s="563" t="b">
        <f ca="1">NOT(Auto.Es3.5T?)</f>
        <v>1</v>
      </c>
      <c r="Z83" s="705"/>
      <c r="AA83" s="556" t="s">
        <v>4996</v>
      </c>
    </row>
    <row r="84" spans="1:27" x14ac:dyDescent="0.3">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x14ac:dyDescent="0.3">
      <c r="D85" s="33"/>
      <c r="E85" s="34"/>
      <c r="F85" s="133">
        <f ca="1">Tarifa_Final</f>
        <v>4.1396799999999997E-2</v>
      </c>
      <c r="G85" s="156"/>
      <c r="H85" s="134" t="s">
        <v>2164</v>
      </c>
      <c r="W85" s="705"/>
      <c r="X85" s="556" t="b">
        <v>1</v>
      </c>
      <c r="Y85" s="609" t="b">
        <v>0</v>
      </c>
      <c r="Z85" s="705"/>
      <c r="AA85" s="617" t="s">
        <v>4995</v>
      </c>
    </row>
    <row r="86" spans="1:27" x14ac:dyDescent="0.3">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x14ac:dyDescent="0.3">
      <c r="D87" s="33"/>
      <c r="E87" s="120"/>
      <c r="F87" s="129"/>
      <c r="G87" s="700">
        <f ca="1">VLOOKUP(ID_MODELO,C_MODELO_AÑO,4,0)</f>
        <v>0</v>
      </c>
      <c r="H87" s="137" t="s">
        <v>5091</v>
      </c>
    </row>
    <row r="88" spans="1:27" x14ac:dyDescent="0.3">
      <c r="D88" s="33"/>
      <c r="E88" s="120"/>
      <c r="F88" s="129"/>
      <c r="G88" s="169"/>
      <c r="H88" s="170"/>
    </row>
    <row r="89" spans="1:27" x14ac:dyDescent="0.3">
      <c r="D89" s="33"/>
      <c r="E89" s="120"/>
      <c r="F89" s="173" t="s">
        <v>2111</v>
      </c>
      <c r="G89" s="174" t="s">
        <v>2220</v>
      </c>
      <c r="H89" s="175"/>
      <c r="V89" s="681" t="s">
        <v>5098</v>
      </c>
      <c r="W89" s="681"/>
      <c r="X89" s="681"/>
      <c r="Y89" s="681"/>
      <c r="Z89" s="681"/>
      <c r="AA89" s="681" t="s">
        <v>488</v>
      </c>
    </row>
    <row r="90" spans="1:27" s="817" customFormat="1" x14ac:dyDescent="0.3">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x14ac:dyDescent="0.3">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x14ac:dyDescent="0.3">
      <c r="A92" s="39"/>
      <c r="D92" s="33"/>
      <c r="E92" s="120"/>
      <c r="F92" s="144" t="s">
        <v>1546</v>
      </c>
      <c r="G92" s="145" t="s">
        <v>3143</v>
      </c>
      <c r="H92" s="132" t="s">
        <v>2167</v>
      </c>
      <c r="W92" s="703"/>
      <c r="X92" s="703"/>
      <c r="Y92" s="703"/>
      <c r="Z92" s="703"/>
      <c r="AA92" s="704">
        <f t="array" aca="1" ref="AA92" ca="1">SUM(IF(COMBO_SERVICIO_PREMIUM&lt;&gt;0,1))</f>
        <v>1</v>
      </c>
    </row>
    <row r="93" spans="1:27" x14ac:dyDescent="0.3">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x14ac:dyDescent="0.3">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x14ac:dyDescent="0.3">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x14ac:dyDescent="0.3">
      <c r="D96" s="33"/>
      <c r="E96" s="120"/>
      <c r="F96" s="135" t="b">
        <v>1</v>
      </c>
      <c r="G96" s="169"/>
      <c r="H96" s="136" t="s">
        <v>2168</v>
      </c>
    </row>
    <row r="97" spans="1:27" x14ac:dyDescent="0.3">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x14ac:dyDescent="0.3">
      <c r="D98" s="33"/>
      <c r="E98" s="120"/>
      <c r="F98" s="135">
        <f ca="1">VLOOKUP(ID_INDEMN_AÑO1,C_Indem_Valor_Factura,4,0)</f>
        <v>4.4999999999999998E-2</v>
      </c>
      <c r="G98" s="169">
        <f>VLOOKUP(1,C_Indem_Valor_Factura,4,0)</f>
        <v>4.4999999999999998E-2</v>
      </c>
      <c r="H98" s="136" t="s">
        <v>3</v>
      </c>
      <c r="W98" s="705"/>
    </row>
    <row r="99" spans="1:27" x14ac:dyDescent="0.3">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x14ac:dyDescent="0.3">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x14ac:dyDescent="0.3">
      <c r="D101" s="33"/>
      <c r="E101" s="16"/>
      <c r="F101" s="138" t="str">
        <f ca="1">VLOOKUP(ID_INCREMENTO_RC,C_ADIC_INCREMENTO_RC,5,0)</f>
        <v>N/A</v>
      </c>
      <c r="G101" s="158"/>
      <c r="H101" s="134" t="s">
        <v>2167</v>
      </c>
      <c r="W101" s="705"/>
      <c r="X101" s="556" t="b">
        <v>1</v>
      </c>
      <c r="Y101" s="609" t="b">
        <v>0</v>
      </c>
      <c r="Z101" s="705"/>
      <c r="AA101" s="617" t="s">
        <v>4995</v>
      </c>
    </row>
    <row r="102" spans="1:27" x14ac:dyDescent="0.3">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x14ac:dyDescent="0.3">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x14ac:dyDescent="0.3">
      <c r="D104" s="33"/>
      <c r="E104" s="16"/>
      <c r="F104" s="311">
        <f ca="1">F105*F106</f>
        <v>336.67839999999967</v>
      </c>
      <c r="G104" s="16"/>
      <c r="H104" s="310" t="s">
        <v>3632</v>
      </c>
    </row>
    <row r="105" spans="1:27" x14ac:dyDescent="0.3">
      <c r="D105" s="33"/>
      <c r="E105" s="35"/>
      <c r="F105" s="308">
        <f ca="1">VLOOKUP(ID_AUTO,C_AUTO,17)</f>
        <v>336.67839999999967</v>
      </c>
      <c r="G105" s="158"/>
      <c r="H105" s="310" t="s">
        <v>3628</v>
      </c>
    </row>
    <row r="106" spans="1:27" x14ac:dyDescent="0.3">
      <c r="D106" s="33"/>
      <c r="E106" s="16"/>
      <c r="F106" s="308">
        <f ca="1">MIN(F107,F108)</f>
        <v>1</v>
      </c>
      <c r="G106" s="16"/>
      <c r="H106" s="310" t="s">
        <v>3629</v>
      </c>
      <c r="V106" s="681" t="s">
        <v>2098</v>
      </c>
      <c r="W106" s="681"/>
      <c r="X106" s="681"/>
      <c r="Y106" s="681"/>
      <c r="Z106" s="681"/>
      <c r="AA106" s="681"/>
    </row>
    <row r="107" spans="1:27" x14ac:dyDescent="0.3">
      <c r="D107" s="33"/>
      <c r="E107" s="16"/>
      <c r="F107" s="308">
        <f ca="1">MultianualFactorAuto</f>
        <v>1</v>
      </c>
      <c r="G107" s="16"/>
      <c r="H107" s="310" t="s">
        <v>3630</v>
      </c>
      <c r="W107" s="705"/>
      <c r="X107" s="705"/>
      <c r="Y107" s="705"/>
      <c r="Z107" s="705"/>
      <c r="AA107" s="705"/>
    </row>
    <row r="108" spans="1:27" x14ac:dyDescent="0.3">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x14ac:dyDescent="0.3">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x14ac:dyDescent="0.3">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x14ac:dyDescent="0.3">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x14ac:dyDescent="0.3">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x14ac:dyDescent="0.3">
      <c r="A113" s="39"/>
      <c r="D113" s="152"/>
      <c r="E113" s="153"/>
      <c r="F113" s="152"/>
      <c r="G113" s="152"/>
      <c r="H113" s="66"/>
      <c r="X113" s="730">
        <f ca="1">'C. Auto'!B7</f>
        <v>2015</v>
      </c>
      <c r="Y113" s="706">
        <f ca="1">'C. Auto'!B8</f>
        <v>2014</v>
      </c>
      <c r="AA113" s="706">
        <f ca="1">INDEX(X113:Y113,,MATCH(OPCION_MODELO,$X$110:$Y$110,0))</f>
        <v>2015</v>
      </c>
    </row>
    <row r="114" spans="1:27" x14ac:dyDescent="0.3">
      <c r="A114" s="39"/>
      <c r="D114" s="148" t="s">
        <v>1574</v>
      </c>
      <c r="E114" s="118" t="s">
        <v>1571</v>
      </c>
      <c r="F114" s="16"/>
      <c r="G114" s="16"/>
      <c r="H114" s="34"/>
      <c r="X114" s="417"/>
      <c r="Y114" s="706">
        <f ca="1">'C. Auto'!B9</f>
        <v>2013</v>
      </c>
      <c r="AA114" s="706">
        <f ca="1">INDEX(X114:Y114,,MATCH(OPCION_MODELO,$X$110:$Y$110,0))</f>
        <v>0</v>
      </c>
    </row>
    <row r="115" spans="1:27" x14ac:dyDescent="0.3">
      <c r="A115" s="39"/>
      <c r="D115" s="31" t="s">
        <v>429</v>
      </c>
      <c r="E115" s="115">
        <f ca="1">ID_TIPO_PERSONA</f>
        <v>1</v>
      </c>
      <c r="F115" s="16"/>
      <c r="G115" s="16"/>
      <c r="H115" s="34"/>
      <c r="X115" s="417"/>
      <c r="Y115" s="725">
        <f ca="1">'C. Auto'!B10</f>
        <v>2012</v>
      </c>
      <c r="AA115" s="706">
        <f ca="1">INDEX(X115:Y115,,MATCH(OPCION_MODELO,$X$110:$Y$110,0))</f>
        <v>0</v>
      </c>
    </row>
    <row r="116" spans="1:27" x14ac:dyDescent="0.3">
      <c r="A116" s="39"/>
      <c r="D116" s="33" t="s">
        <v>430</v>
      </c>
      <c r="E116" s="71" t="str">
        <f ca="1">VLOOKUP(ID_TIPO_PERSONA,C_TIPO_PERSONA,2,0)</f>
        <v>Física</v>
      </c>
      <c r="F116" s="16"/>
      <c r="G116" s="16"/>
      <c r="H116" s="34"/>
    </row>
    <row r="117" spans="1:27" x14ac:dyDescent="0.3">
      <c r="A117" s="39"/>
      <c r="D117" s="33" t="s">
        <v>4944</v>
      </c>
      <c r="E117" s="71" t="str">
        <f ca="1">VLOOKUP(ID_TIPO_PERSONA,C_TIPO_PERSONA,6,0)</f>
        <v>PF</v>
      </c>
      <c r="F117" s="16"/>
      <c r="G117" s="16"/>
      <c r="H117" s="34"/>
      <c r="AA117" s="706"/>
    </row>
    <row r="118" spans="1:27" x14ac:dyDescent="0.3">
      <c r="A118" s="39"/>
      <c r="D118" s="127" t="s">
        <v>2174</v>
      </c>
      <c r="E118" s="71" t="b">
        <f ca="1">VLOOKUP(ID_TIPO_PERSONA,C_TIPO_PERSONA,4,0)</f>
        <v>1</v>
      </c>
      <c r="F118" s="16"/>
      <c r="G118" s="16"/>
      <c r="H118" s="34"/>
      <c r="V118" s="681" t="s">
        <v>436</v>
      </c>
      <c r="W118" s="681"/>
      <c r="X118" s="681"/>
      <c r="Y118" s="681"/>
      <c r="Z118" s="681"/>
      <c r="AA118" s="681"/>
    </row>
    <row r="119" spans="1:27" x14ac:dyDescent="0.3">
      <c r="A119" s="39"/>
      <c r="D119" s="37" t="s">
        <v>2173</v>
      </c>
      <c r="E119" s="72" t="b">
        <f ca="1">VLOOKUP(ID_TIPO_PERSONA,C_TIPO_PERSONA,5,0)</f>
        <v>1</v>
      </c>
      <c r="F119" s="16"/>
      <c r="G119" s="16"/>
      <c r="H119" s="34"/>
    </row>
    <row r="120" spans="1:27" x14ac:dyDescent="0.3">
      <c r="A120" s="39"/>
      <c r="D120" s="16"/>
      <c r="E120" s="35"/>
      <c r="V120" s="579" t="s">
        <v>5119</v>
      </c>
      <c r="W120" s="580"/>
      <c r="X120" s="580"/>
      <c r="Y120" s="580"/>
    </row>
    <row r="121" spans="1:27" x14ac:dyDescent="0.3">
      <c r="A121" s="39"/>
      <c r="D121" s="180" t="s">
        <v>1615</v>
      </c>
      <c r="E121" s="121"/>
      <c r="K121" s="12"/>
      <c r="V121" s="611" t="s">
        <v>5117</v>
      </c>
    </row>
    <row r="122" spans="1:27" x14ac:dyDescent="0.3">
      <c r="A122" s="39"/>
      <c r="D122" s="40" t="s">
        <v>394</v>
      </c>
      <c r="E122" s="181">
        <f xml:space="preserve"> CONST_Cuota_Base_Vida</f>
        <v>4.8300000000000001E-3</v>
      </c>
      <c r="V122"/>
      <c r="W122" s="556" t="s">
        <v>5111</v>
      </c>
      <c r="X122" s="556" t="s">
        <v>5126</v>
      </c>
      <c r="Y122" s="556" t="s">
        <v>5107</v>
      </c>
    </row>
    <row r="123" spans="1:27" x14ac:dyDescent="0.3">
      <c r="A123" s="39"/>
      <c r="D123" s="127" t="s">
        <v>395</v>
      </c>
      <c r="E123" s="182">
        <f xml:space="preserve"> CONST_Constante_Base_Vida</f>
        <v>350</v>
      </c>
      <c r="V123"/>
      <c r="W123" s="708" t="s">
        <v>1568</v>
      </c>
      <c r="X123" s="688" t="s">
        <v>2111</v>
      </c>
      <c r="Y123" s="688" t="s">
        <v>5108</v>
      </c>
    </row>
    <row r="124" spans="1:27" x14ac:dyDescent="0.3">
      <c r="A124" s="39"/>
      <c r="D124" s="33" t="s">
        <v>2170</v>
      </c>
      <c r="E124" s="183">
        <f ca="1" xml:space="preserve"> ( MontoFinanciarAuto * Porcentaje_Cuota_Base_Vida ) * MultianualFactorVida</f>
        <v>652.05000000000007</v>
      </c>
      <c r="V124"/>
      <c r="W124" s="708" t="s">
        <v>1569</v>
      </c>
      <c r="X124" s="714" t="s">
        <v>5112</v>
      </c>
      <c r="Y124" s="714" t="s">
        <v>5127</v>
      </c>
    </row>
    <row r="125" spans="1:27" x14ac:dyDescent="0.3">
      <c r="D125" s="127" t="s">
        <v>396</v>
      </c>
      <c r="E125" s="183">
        <f xml:space="preserve"> Constante_Base_Vida</f>
        <v>350</v>
      </c>
      <c r="V125"/>
      <c r="W125" s="708"/>
      <c r="X125" s="708"/>
      <c r="Y125" s="708"/>
    </row>
    <row r="126" spans="1:27" x14ac:dyDescent="0.3">
      <c r="D126" s="127" t="s">
        <v>2168</v>
      </c>
      <c r="E126" s="36" t="b">
        <f ca="1">AND(TipoPersona.AplicaSeguroVida?, ValorFactura &lt;&gt;0)</f>
        <v>1</v>
      </c>
      <c r="V126" s="717" t="s">
        <v>5120</v>
      </c>
    </row>
    <row r="127" spans="1:27" x14ac:dyDescent="0.3">
      <c r="D127" s="75" t="s">
        <v>1615</v>
      </c>
      <c r="E127" s="302">
        <f ca="1">( VidaComponenteConMulti + VidaComponenteSinMulti ) * VidaAplica?</f>
        <v>1002.0500000000001</v>
      </c>
      <c r="V127" s="556" t="s">
        <v>5113</v>
      </c>
      <c r="W127" s="556" t="s">
        <v>5118</v>
      </c>
      <c r="X127" s="556" t="s">
        <v>5126</v>
      </c>
      <c r="Y127" s="556" t="s">
        <v>5107</v>
      </c>
    </row>
    <row r="128" spans="1:27" x14ac:dyDescent="0.3">
      <c r="V128" s="708" t="b">
        <v>1</v>
      </c>
      <c r="W128" s="708" t="b">
        <v>0</v>
      </c>
      <c r="X128" s="715" t="s">
        <v>5109</v>
      </c>
      <c r="Y128" s="715" t="s">
        <v>5109</v>
      </c>
    </row>
    <row r="129" spans="1:27" s="668" customFormat="1" x14ac:dyDescent="0.3">
      <c r="D129" s="180" t="s">
        <v>424</v>
      </c>
      <c r="E129" s="121"/>
      <c r="F129"/>
      <c r="G129"/>
      <c r="H129" s="12"/>
      <c r="N129" s="695"/>
      <c r="T129" s="677"/>
      <c r="V129" s="708" t="b">
        <v>1</v>
      </c>
      <c r="W129" s="708" t="b">
        <v>1</v>
      </c>
      <c r="X129" s="716" t="s">
        <v>5114</v>
      </c>
      <c r="Y129" s="716" t="s">
        <v>5110</v>
      </c>
      <c r="Z129"/>
      <c r="AA129"/>
    </row>
    <row r="130" spans="1:27" x14ac:dyDescent="0.3">
      <c r="A130" s="39"/>
      <c r="D130" s="184" t="s">
        <v>397</v>
      </c>
      <c r="E130" s="303">
        <f ca="1" xml:space="preserve"> PrimaDaños + PrimaVida</f>
        <v>8041.7568599999995</v>
      </c>
      <c r="K130" s="510"/>
      <c r="L130" s="39"/>
      <c r="V130" s="708" t="b">
        <v>0</v>
      </c>
      <c r="W130" s="708" t="b">
        <v>0</v>
      </c>
      <c r="X130" s="688" t="s">
        <v>5115</v>
      </c>
      <c r="Y130" s="688" t="s">
        <v>5108</v>
      </c>
    </row>
    <row r="131" spans="1:27" x14ac:dyDescent="0.3">
      <c r="A131" s="39"/>
      <c r="J131" s="39"/>
      <c r="K131" s="39"/>
      <c r="L131" s="39"/>
      <c r="V131" s="708" t="b">
        <v>0</v>
      </c>
      <c r="W131" s="708" t="b">
        <v>1</v>
      </c>
      <c r="X131" s="716" t="s">
        <v>5116</v>
      </c>
      <c r="Y131" s="716" t="s">
        <v>5110</v>
      </c>
    </row>
    <row r="132" spans="1:27" x14ac:dyDescent="0.3">
      <c r="A132" s="39"/>
      <c r="D132" s="180" t="s">
        <v>432</v>
      </c>
      <c r="E132" s="121"/>
      <c r="J132" s="39"/>
      <c r="K132" s="39"/>
      <c r="L132" s="39"/>
      <c r="V132"/>
    </row>
    <row r="133" spans="1:27" x14ac:dyDescent="0.3">
      <c r="A133" s="39"/>
      <c r="D133" s="33" t="s">
        <v>433</v>
      </c>
      <c r="E133" s="699">
        <f>TASA_IVA</f>
        <v>0.16</v>
      </c>
      <c r="J133" s="39"/>
      <c r="K133" s="39"/>
      <c r="L133" s="39"/>
      <c r="V133" s="278" t="s">
        <v>5121</v>
      </c>
      <c r="W133" s="265"/>
      <c r="X133" s="265"/>
      <c r="Y133" s="265"/>
    </row>
    <row r="134" spans="1:27" x14ac:dyDescent="0.3">
      <c r="A134" s="39"/>
      <c r="D134" s="33" t="s">
        <v>404</v>
      </c>
      <c r="E134" s="465">
        <f>IvaNominal - CONST_DESCUENTO_IVA_INTERES</f>
        <v>0.12</v>
      </c>
      <c r="J134" s="39"/>
      <c r="K134" s="39"/>
      <c r="L134" s="39"/>
      <c r="V134"/>
    </row>
    <row r="135" spans="1:27" x14ac:dyDescent="0.3">
      <c r="A135" s="39"/>
      <c r="D135" s="37" t="s">
        <v>405</v>
      </c>
      <c r="E135" s="185">
        <f ca="1">IvaDeflactada * TipoPersona.AplicaIvaIntereses?</f>
        <v>0.12</v>
      </c>
      <c r="J135" s="39"/>
      <c r="K135" s="39"/>
      <c r="L135" s="39"/>
      <c r="V135" s="611" t="s">
        <v>5122</v>
      </c>
      <c r="X135" s="556" t="s">
        <v>5111</v>
      </c>
      <c r="Y135" s="556" t="s">
        <v>5107</v>
      </c>
    </row>
    <row r="136" spans="1:27" x14ac:dyDescent="0.3">
      <c r="J136" s="39"/>
      <c r="K136" s="39"/>
      <c r="L136" s="39"/>
      <c r="V136"/>
      <c r="X136" s="708" t="str">
        <f>SELECCION_INDEMN_AÑO1</f>
        <v>No</v>
      </c>
      <c r="Y136" s="708" t="str">
        <f>DGET(TABLA_SETS_PLAZOS_NUEVOS,Y135,X135:X136)</f>
        <v>Completo</v>
      </c>
    </row>
    <row r="137" spans="1:27" x14ac:dyDescent="0.3">
      <c r="D137" s="148" t="s">
        <v>4786</v>
      </c>
      <c r="E137" s="118" t="s">
        <v>1571</v>
      </c>
      <c r="J137" s="39"/>
      <c r="K137" s="39"/>
      <c r="L137" s="39"/>
      <c r="V137"/>
    </row>
    <row r="138" spans="1:27" x14ac:dyDescent="0.3">
      <c r="D138" s="31" t="s">
        <v>2168</v>
      </c>
      <c r="E138" s="32" t="b">
        <f>SELECCION_GTIAEXT="Financiado"</f>
        <v>1</v>
      </c>
      <c r="H138"/>
      <c r="J138" s="39"/>
      <c r="K138" s="511"/>
      <c r="L138" s="39"/>
      <c r="V138" s="611" t="s">
        <v>5123</v>
      </c>
      <c r="W138" s="556" t="s">
        <v>5113</v>
      </c>
      <c r="X138" s="556" t="s">
        <v>5118</v>
      </c>
      <c r="Y138" s="556" t="s">
        <v>5107</v>
      </c>
    </row>
    <row r="139" spans="1:27" x14ac:dyDescent="0.3">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x14ac:dyDescent="0.3">
      <c r="J140" s="39"/>
      <c r="K140" s="39"/>
      <c r="L140" s="39"/>
      <c r="V140"/>
    </row>
    <row r="141" spans="1:27" x14ac:dyDescent="0.3">
      <c r="D141" s="180" t="s">
        <v>398</v>
      </c>
      <c r="E141" s="121"/>
      <c r="J141" s="39"/>
      <c r="K141" s="39"/>
      <c r="L141" s="39"/>
      <c r="V141" s="561" t="s">
        <v>5124</v>
      </c>
      <c r="W141" s="559"/>
      <c r="X141" s="559"/>
      <c r="Y141" s="718" t="str">
        <f ca="1">IF(CondiciónAuto.EsNuevo?, Y136, Y139)</f>
        <v>Completo</v>
      </c>
    </row>
    <row r="142" spans="1:27" x14ac:dyDescent="0.3">
      <c r="D142" s="31" t="s">
        <v>399</v>
      </c>
      <c r="E142" s="69">
        <f ca="1" xml:space="preserve"> ValorFactura * PorcentajeEnganche</f>
        <v>15000</v>
      </c>
      <c r="F142" s="33"/>
      <c r="G142" s="16"/>
      <c r="J142" s="39"/>
      <c r="K142" s="39"/>
      <c r="L142" s="39"/>
      <c r="V142"/>
    </row>
    <row r="143" spans="1:27" x14ac:dyDescent="0.3">
      <c r="D143" s="33" t="s">
        <v>407</v>
      </c>
      <c r="E143" s="70">
        <f ca="1" xml:space="preserve"> MontoEnganche + AportacionAdicional</f>
        <v>15000</v>
      </c>
      <c r="F143" s="33"/>
      <c r="G143" s="16"/>
      <c r="J143" s="39"/>
      <c r="K143" s="39"/>
      <c r="L143" s="39"/>
      <c r="V143"/>
    </row>
    <row r="144" spans="1:27" x14ac:dyDescent="0.3">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x14ac:dyDescent="0.3">
      <c r="D145" s="33" t="s">
        <v>5061</v>
      </c>
      <c r="E145" s="70">
        <f ca="1">MontoFinanciarAuto + MontoGtiaExt</f>
        <v>141000</v>
      </c>
      <c r="F145" s="33"/>
      <c r="G145" s="35"/>
      <c r="H145" s="669"/>
      <c r="J145" s="39"/>
      <c r="K145" s="39"/>
      <c r="L145" s="39"/>
      <c r="V145"/>
      <c r="AA145" s="708">
        <f t="array" aca="1" ref="AA145" ca="1">SUM(IF(COMBO_PLAZO&lt;&gt;0,1))</f>
        <v>5</v>
      </c>
    </row>
    <row r="146" spans="2:27" x14ac:dyDescent="0.3">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x14ac:dyDescent="0.3">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x14ac:dyDescent="0.3">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x14ac:dyDescent="0.3">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x14ac:dyDescent="0.3">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x14ac:dyDescent="0.3">
      <c r="B151" s="668"/>
      <c r="C151" s="668"/>
      <c r="F151" s="299"/>
      <c r="G151" s="509"/>
      <c r="I151" s="668"/>
      <c r="J151" s="668"/>
      <c r="V151" s="708" t="s">
        <v>1557</v>
      </c>
      <c r="X151" s="708"/>
      <c r="Y151" s="708"/>
      <c r="AA151" s="708" t="str">
        <f ca="1">INDEX(V151:Y151,,MATCH(OPCION_PLAZO,$V$146:$Y$146,0))</f>
        <v>60 Meses</v>
      </c>
    </row>
    <row r="152" spans="2:27" x14ac:dyDescent="0.3">
      <c r="B152" s="668"/>
      <c r="C152" s="668"/>
      <c r="D152" s="180" t="s">
        <v>437</v>
      </c>
      <c r="E152" s="121"/>
      <c r="I152" s="668"/>
      <c r="J152" s="668"/>
    </row>
    <row r="153" spans="2:27" x14ac:dyDescent="0.3">
      <c r="B153" s="668"/>
      <c r="C153" s="668"/>
      <c r="D153" s="37" t="s">
        <v>437</v>
      </c>
      <c r="E153" s="186">
        <f ca="1">Tasa_Interés</f>
        <v>0.129</v>
      </c>
      <c r="I153" s="668"/>
      <c r="J153" s="668"/>
      <c r="AA153" s="708"/>
    </row>
    <row r="155" spans="2:27" x14ac:dyDescent="0.3">
      <c r="D155" s="148" t="s">
        <v>406</v>
      </c>
      <c r="E155" s="118"/>
      <c r="H155"/>
    </row>
    <row r="156" spans="2:27" x14ac:dyDescent="0.3">
      <c r="D156" s="31" t="s">
        <v>1597</v>
      </c>
      <c r="E156" s="115">
        <f ca="1">VLOOKUP(ID_PLAZO,C_PLAZO,4,0)</f>
        <v>12</v>
      </c>
      <c r="F156" s="287"/>
      <c r="H156"/>
    </row>
    <row r="157" spans="2:27" x14ac:dyDescent="0.3">
      <c r="D157" s="33" t="s">
        <v>1610</v>
      </c>
      <c r="E157" s="71">
        <f ca="1">VLOOKUP(ID_FRECUENCIA,C_FRECUENCIA,5,0)</f>
        <v>12</v>
      </c>
    </row>
    <row r="158" spans="2:27" x14ac:dyDescent="0.3">
      <c r="D158" s="75" t="s">
        <v>1631</v>
      </c>
      <c r="E158" s="72">
        <f ca="1" xml:space="preserve"> PlazoEnMeses / CONST_MESES_EN_AÑO * PeriodosPorAño</f>
        <v>12</v>
      </c>
    </row>
    <row r="160" spans="2:27" x14ac:dyDescent="0.3">
      <c r="D160" s="180" t="s">
        <v>409</v>
      </c>
      <c r="E160" s="121"/>
    </row>
    <row r="161" spans="4:8" x14ac:dyDescent="0.3">
      <c r="D161" s="40" t="s">
        <v>1633</v>
      </c>
      <c r="E161" s="670">
        <f ca="1">PPMT( TasaInteres/PeriodosPorAño * (1+IvaParaIntereses), 1, NumeroDePagos, -MontoFinanciarAutoYGtiaExt )</f>
        <v>10992.08444355547</v>
      </c>
      <c r="F161" s="668"/>
    </row>
    <row r="162" spans="4:8" x14ac:dyDescent="0.3">
      <c r="D162" s="75" t="s">
        <v>1634</v>
      </c>
      <c r="E162" s="671">
        <f ca="1">IPMT( TasaInteres/CONST_DIAS_EN_AÑO*FREC.DiasPorPeriodo * (1+IvaParaIntereses), 1, NumeroDePagos, -MontoFinanciarAutoYGtiaExt )</f>
        <v>1697.64</v>
      </c>
      <c r="F162" s="668"/>
    </row>
    <row r="163" spans="4:8" x14ac:dyDescent="0.3">
      <c r="D163" s="184" t="s">
        <v>2103</v>
      </c>
      <c r="E163" s="187">
        <f ca="1">SUM(E161:E162)</f>
        <v>12689.724443555469</v>
      </c>
      <c r="G163" s="668"/>
      <c r="H163" s="669"/>
    </row>
    <row r="164" spans="4:8" x14ac:dyDescent="0.3">
      <c r="D164" s="40" t="s">
        <v>5059</v>
      </c>
      <c r="E164" s="115">
        <f ca="1">IF(Seguro.EsMultianual?, PlazoEnMeses, CONST_MESES_EN_AÑO)</f>
        <v>12</v>
      </c>
      <c r="G164" s="668"/>
      <c r="H164" s="669"/>
    </row>
    <row r="165" spans="4:8" x14ac:dyDescent="0.3">
      <c r="D165" s="127" t="s">
        <v>5060</v>
      </c>
      <c r="E165" s="71">
        <f ca="1">E164 / CONST_MESES_EN_AÑO * PeriodosPorAño</f>
        <v>12</v>
      </c>
      <c r="F165" s="668"/>
    </row>
    <row r="166" spans="4:8" x14ac:dyDescent="0.3">
      <c r="D166" s="127" t="s">
        <v>1633</v>
      </c>
      <c r="E166" s="672">
        <f ca="1">PPMT( TasaInteres/PeriodosPorAño * (1+IvaParaIntereses), 1, E165, -MontoFinanciarSeguros )</f>
        <v>626.9196487919254</v>
      </c>
      <c r="F166" s="668"/>
    </row>
    <row r="167" spans="4:8" x14ac:dyDescent="0.3">
      <c r="D167" s="127" t="s">
        <v>1634</v>
      </c>
      <c r="E167" s="672">
        <f ca="1">IPMT( TasaInteres/CONST_DIAS_EN_AÑO*FREC.DiasPorPeriodo * (1+IvaParaIntereses), 1, E165, -MontoFinanciarSeguros )</f>
        <v>96.822752594400001</v>
      </c>
      <c r="F167" s="668"/>
      <c r="G167" s="668"/>
      <c r="H167" s="669"/>
    </row>
    <row r="168" spans="4:8" x14ac:dyDescent="0.3">
      <c r="D168" s="184" t="s">
        <v>410</v>
      </c>
      <c r="E168" s="673">
        <f ca="1">SUM(E166:E167)</f>
        <v>723.74240138632535</v>
      </c>
      <c r="G168" s="668"/>
      <c r="H168" s="669"/>
    </row>
    <row r="169" spans="4:8" x14ac:dyDescent="0.3">
      <c r="D169" s="184" t="s">
        <v>411</v>
      </c>
      <c r="E169" s="188">
        <f ca="1" xml:space="preserve"> PagoAuto + PagoSeguro</f>
        <v>13413.466844941795</v>
      </c>
      <c r="G169" s="668"/>
      <c r="H169" s="669"/>
    </row>
    <row r="171" spans="4:8" x14ac:dyDescent="0.3">
      <c r="D171" s="180" t="s">
        <v>417</v>
      </c>
      <c r="E171" s="121"/>
      <c r="F171" s="712" t="s">
        <v>3167</v>
      </c>
    </row>
    <row r="172" spans="4:8" x14ac:dyDescent="0.3">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x14ac:dyDescent="0.3">
      <c r="D173" s="191" t="s">
        <v>1692</v>
      </c>
      <c r="E173" s="70" t="str">
        <f ca="1">TEXT(MontoFinanciarSeguros,"$#,##0.00")</f>
        <v>$8,041.76</v>
      </c>
      <c r="G173" s="706">
        <f ca="1">IF(OR(ID_AUTO_SUST=1,ID_INCREMENTO_RC&gt;0,ID_INDEMN_AÑO1&gt;1,ID_SERVICIO_PREMIUM=1),1,0)</f>
        <v>1</v>
      </c>
      <c r="H173" s="712" t="s">
        <v>4067</v>
      </c>
    </row>
    <row r="174" spans="4:8" x14ac:dyDescent="0.3">
      <c r="D174" s="191" t="s">
        <v>1693</v>
      </c>
      <c r="E174" s="204" t="s">
        <v>4066</v>
      </c>
      <c r="F174" s="204" t="s">
        <v>3623</v>
      </c>
      <c r="H174" t="s">
        <v>3170</v>
      </c>
    </row>
    <row r="175" spans="4:8" x14ac:dyDescent="0.3">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x14ac:dyDescent="0.3">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x14ac:dyDescent="0.3">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3">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heetViews>
  <sheetFormatPr defaultColWidth="9.109375" defaultRowHeight="14.4" x14ac:dyDescent="0.3"/>
  <cols>
    <col min="1" max="1" width="37.109375" bestFit="1" customWidth="1"/>
    <col min="2" max="2" width="12.44140625" customWidth="1"/>
    <col min="3" max="3" width="30.109375" customWidth="1"/>
    <col min="4" max="4" width="43.33203125" customWidth="1"/>
    <col min="5" max="5" width="17.88671875" customWidth="1"/>
  </cols>
  <sheetData>
    <row r="1" spans="1:5" ht="19.8" x14ac:dyDescent="0.4">
      <c r="A1" s="803" t="s">
        <v>5606</v>
      </c>
    </row>
    <row r="2" spans="1:5" ht="15" thickBot="1" x14ac:dyDescent="0.35"/>
    <row r="3" spans="1:5" ht="19.8" x14ac:dyDescent="0.4">
      <c r="A3" s="899" t="s">
        <v>7</v>
      </c>
      <c r="B3" s="900" t="s">
        <v>5607</v>
      </c>
      <c r="C3" s="901"/>
      <c r="D3" s="901"/>
      <c r="E3" s="901"/>
    </row>
    <row r="4" spans="1:5" x14ac:dyDescent="0.3">
      <c r="A4" s="790" t="s">
        <v>11017</v>
      </c>
    </row>
    <row r="6" spans="1:5" x14ac:dyDescent="0.3">
      <c r="A6" s="801" t="s">
        <v>4961</v>
      </c>
      <c r="B6" s="800"/>
    </row>
    <row r="7" spans="1:5" x14ac:dyDescent="0.3">
      <c r="A7" s="785" t="s">
        <v>4954</v>
      </c>
      <c r="B7" s="787" t="str">
        <f ca="1">CondiciónAuto.Descripcion</f>
        <v>Nuevo</v>
      </c>
    </row>
    <row r="8" spans="1:5" x14ac:dyDescent="0.3">
      <c r="A8" s="785" t="s">
        <v>4948</v>
      </c>
      <c r="B8" s="787" t="str">
        <f>TTAR.Código</f>
        <v>T.T.TRAD</v>
      </c>
    </row>
    <row r="9" spans="1:5" x14ac:dyDescent="0.3">
      <c r="A9" s="785" t="s">
        <v>1574</v>
      </c>
      <c r="B9" s="787" t="str">
        <f ca="1">TipoPersona.Código</f>
        <v>PF</v>
      </c>
    </row>
    <row r="11" spans="1:5" x14ac:dyDescent="0.3">
      <c r="A11" s="795" t="s">
        <v>4973</v>
      </c>
      <c r="B11" s="794" t="s">
        <v>488</v>
      </c>
      <c r="C11" s="784" t="s">
        <v>5608</v>
      </c>
      <c r="D11" s="784" t="s">
        <v>5609</v>
      </c>
      <c r="E11" s="784" t="s">
        <v>5612</v>
      </c>
    </row>
    <row r="12" spans="1:5" x14ac:dyDescent="0.3">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 thickBot="1" x14ac:dyDescent="0.35"/>
    <row r="15" spans="1:5" ht="19.8" x14ac:dyDescent="0.4">
      <c r="A15" s="899" t="s">
        <v>437</v>
      </c>
      <c r="B15" s="902" t="s">
        <v>11018</v>
      </c>
      <c r="C15" s="901"/>
      <c r="D15" s="901"/>
      <c r="E15" s="901"/>
    </row>
    <row r="16" spans="1:5" x14ac:dyDescent="0.3">
      <c r="A16" s="790" t="s">
        <v>11016</v>
      </c>
      <c r="B16" s="882"/>
    </row>
    <row r="17" spans="1:5" x14ac:dyDescent="0.3">
      <c r="A17" s="882"/>
      <c r="B17" s="882"/>
    </row>
    <row r="18" spans="1:5" x14ac:dyDescent="0.3">
      <c r="A18" s="801" t="s">
        <v>4961</v>
      </c>
      <c r="B18" s="800"/>
    </row>
    <row r="19" spans="1:5" x14ac:dyDescent="0.3">
      <c r="A19" s="882" t="s">
        <v>4948</v>
      </c>
      <c r="B19" s="316" t="str">
        <f>TTAR.Código</f>
        <v>T.T.TRAD</v>
      </c>
    </row>
    <row r="20" spans="1:5" x14ac:dyDescent="0.3">
      <c r="A20" s="882" t="s">
        <v>4955</v>
      </c>
      <c r="B20" s="883" t="b">
        <f ca="1">Tasa_Reducida?</f>
        <v>0</v>
      </c>
    </row>
    <row r="21" spans="1:5" x14ac:dyDescent="0.3">
      <c r="A21" s="882" t="s">
        <v>11015</v>
      </c>
      <c r="B21" s="568">
        <f>SELECCION_TASA_PREAUT</f>
        <v>9.9000000000000005E-2</v>
      </c>
    </row>
    <row r="23" spans="1:5" x14ac:dyDescent="0.3">
      <c r="A23" s="795" t="s">
        <v>4973</v>
      </c>
      <c r="B23" s="794"/>
      <c r="C23" s="884" t="s">
        <v>5608</v>
      </c>
      <c r="D23" s="884" t="s">
        <v>5609</v>
      </c>
      <c r="E23" s="884" t="s">
        <v>5612</v>
      </c>
    </row>
    <row r="24" spans="1:5" x14ac:dyDescent="0.3">
      <c r="A24" s="882" t="s">
        <v>11019</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5"/>
  <sheetViews>
    <sheetView zoomScale="70" zoomScaleNormal="70" workbookViewId="0"/>
  </sheetViews>
  <sheetFormatPr defaultColWidth="9.109375" defaultRowHeight="14.4" x14ac:dyDescent="0.3"/>
  <cols>
    <col min="1" max="2" width="16.33203125" style="785" customWidth="1"/>
    <col min="3" max="3" width="1.88671875" style="782" customWidth="1"/>
    <col min="4" max="7" width="16.33203125" style="782" customWidth="1"/>
    <col min="8" max="8" width="16.33203125" style="874" customWidth="1"/>
    <col min="9" max="9" width="1.88671875" style="785" customWidth="1"/>
    <col min="10" max="10" width="27.109375" style="785" customWidth="1"/>
    <col min="11" max="11" width="16.44140625" style="785" customWidth="1"/>
    <col min="12" max="12" width="1.88671875" style="785" customWidth="1"/>
    <col min="13" max="13" width="28.88671875" style="785" customWidth="1"/>
    <col min="14" max="14" width="16.44140625" style="785" customWidth="1"/>
    <col min="15" max="16384" width="9.109375" style="785"/>
  </cols>
  <sheetData>
    <row r="1" spans="1:14" ht="19.8" x14ac:dyDescent="0.4">
      <c r="A1" s="802" t="s">
        <v>7</v>
      </c>
    </row>
    <row r="2" spans="1:14" x14ac:dyDescent="0.3">
      <c r="A2" s="790" t="s">
        <v>11017</v>
      </c>
    </row>
    <row r="4" spans="1:14" x14ac:dyDescent="0.3">
      <c r="A4" s="801" t="s">
        <v>4961</v>
      </c>
      <c r="B4" s="800"/>
      <c r="C4" s="782" t="s">
        <v>5605</v>
      </c>
      <c r="D4" s="799" t="s">
        <v>434</v>
      </c>
      <c r="E4" s="799"/>
      <c r="F4" s="799"/>
      <c r="G4" s="798"/>
      <c r="H4" s="798"/>
      <c r="I4" s="785" t="s">
        <v>5605</v>
      </c>
      <c r="J4" s="797" t="s">
        <v>425</v>
      </c>
      <c r="K4" s="796"/>
      <c r="L4" s="785" t="s">
        <v>5605</v>
      </c>
      <c r="M4" s="795" t="s">
        <v>4973</v>
      </c>
      <c r="N4" s="794"/>
    </row>
    <row r="5" spans="1:14" x14ac:dyDescent="0.3">
      <c r="A5" s="785" t="s">
        <v>4954</v>
      </c>
      <c r="B5" s="787" t="str">
        <f ca="1">GLUE!B7</f>
        <v>Nuevo</v>
      </c>
      <c r="D5" s="277"/>
      <c r="E5" s="277"/>
      <c r="K5" s="787"/>
      <c r="M5" s="785" t="s">
        <v>7</v>
      </c>
      <c r="N5" s="793">
        <f ca="1">Porcentaje_Mínimo_Enganche</f>
        <v>0.1</v>
      </c>
    </row>
    <row r="6" spans="1:14" x14ac:dyDescent="0.3">
      <c r="A6" s="785" t="s">
        <v>4948</v>
      </c>
      <c r="B6" s="787" t="str">
        <f>GLUE!B8</f>
        <v>T.T.TRAD</v>
      </c>
      <c r="F6" s="992" t="s">
        <v>4948</v>
      </c>
      <c r="G6" s="992"/>
      <c r="H6" s="875"/>
      <c r="J6" s="790" t="s">
        <v>5610</v>
      </c>
      <c r="M6" s="792"/>
      <c r="N6" s="791"/>
    </row>
    <row r="7" spans="1:14" x14ac:dyDescent="0.3">
      <c r="A7" s="785" t="s">
        <v>1574</v>
      </c>
      <c r="B7" s="787" t="str">
        <f ca="1">GLUE!B9</f>
        <v>PF</v>
      </c>
      <c r="D7" s="788" t="s">
        <v>4954</v>
      </c>
      <c r="E7" s="788" t="s">
        <v>1574</v>
      </c>
      <c r="F7" s="788" t="s">
        <v>4950</v>
      </c>
      <c r="G7" s="788" t="s">
        <v>4951</v>
      </c>
      <c r="H7" s="788" t="s">
        <v>11010</v>
      </c>
      <c r="J7" s="805" t="s">
        <v>4954</v>
      </c>
      <c r="K7" s="805" t="s">
        <v>1574</v>
      </c>
    </row>
    <row r="8" spans="1:14" x14ac:dyDescent="0.3">
      <c r="D8" s="783" t="s">
        <v>1627</v>
      </c>
      <c r="E8" s="783" t="s">
        <v>5064</v>
      </c>
      <c r="F8" s="786">
        <v>0.1</v>
      </c>
      <c r="G8" s="786">
        <v>0.1</v>
      </c>
      <c r="H8" s="786">
        <v>0.1</v>
      </c>
      <c r="J8" s="804" t="str">
        <f ca="1">i.Condición_Auto</f>
        <v>Nuevo</v>
      </c>
      <c r="K8" s="804" t="str">
        <f ca="1">"="&amp;i.Tipo_Persona</f>
        <v>=PF</v>
      </c>
    </row>
    <row r="9" spans="1:14" x14ac:dyDescent="0.3">
      <c r="D9" s="783" t="s">
        <v>1627</v>
      </c>
      <c r="E9" s="783" t="s">
        <v>5065</v>
      </c>
      <c r="F9" s="786">
        <v>0.1</v>
      </c>
      <c r="G9" s="786">
        <v>0.1</v>
      </c>
      <c r="H9" s="786">
        <v>0.1</v>
      </c>
      <c r="J9" s="790" t="s">
        <v>7</v>
      </c>
      <c r="K9" s="789">
        <f ca="1">DGET($D$7:$H$13,i.Tipo_Tarifa,$J$7:$K$8)</f>
        <v>0.1</v>
      </c>
    </row>
    <row r="10" spans="1:14" x14ac:dyDescent="0.3">
      <c r="D10" s="783" t="s">
        <v>1627</v>
      </c>
      <c r="E10" s="783" t="s">
        <v>5066</v>
      </c>
      <c r="F10" s="786">
        <v>0.2</v>
      </c>
      <c r="G10" s="786">
        <v>0.15</v>
      </c>
      <c r="H10" s="786">
        <v>0.2</v>
      </c>
    </row>
    <row r="11" spans="1:14" x14ac:dyDescent="0.3">
      <c r="D11" s="783" t="s">
        <v>1628</v>
      </c>
      <c r="E11" s="783" t="s">
        <v>5064</v>
      </c>
      <c r="F11" s="786">
        <v>0.25</v>
      </c>
      <c r="G11" s="786">
        <v>0.25</v>
      </c>
      <c r="H11" s="786">
        <v>0.25</v>
      </c>
      <c r="K11" s="789"/>
    </row>
    <row r="12" spans="1:14" x14ac:dyDescent="0.3">
      <c r="D12" s="783" t="s">
        <v>1628</v>
      </c>
      <c r="E12" s="783" t="s">
        <v>5065</v>
      </c>
      <c r="F12" s="786">
        <v>0.25</v>
      </c>
      <c r="G12" s="786">
        <v>0.25</v>
      </c>
      <c r="H12" s="786">
        <v>0.25</v>
      </c>
    </row>
    <row r="13" spans="1:14" x14ac:dyDescent="0.3">
      <c r="D13" s="783" t="s">
        <v>1628</v>
      </c>
      <c r="E13" s="783" t="s">
        <v>5066</v>
      </c>
      <c r="F13" s="786">
        <v>0.25</v>
      </c>
      <c r="G13" s="786">
        <v>0.25</v>
      </c>
      <c r="H13" s="786">
        <v>0.25</v>
      </c>
    </row>
    <row r="14" spans="1:14" x14ac:dyDescent="0.3">
      <c r="K14" s="787"/>
    </row>
    <row r="15" spans="1:14" x14ac:dyDescent="0.3">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zoomScale="70" zoomScaleNormal="70" workbookViewId="0"/>
  </sheetViews>
  <sheetFormatPr defaultColWidth="9.109375" defaultRowHeight="14.4" x14ac:dyDescent="0.3"/>
  <cols>
    <col min="1" max="1" width="19.109375" style="873" customWidth="1"/>
    <col min="2" max="2" width="12.44140625" style="873" customWidth="1"/>
    <col min="3" max="3" width="2.44140625" style="873" customWidth="1"/>
    <col min="4" max="4" width="19.6640625" bestFit="1" customWidth="1"/>
    <col min="5" max="5" width="13.5546875" bestFit="1" customWidth="1"/>
    <col min="6" max="6" width="20.109375" customWidth="1"/>
    <col min="7" max="7" width="2.6640625" customWidth="1"/>
    <col min="8" max="8" width="19.109375" bestFit="1" customWidth="1"/>
    <col min="9" max="9" width="13.5546875" style="879" bestFit="1" customWidth="1"/>
    <col min="10" max="10" width="2.6640625" customWidth="1"/>
    <col min="11" max="11" width="21.88671875" customWidth="1"/>
    <col min="12" max="12" width="7.6640625" customWidth="1"/>
    <col min="13" max="15" width="15.109375" customWidth="1"/>
    <col min="16" max="16" width="3.6640625" customWidth="1"/>
  </cols>
  <sheetData>
    <row r="1" spans="1:12" s="873" customFormat="1" ht="19.8" x14ac:dyDescent="0.4">
      <c r="A1" s="802" t="s">
        <v>437</v>
      </c>
      <c r="I1" s="879"/>
    </row>
    <row r="2" spans="1:12" s="879" customFormat="1" x14ac:dyDescent="0.3">
      <c r="A2" s="790" t="s">
        <v>11016</v>
      </c>
    </row>
    <row r="3" spans="1:12" s="873" customFormat="1" x14ac:dyDescent="0.3">
      <c r="I3" s="879"/>
    </row>
    <row r="4" spans="1:12" s="873" customFormat="1" x14ac:dyDescent="0.3">
      <c r="A4" s="801" t="s">
        <v>4961</v>
      </c>
      <c r="B4" s="800"/>
      <c r="D4" s="799" t="s">
        <v>434</v>
      </c>
      <c r="E4" s="798"/>
      <c r="F4" s="798"/>
      <c r="H4" s="797" t="s">
        <v>425</v>
      </c>
      <c r="I4" s="797"/>
      <c r="J4" s="785" t="s">
        <v>5605</v>
      </c>
      <c r="K4" s="795" t="s">
        <v>4973</v>
      </c>
      <c r="L4" s="794"/>
    </row>
    <row r="5" spans="1:12" s="873" customFormat="1" x14ac:dyDescent="0.3">
      <c r="I5" s="879"/>
    </row>
    <row r="6" spans="1:12" s="873" customFormat="1" x14ac:dyDescent="0.3">
      <c r="A6" s="879" t="s">
        <v>4948</v>
      </c>
      <c r="B6" s="316" t="str">
        <f>TTAR.Código</f>
        <v>T.T.TRAD</v>
      </c>
      <c r="D6" s="788" t="s">
        <v>4948</v>
      </c>
      <c r="E6" s="788" t="s">
        <v>4953</v>
      </c>
      <c r="F6" s="788" t="s">
        <v>4956</v>
      </c>
      <c r="H6" s="805" t="s">
        <v>4948</v>
      </c>
      <c r="I6" s="805" t="s">
        <v>4953</v>
      </c>
      <c r="K6" s="879" t="s">
        <v>4956</v>
      </c>
      <c r="L6" s="568">
        <f ca="1">Tasa_de_Interés</f>
        <v>0.129</v>
      </c>
    </row>
    <row r="7" spans="1:12" x14ac:dyDescent="0.3">
      <c r="A7" s="879" t="s">
        <v>4955</v>
      </c>
      <c r="B7" s="880" t="b">
        <f ca="1">Tasa_Reducida?</f>
        <v>0</v>
      </c>
      <c r="D7" s="562" t="s">
        <v>4950</v>
      </c>
      <c r="E7" s="562" t="b">
        <v>0</v>
      </c>
      <c r="F7" s="568">
        <v>0.129</v>
      </c>
      <c r="H7" s="804" t="str">
        <f>i.Tipo_Tarifa</f>
        <v>T.T.TRAD</v>
      </c>
      <c r="I7" s="804" t="b">
        <f ca="1">i.Tasa_Reducida?</f>
        <v>0</v>
      </c>
    </row>
    <row r="8" spans="1:12" x14ac:dyDescent="0.3">
      <c r="A8" s="879" t="s">
        <v>11015</v>
      </c>
      <c r="B8" s="568">
        <f>SELECCION_TASA_PREAUT</f>
        <v>9.9000000000000005E-2</v>
      </c>
      <c r="D8" s="562" t="s">
        <v>4950</v>
      </c>
      <c r="E8" s="562" t="b">
        <v>1</v>
      </c>
      <c r="F8" s="568">
        <v>0.11990000000000001</v>
      </c>
    </row>
    <row r="9" spans="1:12" x14ac:dyDescent="0.3">
      <c r="D9" s="562" t="s">
        <v>4951</v>
      </c>
      <c r="E9" s="562" t="b">
        <v>0</v>
      </c>
      <c r="F9" s="568">
        <v>0.11990000000000001</v>
      </c>
      <c r="H9" s="879" t="s">
        <v>11014</v>
      </c>
      <c r="I9" s="568">
        <f ca="1">DGET(C_TASA_INTERES_ANUAL,F6,TASA!$H$6:$I$7)</f>
        <v>0.129</v>
      </c>
    </row>
    <row r="10" spans="1:12" x14ac:dyDescent="0.3">
      <c r="D10" s="562" t="s">
        <v>4951</v>
      </c>
      <c r="E10" s="562" t="b">
        <v>1</v>
      </c>
      <c r="F10" s="568">
        <v>0.115</v>
      </c>
      <c r="H10" s="879" t="s">
        <v>11015</v>
      </c>
      <c r="I10" s="568">
        <f>i.Tasa_Preautorizada</f>
        <v>9.9000000000000005E-2</v>
      </c>
    </row>
    <row r="12" spans="1:12" x14ac:dyDescent="0.3">
      <c r="H12" s="879" t="s">
        <v>437</v>
      </c>
      <c r="I12" s="568">
        <f ca="1">IFERROR(Tasa_por_Tabla,Tasa_Preautorizada)</f>
        <v>0.129</v>
      </c>
      <c r="K12" s="878"/>
    </row>
    <row r="13" spans="1:12" s="501" customFormat="1" x14ac:dyDescent="0.3">
      <c r="C13" s="873"/>
      <c r="D13" s="788" t="s">
        <v>11013</v>
      </c>
      <c r="E13"/>
      <c r="F13"/>
    </row>
    <row r="14" spans="1:12" s="501" customFormat="1" x14ac:dyDescent="0.3">
      <c r="C14" s="873"/>
      <c r="D14" s="56">
        <v>9.9000000000000005E-2</v>
      </c>
      <c r="E14"/>
      <c r="F14"/>
    </row>
    <row r="15" spans="1:12" x14ac:dyDescent="0.3">
      <c r="D15" s="56">
        <v>0.108</v>
      </c>
    </row>
    <row r="16" spans="1:12" x14ac:dyDescent="0.3">
      <c r="D16" s="56">
        <v>0.109</v>
      </c>
    </row>
    <row r="17" spans="4:4" x14ac:dyDescent="0.3">
      <c r="D17" s="56">
        <v>0.115</v>
      </c>
    </row>
    <row r="18" spans="4:4" x14ac:dyDescent="0.3">
      <c r="D18" s="56">
        <v>0.11990000000000001</v>
      </c>
    </row>
    <row r="19" spans="4:4" x14ac:dyDescent="0.3">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heetViews>
  <sheetFormatPr defaultColWidth="9.109375" defaultRowHeight="14.4" x14ac:dyDescent="0.3"/>
  <cols>
    <col min="1" max="1" width="23.88671875" customWidth="1"/>
    <col min="2" max="2" width="21.33203125" customWidth="1"/>
    <col min="3" max="3" width="21.33203125" style="589" customWidth="1"/>
    <col min="4" max="4" width="2.6640625" style="501" customWidth="1"/>
    <col min="5" max="5" width="16.5546875" style="501" bestFit="1" customWidth="1"/>
    <col min="6" max="6" width="11" style="583" customWidth="1"/>
    <col min="7" max="7" width="11" style="573" customWidth="1"/>
    <col min="8" max="8" width="2.6640625" style="501" customWidth="1"/>
    <col min="9" max="10" width="18.44140625" customWidth="1"/>
    <col min="11" max="11" width="1.88671875" style="589" customWidth="1"/>
    <col min="12" max="13" width="18.44140625" style="589" customWidth="1"/>
    <col min="14" max="14" width="1.88671875" customWidth="1"/>
    <col min="15" max="16" width="18.44140625" customWidth="1"/>
    <col min="17" max="17" width="1.88671875" style="589" customWidth="1"/>
    <col min="18" max="19" width="18.44140625" style="589" customWidth="1"/>
    <col min="20" max="20" width="1.88671875" style="588" customWidth="1"/>
    <col min="21" max="22" width="18.44140625" style="588" customWidth="1"/>
  </cols>
  <sheetData>
    <row r="1" spans="1:22" ht="20.399999999999999" thickBot="1" x14ac:dyDescent="0.45">
      <c r="A1" s="10" t="s">
        <v>4986</v>
      </c>
      <c r="B1" s="10"/>
      <c r="C1" s="10"/>
      <c r="D1" s="10"/>
      <c r="E1" s="10"/>
      <c r="F1" s="582"/>
      <c r="G1" s="78"/>
      <c r="H1" s="10"/>
      <c r="I1" s="10"/>
      <c r="J1" s="10"/>
      <c r="K1" s="10"/>
      <c r="L1" s="10"/>
      <c r="M1" s="10"/>
      <c r="N1" s="10"/>
      <c r="O1" s="10"/>
      <c r="P1" s="10"/>
      <c r="Q1" s="10"/>
      <c r="R1" s="10"/>
      <c r="S1" s="10"/>
      <c r="T1" s="10"/>
      <c r="U1" s="10"/>
      <c r="V1" s="10"/>
    </row>
    <row r="2" spans="1:22" ht="15" thickTop="1" x14ac:dyDescent="0.3">
      <c r="B2" s="501"/>
    </row>
    <row r="3" spans="1:22" x14ac:dyDescent="0.3">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x14ac:dyDescent="0.3">
      <c r="A4" s="578" t="s">
        <v>4962</v>
      </c>
      <c r="B4" s="79">
        <f ca="1">CapturaFechaCotizacion</f>
        <v>42584</v>
      </c>
      <c r="C4" s="79"/>
      <c r="D4" s="573"/>
      <c r="E4" s="573"/>
      <c r="H4" s="573"/>
    </row>
    <row r="5" spans="1:22" x14ac:dyDescent="0.3">
      <c r="A5" s="589" t="s">
        <v>4941</v>
      </c>
      <c r="B5" s="590" t="str">
        <f>PROD.Código</f>
        <v>AET</v>
      </c>
      <c r="C5" s="590"/>
      <c r="D5" s="590"/>
      <c r="E5" s="600" t="s">
        <v>4972</v>
      </c>
      <c r="F5" s="584" t="str">
        <f ca="1">IF( INDEX(_Dias_Interes_Pago,1) &gt; _Días_por_Periodo,"El monto de su primer pago será mayor que el resto, ya que incluye más días de interés.","")</f>
        <v>El monto de su primer pago será mayor que el resto, ya que incluye más días de interés.</v>
      </c>
      <c r="G5" s="94"/>
    </row>
    <row r="6" spans="1:22" x14ac:dyDescent="0.3">
      <c r="A6" s="501" t="s">
        <v>1609</v>
      </c>
      <c r="B6" s="590" t="str">
        <f>SELECCION_FRECUENCIA</f>
        <v>Mensual</v>
      </c>
      <c r="C6" s="590"/>
      <c r="D6" s="590"/>
    </row>
    <row r="7" spans="1:22" x14ac:dyDescent="0.3">
      <c r="A7" s="588" t="s">
        <v>4974</v>
      </c>
      <c r="B7" s="590">
        <f>FREC.DiasPorPeriodo</f>
        <v>30</v>
      </c>
      <c r="C7" s="590"/>
    </row>
    <row r="8" spans="1:22" x14ac:dyDescent="0.3">
      <c r="I8" s="579" t="s">
        <v>434</v>
      </c>
      <c r="J8" s="580"/>
      <c r="L8" s="579"/>
      <c r="M8" s="580"/>
      <c r="O8" s="579"/>
      <c r="P8" s="580"/>
      <c r="R8" s="579"/>
      <c r="S8" s="580"/>
    </row>
    <row r="9" spans="1:22" x14ac:dyDescent="0.3">
      <c r="A9" s="579" t="s">
        <v>434</v>
      </c>
      <c r="B9" s="580"/>
      <c r="C9" s="580"/>
      <c r="I9" s="158" t="s">
        <v>4964</v>
      </c>
      <c r="J9" s="156">
        <v>25</v>
      </c>
      <c r="L9" s="589" t="s">
        <v>4987</v>
      </c>
      <c r="M9" s="590">
        <v>30</v>
      </c>
      <c r="O9" s="589" t="s">
        <v>4987</v>
      </c>
      <c r="P9" s="590">
        <v>15</v>
      </c>
      <c r="R9" s="589" t="s">
        <v>4987</v>
      </c>
      <c r="S9" s="590">
        <v>10</v>
      </c>
    </row>
    <row r="10" spans="1:22" x14ac:dyDescent="0.3">
      <c r="A10" s="589" t="s">
        <v>4988</v>
      </c>
      <c r="B10" s="573" t="s">
        <v>4969</v>
      </c>
      <c r="C10" s="590"/>
      <c r="I10" s="158" t="s">
        <v>4965</v>
      </c>
      <c r="J10" s="156">
        <v>30</v>
      </c>
      <c r="P10" s="589"/>
    </row>
    <row r="11" spans="1:22" x14ac:dyDescent="0.3">
      <c r="A11" s="589" t="s">
        <v>4989</v>
      </c>
      <c r="B11" s="573" t="s">
        <v>4960</v>
      </c>
      <c r="C11" s="590"/>
      <c r="I11" s="158" t="s">
        <v>4966</v>
      </c>
      <c r="J11" s="156">
        <v>31</v>
      </c>
      <c r="O11" s="589"/>
      <c r="P11" s="589"/>
    </row>
    <row r="12" spans="1:22" x14ac:dyDescent="0.3">
      <c r="I12" s="158" t="s">
        <v>4967</v>
      </c>
      <c r="J12" s="156">
        <v>3</v>
      </c>
      <c r="O12" s="589"/>
      <c r="P12" s="589"/>
    </row>
    <row r="13" spans="1:22" x14ac:dyDescent="0.3">
      <c r="A13" s="614" t="s">
        <v>4998</v>
      </c>
      <c r="I13" s="158" t="s">
        <v>4968</v>
      </c>
      <c r="J13" s="156">
        <v>16</v>
      </c>
      <c r="O13" s="589"/>
      <c r="P13" s="589"/>
    </row>
    <row r="14" spans="1:22" x14ac:dyDescent="0.3">
      <c r="A14" s="592" t="s">
        <v>4941</v>
      </c>
      <c r="B14" s="592" t="s">
        <v>1609</v>
      </c>
      <c r="C14" s="606" t="s">
        <v>4977</v>
      </c>
      <c r="I14" s="100"/>
      <c r="O14" s="589"/>
      <c r="P14" s="589"/>
    </row>
    <row r="15" spans="1:22" x14ac:dyDescent="0.3">
      <c r="A15" s="565" t="s">
        <v>4945</v>
      </c>
      <c r="B15" s="565" t="s">
        <v>1601</v>
      </c>
      <c r="C15" s="565" t="s">
        <v>4992</v>
      </c>
      <c r="I15" s="603" t="s">
        <v>425</v>
      </c>
      <c r="J15" s="265"/>
      <c r="O15" s="589"/>
      <c r="P15" s="589"/>
    </row>
    <row r="16" spans="1:22" x14ac:dyDescent="0.3">
      <c r="A16" s="565" t="s">
        <v>4946</v>
      </c>
      <c r="B16" s="565" t="s">
        <v>1601</v>
      </c>
      <c r="C16" s="565" t="s">
        <v>1601</v>
      </c>
      <c r="I16" s="501" t="s">
        <v>4963</v>
      </c>
      <c r="J16" s="286">
        <f ca="1">DAY(_Fecha_Cotización)</f>
        <v>2</v>
      </c>
    </row>
    <row r="17" spans="1:22" x14ac:dyDescent="0.3">
      <c r="A17" s="610" t="s">
        <v>4990</v>
      </c>
      <c r="B17" s="565" t="s">
        <v>1602</v>
      </c>
      <c r="C17" s="565" t="s">
        <v>1602</v>
      </c>
      <c r="E17" s="611" t="s">
        <v>4991</v>
      </c>
    </row>
    <row r="18" spans="1:22" ht="28.8" x14ac:dyDescent="0.3">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x14ac:dyDescent="0.3">
      <c r="A19" s="610" t="s">
        <v>4990</v>
      </c>
      <c r="B19" s="565" t="s">
        <v>1604</v>
      </c>
      <c r="C19" s="565" t="s">
        <v>1604</v>
      </c>
      <c r="E19" s="98">
        <f t="shared" ref="E19:E82" si="0">_Días_por_Periodo</f>
        <v>30</v>
      </c>
      <c r="F19" s="583">
        <f ca="1">INDEX(_Datos 19:19,,MATCH(_Búsqueda_Fechas_Pago, _Datos _Headers,0))</f>
        <v>42616</v>
      </c>
      <c r="G19" s="573">
        <f ca="1">INDEX(_Datos 19:19,,MATCH(_Búsqueda_Duración, _Datos _Headers,0))</f>
        <v>32</v>
      </c>
      <c r="I19" s="77">
        <f ca="1">IF(DIA_COTIZACIÓN&lt;CONST_CORTE_2,EOMONTH(B4,0)+CONST_CORTE_1,EOMONTH(B4,0)+CONST_CORTE_2)</f>
        <v>42616</v>
      </c>
      <c r="J19" s="591">
        <f ca="1">I19 - _Fecha_Cotización</f>
        <v>32</v>
      </c>
      <c r="L19" s="605">
        <f ca="1">EOMONTH(_Fecha_Cotización + 1,0)</f>
        <v>42613</v>
      </c>
      <c r="M19" s="604">
        <f>_DPP _Mensual_AEN</f>
        <v>30</v>
      </c>
      <c r="O19" s="605">
        <f ca="1">IF(DAY(_Fecha_Cotización + 1) &lt;= _DPP _Quincenal,
DATE(YEAR(_Fecha_Cotización + 1),MONTH( _Fecha_Cotización + 1), _DPP _Quincenal ),
EOMONTH( _Fecha_Cotización + 1,0))</f>
        <v>42597</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42592</v>
      </c>
      <c r="S19" s="604">
        <f>_DPP _Decenal</f>
        <v>10</v>
      </c>
      <c r="U19" s="605">
        <f ca="1">_Fecha_Cotización + _Días_por_Periodo</f>
        <v>42614</v>
      </c>
      <c r="V19" s="604">
        <f ca="1">U19 - _Fecha_Cotización</f>
        <v>30</v>
      </c>
    </row>
    <row r="20" spans="1:22" x14ac:dyDescent="0.3">
      <c r="A20" s="610" t="s">
        <v>4990</v>
      </c>
      <c r="B20" s="565" t="s">
        <v>1605</v>
      </c>
      <c r="C20" s="565" t="s">
        <v>4978</v>
      </c>
      <c r="E20" s="98">
        <f t="shared" si="0"/>
        <v>30</v>
      </c>
      <c r="F20" s="583">
        <f ca="1">INDEX(_Datos 20:20,,MATCH(_Búsqueda_Fechas_Pago, _Datos _Headers,0))</f>
        <v>42646</v>
      </c>
      <c r="G20" s="573">
        <f ca="1">INDEX(_Datos 20:20,,MATCH(_Búsqueda_Duración, _Datos _Headers,0))</f>
        <v>30</v>
      </c>
      <c r="I20" s="76">
        <f t="shared" ref="I20:I83" ca="1" si="1">IF(DAY(I19)&gt;=Const_Dia_Corte_Aniversario,EOMONTH(I19,1)+1,EOMONTH(I19,0)+DAY(I19))</f>
        <v>42646</v>
      </c>
      <c r="J20" s="12">
        <f ca="1">CONST_DIAS_BASE_INTERES + IF(DAY(_Fecha_Pago _Anterior)&gt;=Const_Dia_Corte_Aniversario,MAX(CONST_DIAS_LIMITE-DAY(_Fecha_Pago _Anterior),1))</f>
        <v>30</v>
      </c>
      <c r="L20" s="76">
        <f ca="1">EOMONTH(L19 + 1,0)</f>
        <v>42643</v>
      </c>
      <c r="M20" s="30">
        <f>_DPP _Mensual_AEN</f>
        <v>30</v>
      </c>
      <c r="O20" s="76">
        <f ca="1">IF(DAY(O19 + 1) &lt;= _DPP _Quincenal,
DATE(YEAR(O19 + 1),MONTH( O19 + 1), _DPP _Quincenal ),
EOMONTH( O19 + 1,0))</f>
        <v>42613</v>
      </c>
      <c r="P20" s="30">
        <f>_DPP _Quincenal</f>
        <v>15</v>
      </c>
      <c r="R20" s="76">
        <f ca="1">IF(DAY(R19 + 1) &lt;= _DPP _Decenal,
DATE(YEAR(R19 + 1),MONTH(R19 + 1),_DPP _Decenal),
IF(DAY(R19 + 1) &lt;= (_DPP _Decenal*2),
DATE(YEAR(R19 + 1),MONTH(R19 + 1),(_DPP _Decenal*2)),EOMONTH(R19 + 1,0)))</f>
        <v>42602</v>
      </c>
      <c r="S20" s="30">
        <f>_DPP _Decenal</f>
        <v>10</v>
      </c>
      <c r="U20" s="76">
        <f t="shared" ref="U20:U83" ca="1" si="2">U19 + _Días_por_Periodo</f>
        <v>42644</v>
      </c>
      <c r="V20" s="30">
        <f ca="1">U20 - U19</f>
        <v>30</v>
      </c>
    </row>
    <row r="21" spans="1:22" x14ac:dyDescent="0.3">
      <c r="E21" s="98">
        <f t="shared" si="0"/>
        <v>30</v>
      </c>
      <c r="F21" s="583">
        <f ca="1">INDEX(_Datos 21:21,,MATCH(_Búsqueda_Fechas_Pago, _Datos _Headers,0))</f>
        <v>42677</v>
      </c>
      <c r="G21" s="573">
        <f ca="1">INDEX(_Datos 21:21,,MATCH(_Búsqueda_Duración, _Datos _Headers,0))</f>
        <v>30</v>
      </c>
      <c r="I21" s="76">
        <f t="shared" ca="1" si="1"/>
        <v>42677</v>
      </c>
      <c r="J21" s="12">
        <f ca="1">CONST_DIAS_BASE_INTERES + IF(DAY(_Fecha_Pago _Anterior)&gt;=Const_Dia_Corte_Aniversario,MAX(CONST_DIAS_LIMITE-DAY(_Fecha_Pago _Anterior),1))</f>
        <v>30</v>
      </c>
      <c r="L21" s="76">
        <f t="shared" ref="L21:L84" ca="1" si="3">EOMONTH(L20 + 1,0)</f>
        <v>42674</v>
      </c>
      <c r="M21" s="30">
        <f>_DPP _Mensual_AEN</f>
        <v>30</v>
      </c>
      <c r="N21" s="588"/>
      <c r="O21" s="76">
        <f ca="1">IF(DAY(O20 + 1) &lt;= _DPP _Quincenal,
DATE(YEAR(O20 + 1),MONTH( O20 + 1), _DPP _Quincenal ),
EOMONTH( O20 + 1,0))</f>
        <v>42628</v>
      </c>
      <c r="P21" s="30">
        <f>_DPP _Quincenal</f>
        <v>15</v>
      </c>
      <c r="R21" s="76">
        <f ca="1">IF(DAY(R20 + 1) &lt;= _DPP _Decenal,
DATE(YEAR(R20 + 1),MONTH(R20 + 1),_DPP _Decenal),
IF(DAY(R20 + 1) &lt;= (_DPP _Decenal*2),
DATE(YEAR(R20 + 1),MONTH(R20 + 1),(_DPP _Decenal*2)),EOMONTH(R20 + 1,0)))</f>
        <v>42613</v>
      </c>
      <c r="S21" s="30">
        <f>_DPP _Decenal</f>
        <v>10</v>
      </c>
      <c r="U21" s="76">
        <f t="shared" ca="1" si="2"/>
        <v>42674</v>
      </c>
      <c r="V21" s="30">
        <f t="shared" ref="V21:V84" ca="1" si="4">U21 - U20</f>
        <v>30</v>
      </c>
    </row>
    <row r="22" spans="1:22" x14ac:dyDescent="0.3">
      <c r="A22" s="594" t="s">
        <v>425</v>
      </c>
      <c r="B22" s="265"/>
      <c r="C22" s="265"/>
      <c r="E22" s="98">
        <f t="shared" si="0"/>
        <v>30</v>
      </c>
      <c r="F22" s="583">
        <f ca="1">INDEX(_Datos 22:22,,MATCH(_Búsqueda_Fechas_Pago, _Datos _Headers,0))</f>
        <v>42707</v>
      </c>
      <c r="G22" s="573">
        <f ca="1">INDEX(_Datos 22:22,,MATCH(_Búsqueda_Duración, _Datos _Headers,0))</f>
        <v>30</v>
      </c>
      <c r="I22" s="76">
        <f t="shared" ca="1" si="1"/>
        <v>42707</v>
      </c>
      <c r="J22" s="12">
        <f ca="1">CONST_DIAS_BASE_INTERES + IF(DAY(_Fecha_Pago _Anterior)&gt;=Const_Dia_Corte_Aniversario,MAX(CONST_DIAS_LIMITE-DAY(_Fecha_Pago _Anterior),1))</f>
        <v>30</v>
      </c>
      <c r="L22" s="76">
        <f t="shared" ca="1" si="3"/>
        <v>42704</v>
      </c>
      <c r="M22" s="30">
        <f>_DPP _Mensual_AEN</f>
        <v>30</v>
      </c>
      <c r="N22" s="589"/>
      <c r="O22" s="76">
        <f ca="1">IF(DAY(O21 + 1) &lt;= _DPP _Quincenal,
DATE(YEAR(O21 + 1),MONTH( O21 + 1), _DPP _Quincenal ),
EOMONTH( O21 + 1,0))</f>
        <v>42643</v>
      </c>
      <c r="P22" s="30">
        <f>_DPP _Quincenal</f>
        <v>15</v>
      </c>
      <c r="R22" s="76">
        <f ca="1">IF(DAY(R21 + 1) &lt;= _DPP _Decenal,
DATE(YEAR(R21 + 1),MONTH(R21 + 1),_DPP _Decenal),
IF(DAY(R21 + 1) &lt;= (_DPP _Decenal*2),
DATE(YEAR(R21 + 1),MONTH(R21 + 1),(_DPP _Decenal*2)),EOMONTH(R21 + 1,0)))</f>
        <v>42623</v>
      </c>
      <c r="S22" s="30">
        <f>_DPP _Decenal</f>
        <v>10</v>
      </c>
      <c r="U22" s="76">
        <f t="shared" ca="1" si="2"/>
        <v>42704</v>
      </c>
      <c r="V22" s="30">
        <f t="shared" ca="1" si="4"/>
        <v>30</v>
      </c>
    </row>
    <row r="23" spans="1:22" x14ac:dyDescent="0.3">
      <c r="C23" s="85"/>
      <c r="E23" s="98">
        <f t="shared" si="0"/>
        <v>30</v>
      </c>
      <c r="F23" s="583">
        <f ca="1">INDEX(_Datos 23:23,,MATCH(_Búsqueda_Fechas_Pago, _Datos _Headers,0))</f>
        <v>42738</v>
      </c>
      <c r="G23" s="573">
        <f ca="1">INDEX(_Datos 23:23,,MATCH(_Búsqueda_Duración, _Datos _Headers,0))</f>
        <v>30</v>
      </c>
      <c r="I23" s="76">
        <f t="shared" ca="1" si="1"/>
        <v>42738</v>
      </c>
      <c r="J23" s="12">
        <f ca="1">CONST_DIAS_BASE_INTERES + IF(DAY(_Fecha_Pago _Anterior)&gt;=Const_Dia_Corte_Aniversario,MAX(CONST_DIAS_LIMITE-DAY(_Fecha_Pago _Anterior),1))</f>
        <v>30</v>
      </c>
      <c r="L23" s="76">
        <f t="shared" ca="1" si="3"/>
        <v>42735</v>
      </c>
      <c r="M23" s="30">
        <f>_DPP _Mensual_AEN</f>
        <v>30</v>
      </c>
      <c r="N23" s="589"/>
      <c r="O23" s="76">
        <f ca="1">IF(DAY(O22 + 1) &lt;= _DPP _Quincenal,
DATE(YEAR(O22 + 1),MONTH( O22 + 1), _DPP _Quincenal ),
EOMONTH( O22 + 1,0))</f>
        <v>42658</v>
      </c>
      <c r="P23" s="30">
        <f>_DPP _Quincenal</f>
        <v>15</v>
      </c>
      <c r="R23" s="76">
        <f ca="1">IF(DAY(R22 + 1) &lt;= _DPP _Decenal,
DATE(YEAR(R22 + 1),MONTH(R22 + 1),_DPP _Decenal),
IF(DAY(R22 + 1) &lt;= (_DPP _Decenal*2),
DATE(YEAR(R22 + 1),MONTH(R22 + 1),(_DPP _Decenal*2)),EOMONTH(R22 + 1,0)))</f>
        <v>42633</v>
      </c>
      <c r="S23" s="30">
        <f>_DPP _Decenal</f>
        <v>10</v>
      </c>
      <c r="U23" s="76">
        <f t="shared" ca="1" si="2"/>
        <v>42734</v>
      </c>
      <c r="V23" s="30">
        <f t="shared" ca="1" si="4"/>
        <v>30</v>
      </c>
    </row>
    <row r="24" spans="1:22" x14ac:dyDescent="0.3">
      <c r="A24" s="614" t="s">
        <v>4999</v>
      </c>
      <c r="E24" s="98">
        <f t="shared" si="0"/>
        <v>30</v>
      </c>
      <c r="F24" s="583">
        <f ca="1">INDEX(_Datos 24:24,,MATCH(_Búsqueda_Fechas_Pago, _Datos _Headers,0))</f>
        <v>42769</v>
      </c>
      <c r="G24" s="573">
        <f ca="1">INDEX(_Datos 24:24,,MATCH(_Búsqueda_Duración, _Datos _Headers,0))</f>
        <v>30</v>
      </c>
      <c r="I24" s="76">
        <f t="shared" ca="1" si="1"/>
        <v>42769</v>
      </c>
      <c r="J24" s="12">
        <f ca="1">CONST_DIAS_BASE_INTERES + IF(DAY(_Fecha_Pago _Anterior)&gt;=Const_Dia_Corte_Aniversario,MAX(CONST_DIAS_LIMITE-DAY(_Fecha_Pago _Anterior),1))</f>
        <v>30</v>
      </c>
      <c r="L24" s="76">
        <f t="shared" ca="1" si="3"/>
        <v>42766</v>
      </c>
      <c r="M24" s="30">
        <f>_DPP _Mensual_AEN</f>
        <v>30</v>
      </c>
      <c r="N24" s="589"/>
      <c r="O24" s="76">
        <f ca="1">IF(DAY(O23 + 1) &lt;= _DPP _Quincenal,
DATE(YEAR(O23 + 1),MONTH( O23 + 1), _DPP _Quincenal ),
EOMONTH( O23 + 1,0))</f>
        <v>42674</v>
      </c>
      <c r="P24" s="30">
        <f>_DPP _Quincenal</f>
        <v>15</v>
      </c>
      <c r="R24" s="76">
        <f ca="1">IF(DAY(R23 + 1) &lt;= _DPP _Decenal,
DATE(YEAR(R23 + 1),MONTH(R23 + 1),_DPP _Decenal),
IF(DAY(R23 + 1) &lt;= (_DPP _Decenal*2),
DATE(YEAR(R23 + 1),MONTH(R23 + 1),(_DPP _Decenal*2)),EOMONTH(R23 + 1,0)))</f>
        <v>42643</v>
      </c>
      <c r="S24" s="30">
        <f>_DPP _Decenal</f>
        <v>10</v>
      </c>
      <c r="U24" s="76">
        <f t="shared" ca="1" si="2"/>
        <v>42764</v>
      </c>
      <c r="V24" s="30">
        <f t="shared" ca="1" si="4"/>
        <v>30</v>
      </c>
    </row>
    <row r="25" spans="1:22" x14ac:dyDescent="0.3">
      <c r="A25" s="609" t="s">
        <v>4941</v>
      </c>
      <c r="B25" s="609" t="s">
        <v>1609</v>
      </c>
      <c r="C25" s="608" t="s">
        <v>4977</v>
      </c>
      <c r="E25" s="98">
        <f t="shared" si="0"/>
        <v>30</v>
      </c>
      <c r="F25" s="583">
        <f ca="1">INDEX(_Datos 25:25,,MATCH(_Búsqueda_Fechas_Pago, _Datos _Headers,0))</f>
        <v>42797</v>
      </c>
      <c r="G25" s="573">
        <f ca="1">INDEX(_Datos 25:25,,MATCH(_Búsqueda_Duración, _Datos _Headers,0))</f>
        <v>30</v>
      </c>
      <c r="I25" s="76">
        <f t="shared" ca="1" si="1"/>
        <v>42797</v>
      </c>
      <c r="J25" s="12">
        <f ca="1">CONST_DIAS_BASE_INTERES + IF(DAY(_Fecha_Pago _Anterior)&gt;=Const_Dia_Corte_Aniversario,MAX(CONST_DIAS_LIMITE-DAY(_Fecha_Pago _Anterior),1))</f>
        <v>30</v>
      </c>
      <c r="L25" s="76">
        <f t="shared" ca="1" si="3"/>
        <v>42794</v>
      </c>
      <c r="M25" s="30">
        <f>_DPP _Mensual_AEN</f>
        <v>30</v>
      </c>
      <c r="N25" s="589"/>
      <c r="O25" s="76">
        <f ca="1">IF(DAY(O24 + 1) &lt;= _DPP _Quincenal,
DATE(YEAR(O24 + 1),MONTH( O24 + 1), _DPP _Quincenal ),
EOMONTH( O24 + 1,0))</f>
        <v>42689</v>
      </c>
      <c r="P25" s="30">
        <f>_DPP _Quincenal</f>
        <v>15</v>
      </c>
      <c r="R25" s="76">
        <f ca="1">IF(DAY(R24 + 1) &lt;= _DPP _Decenal,
DATE(YEAR(R24 + 1),MONTH(R24 + 1),_DPP _Decenal),
IF(DAY(R24 + 1) &lt;= (_DPP _Decenal*2),
DATE(YEAR(R24 + 1),MONTH(R24 + 1),(_DPP _Decenal*2)),EOMONTH(R24 + 1,0)))</f>
        <v>42653</v>
      </c>
      <c r="S25" s="30">
        <f>_DPP _Decenal</f>
        <v>10</v>
      </c>
      <c r="U25" s="76">
        <f t="shared" ca="1" si="2"/>
        <v>42794</v>
      </c>
      <c r="V25" s="30">
        <f t="shared" ca="1" si="4"/>
        <v>30</v>
      </c>
    </row>
    <row r="26" spans="1:22" x14ac:dyDescent="0.3">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42828</v>
      </c>
      <c r="G26" s="573">
        <f ca="1">INDEX(_Datos 26:26,,MATCH(_Búsqueda_Duración, _Datos _Headers,0))</f>
        <v>30</v>
      </c>
      <c r="I26" s="76">
        <f t="shared" ca="1" si="1"/>
        <v>42828</v>
      </c>
      <c r="J26" s="12">
        <f ca="1">CONST_DIAS_BASE_INTERES + IF(DAY(_Fecha_Pago _Anterior)&gt;=Const_Dia_Corte_Aniversario,MAX(CONST_DIAS_LIMITE-DAY(_Fecha_Pago _Anterior),1))</f>
        <v>30</v>
      </c>
      <c r="L26" s="76">
        <f t="shared" ca="1" si="3"/>
        <v>42825</v>
      </c>
      <c r="M26" s="30">
        <f>_DPP _Mensual_AEN</f>
        <v>30</v>
      </c>
      <c r="N26" s="589"/>
      <c r="O26" s="76">
        <f ca="1">IF(DAY(O25 + 1) &lt;= _DPP _Quincenal,
DATE(YEAR(O25 + 1),MONTH( O25 + 1), _DPP _Quincenal ),
EOMONTH( O25 + 1,0))</f>
        <v>42704</v>
      </c>
      <c r="P26" s="30">
        <f>_DPP _Quincenal</f>
        <v>15</v>
      </c>
      <c r="R26" s="76">
        <f ca="1">IF(DAY(R25 + 1) &lt;= _DPP _Decenal,
DATE(YEAR(R25 + 1),MONTH(R25 + 1),_DPP _Decenal),
IF(DAY(R25 + 1) &lt;= (_DPP _Decenal*2),
DATE(YEAR(R25 + 1),MONTH(R25 + 1),(_DPP _Decenal*2)),EOMONTH(R25 + 1,0)))</f>
        <v>42663</v>
      </c>
      <c r="S26" s="30">
        <f>_DPP _Decenal</f>
        <v>10</v>
      </c>
      <c r="U26" s="76">
        <f t="shared" ca="1" si="2"/>
        <v>42824</v>
      </c>
      <c r="V26" s="30">
        <f t="shared" ca="1" si="4"/>
        <v>30</v>
      </c>
    </row>
    <row r="27" spans="1:22" x14ac:dyDescent="0.3">
      <c r="E27" s="98">
        <f t="shared" si="0"/>
        <v>30</v>
      </c>
      <c r="F27" s="583">
        <f ca="1">INDEX(_Datos 27:27,,MATCH(_Búsqueda_Fechas_Pago, _Datos _Headers,0))</f>
        <v>42858</v>
      </c>
      <c r="G27" s="573">
        <f ca="1">INDEX(_Datos 27:27,,MATCH(_Búsqueda_Duración, _Datos _Headers,0))</f>
        <v>30</v>
      </c>
      <c r="I27" s="76">
        <f t="shared" ca="1" si="1"/>
        <v>42858</v>
      </c>
      <c r="J27" s="12">
        <f ca="1">CONST_DIAS_BASE_INTERES + IF(DAY(_Fecha_Pago _Anterior)&gt;=Const_Dia_Corte_Aniversario,MAX(CONST_DIAS_LIMITE-DAY(_Fecha_Pago _Anterior),1))</f>
        <v>30</v>
      </c>
      <c r="L27" s="76">
        <f t="shared" ca="1" si="3"/>
        <v>42855</v>
      </c>
      <c r="M27" s="30">
        <f>_DPP _Mensual_AEN</f>
        <v>30</v>
      </c>
      <c r="N27" s="589"/>
      <c r="O27" s="76">
        <f ca="1">IF(DAY(O26 + 1) &lt;= _DPP _Quincenal,
DATE(YEAR(O26 + 1),MONTH( O26 + 1), _DPP _Quincenal ),
EOMONTH( O26 + 1,0))</f>
        <v>42719</v>
      </c>
      <c r="P27" s="30">
        <f>_DPP _Quincenal</f>
        <v>15</v>
      </c>
      <c r="R27" s="76">
        <f ca="1">IF(DAY(R26 + 1) &lt;= _DPP _Decenal,
DATE(YEAR(R26 + 1),MONTH(R26 + 1),_DPP _Decenal),
IF(DAY(R26 + 1) &lt;= (_DPP _Decenal*2),
DATE(YEAR(R26 + 1),MONTH(R26 + 1),(_DPP _Decenal*2)),EOMONTH(R26 + 1,0)))</f>
        <v>42674</v>
      </c>
      <c r="S27" s="30">
        <f>_DPP _Decenal</f>
        <v>10</v>
      </c>
      <c r="U27" s="76">
        <f t="shared" ca="1" si="2"/>
        <v>42854</v>
      </c>
      <c r="V27" s="30">
        <f t="shared" ca="1" si="4"/>
        <v>30</v>
      </c>
    </row>
    <row r="28" spans="1:22" x14ac:dyDescent="0.3">
      <c r="A28" s="501" t="s">
        <v>4970</v>
      </c>
      <c r="B28" s="581" t="str">
        <f>CONCATENATE(_Etiqueta_Fechas_Pago, " ", _Algoritmo)</f>
        <v>Fechas Pago Mensual AET</v>
      </c>
      <c r="E28" s="98">
        <f t="shared" si="0"/>
        <v>30</v>
      </c>
      <c r="F28" s="583">
        <f ca="1">INDEX(_Datos 28:28,,MATCH(_Búsqueda_Fechas_Pago, _Datos _Headers,0))</f>
        <v>42889</v>
      </c>
      <c r="G28" s="573">
        <f ca="1">INDEX(_Datos 28:28,,MATCH(_Búsqueda_Duración, _Datos _Headers,0))</f>
        <v>30</v>
      </c>
      <c r="I28" s="76">
        <f t="shared" ca="1" si="1"/>
        <v>42889</v>
      </c>
      <c r="J28" s="12">
        <f ca="1">CONST_DIAS_BASE_INTERES + IF(DAY(_Fecha_Pago _Anterior)&gt;=Const_Dia_Corte_Aniversario,MAX(CONST_DIAS_LIMITE-DAY(_Fecha_Pago _Anterior),1))</f>
        <v>30</v>
      </c>
      <c r="L28" s="76">
        <f t="shared" ca="1" si="3"/>
        <v>42886</v>
      </c>
      <c r="M28" s="30">
        <f>_DPP _Mensual_AEN</f>
        <v>30</v>
      </c>
      <c r="N28" s="589"/>
      <c r="O28" s="76">
        <f ca="1">IF(DAY(O27 + 1) &lt;= _DPP _Quincenal,
DATE(YEAR(O27 + 1),MONTH( O27 + 1), _DPP _Quincenal ),
EOMONTH( O27 + 1,0))</f>
        <v>42735</v>
      </c>
      <c r="P28" s="30">
        <f>_DPP _Quincenal</f>
        <v>15</v>
      </c>
      <c r="R28" s="76">
        <f ca="1">IF(DAY(R27 + 1) &lt;= _DPP _Decenal,
DATE(YEAR(R27 + 1),MONTH(R27 + 1),_DPP _Decenal),
IF(DAY(R27 + 1) &lt;= (_DPP _Decenal*2),
DATE(YEAR(R27 + 1),MONTH(R27 + 1),(_DPP _Decenal*2)),EOMONTH(R27 + 1,0)))</f>
        <v>42684</v>
      </c>
      <c r="S28" s="30">
        <f>_DPP _Decenal</f>
        <v>10</v>
      </c>
      <c r="U28" s="76">
        <f t="shared" ca="1" si="2"/>
        <v>42884</v>
      </c>
      <c r="V28" s="30">
        <f t="shared" ca="1" si="4"/>
        <v>30</v>
      </c>
    </row>
    <row r="29" spans="1:22" x14ac:dyDescent="0.3">
      <c r="A29" s="501" t="s">
        <v>4971</v>
      </c>
      <c r="B29" s="581" t="str">
        <f>CONCATENATE(_Etiqueta_Duración_Intereses, " ", _Algoritmo)</f>
        <v>Duración Intereses Mensual AET</v>
      </c>
      <c r="E29" s="98">
        <f t="shared" si="0"/>
        <v>30</v>
      </c>
      <c r="F29" s="583">
        <f ca="1">INDEX(_Datos 29:29,,MATCH(_Búsqueda_Fechas_Pago, _Datos _Headers,0))</f>
        <v>42919</v>
      </c>
      <c r="G29" s="573">
        <f ca="1">INDEX(_Datos 29:29,,MATCH(_Búsqueda_Duración, _Datos _Headers,0))</f>
        <v>30</v>
      </c>
      <c r="I29" s="76">
        <f t="shared" ca="1" si="1"/>
        <v>42919</v>
      </c>
      <c r="J29" s="12">
        <f ca="1">CONST_DIAS_BASE_INTERES + IF(DAY(_Fecha_Pago _Anterior)&gt;=Const_Dia_Corte_Aniversario,MAX(CONST_DIAS_LIMITE-DAY(_Fecha_Pago _Anterior),1))</f>
        <v>30</v>
      </c>
      <c r="L29" s="76">
        <f t="shared" ca="1" si="3"/>
        <v>42916</v>
      </c>
      <c r="M29" s="30">
        <f>_DPP _Mensual_AEN</f>
        <v>30</v>
      </c>
      <c r="N29" s="589"/>
      <c r="O29" s="76">
        <f ca="1">IF(DAY(O28 + 1) &lt;= _DPP _Quincenal,
DATE(YEAR(O28 + 1),MONTH( O28 + 1), _DPP _Quincenal ),
EOMONTH( O28 + 1,0))</f>
        <v>42750</v>
      </c>
      <c r="P29" s="30">
        <f>_DPP _Quincenal</f>
        <v>15</v>
      </c>
      <c r="R29" s="76">
        <f ca="1">IF(DAY(R28 + 1) &lt;= _DPP _Decenal,
DATE(YEAR(R28 + 1),MONTH(R28 + 1),_DPP _Decenal),
IF(DAY(R28 + 1) &lt;= (_DPP _Decenal*2),
DATE(YEAR(R28 + 1),MONTH(R28 + 1),(_DPP _Decenal*2)),EOMONTH(R28 + 1,0)))</f>
        <v>42694</v>
      </c>
      <c r="S29" s="30">
        <f>_DPP _Decenal</f>
        <v>10</v>
      </c>
      <c r="U29" s="76">
        <f t="shared" ca="1" si="2"/>
        <v>42914</v>
      </c>
      <c r="V29" s="30">
        <f t="shared" ca="1" si="4"/>
        <v>30</v>
      </c>
    </row>
    <row r="30" spans="1:22" x14ac:dyDescent="0.3">
      <c r="A30" s="12"/>
      <c r="E30" s="98">
        <f t="shared" si="0"/>
        <v>30</v>
      </c>
      <c r="F30" s="583">
        <f ca="1">INDEX(_Datos 30:30,,MATCH(_Búsqueda_Fechas_Pago, _Datos _Headers,0))</f>
        <v>42950</v>
      </c>
      <c r="G30" s="573">
        <f ca="1">INDEX(_Datos 30:30,,MATCH(_Búsqueda_Duración, _Datos _Headers,0))</f>
        <v>30</v>
      </c>
      <c r="I30" s="76">
        <f t="shared" ca="1" si="1"/>
        <v>42950</v>
      </c>
      <c r="J30" s="12">
        <f ca="1">CONST_DIAS_BASE_INTERES + IF(DAY(_Fecha_Pago _Anterior)&gt;=Const_Dia_Corte_Aniversario,MAX(CONST_DIAS_LIMITE-DAY(_Fecha_Pago _Anterior),1))</f>
        <v>30</v>
      </c>
      <c r="L30" s="76">
        <f t="shared" ca="1" si="3"/>
        <v>42947</v>
      </c>
      <c r="M30" s="30">
        <f>_DPP _Mensual_AEN</f>
        <v>30</v>
      </c>
      <c r="N30" s="589"/>
      <c r="O30" s="76">
        <f ca="1">IF(DAY(O29 + 1) &lt;= _DPP _Quincenal,
DATE(YEAR(O29 + 1),MONTH( O29 + 1), _DPP _Quincenal ),
EOMONTH( O29 + 1,0))</f>
        <v>42766</v>
      </c>
      <c r="P30" s="30">
        <f>_DPP _Quincenal</f>
        <v>15</v>
      </c>
      <c r="R30" s="76">
        <f ca="1">IF(DAY(R29 + 1) &lt;= _DPP _Decenal,
DATE(YEAR(R29 + 1),MONTH(R29 + 1),_DPP _Decenal),
IF(DAY(R29 + 1) &lt;= (_DPP _Decenal*2),
DATE(YEAR(R29 + 1),MONTH(R29 + 1),(_DPP _Decenal*2)),EOMONTH(R29 + 1,0)))</f>
        <v>42704</v>
      </c>
      <c r="S30" s="30">
        <f>_DPP _Decenal</f>
        <v>10</v>
      </c>
      <c r="U30" s="76">
        <f t="shared" ca="1" si="2"/>
        <v>42944</v>
      </c>
      <c r="V30" s="30">
        <f t="shared" ca="1" si="4"/>
        <v>30</v>
      </c>
    </row>
    <row r="31" spans="1:22" x14ac:dyDescent="0.3">
      <c r="A31" s="12"/>
      <c r="E31" s="98">
        <f t="shared" si="0"/>
        <v>30</v>
      </c>
      <c r="F31" s="583">
        <f ca="1">INDEX(_Datos 31:31,,MATCH(_Búsqueda_Fechas_Pago, _Datos _Headers,0))</f>
        <v>42981</v>
      </c>
      <c r="G31" s="573">
        <f ca="1">INDEX(_Datos 31:31,,MATCH(_Búsqueda_Duración, _Datos _Headers,0))</f>
        <v>30</v>
      </c>
      <c r="I31" s="76">
        <f t="shared" ca="1" si="1"/>
        <v>42981</v>
      </c>
      <c r="J31" s="12">
        <f ca="1">CONST_DIAS_BASE_INTERES + IF(DAY(_Fecha_Pago _Anterior)&gt;=Const_Dia_Corte_Aniversario,MAX(CONST_DIAS_LIMITE-DAY(_Fecha_Pago _Anterior),1))</f>
        <v>30</v>
      </c>
      <c r="L31" s="76">
        <f t="shared" ca="1" si="3"/>
        <v>42978</v>
      </c>
      <c r="M31" s="30">
        <f>_DPP _Mensual_AEN</f>
        <v>30</v>
      </c>
      <c r="N31" s="589"/>
      <c r="O31" s="76">
        <f ca="1">IF(DAY(O30 + 1) &lt;= _DPP _Quincenal,
DATE(YEAR(O30 + 1),MONTH( O30 + 1), _DPP _Quincenal ),
EOMONTH( O30 + 1,0))</f>
        <v>42781</v>
      </c>
      <c r="P31" s="30">
        <f>_DPP _Quincenal</f>
        <v>15</v>
      </c>
      <c r="R31" s="76">
        <f ca="1">IF(DAY(R30 + 1) &lt;= _DPP _Decenal,
DATE(YEAR(R30 + 1),MONTH(R30 + 1),_DPP _Decenal),
IF(DAY(R30 + 1) &lt;= (_DPP _Decenal*2),
DATE(YEAR(R30 + 1),MONTH(R30 + 1),(_DPP _Decenal*2)),EOMONTH(R30 + 1,0)))</f>
        <v>42714</v>
      </c>
      <c r="S31" s="30">
        <f>_DPP _Decenal</f>
        <v>10</v>
      </c>
      <c r="U31" s="76">
        <f t="shared" ca="1" si="2"/>
        <v>42974</v>
      </c>
      <c r="V31" s="30">
        <f t="shared" ca="1" si="4"/>
        <v>30</v>
      </c>
    </row>
    <row r="32" spans="1:22" x14ac:dyDescent="0.3">
      <c r="A32" s="12"/>
      <c r="E32" s="98">
        <f t="shared" si="0"/>
        <v>30</v>
      </c>
      <c r="F32" s="583">
        <f ca="1">INDEX(_Datos 32:32,,MATCH(_Búsqueda_Fechas_Pago, _Datos _Headers,0))</f>
        <v>43011</v>
      </c>
      <c r="G32" s="573">
        <f ca="1">INDEX(_Datos 32:32,,MATCH(_Búsqueda_Duración, _Datos _Headers,0))</f>
        <v>30</v>
      </c>
      <c r="I32" s="76">
        <f t="shared" ca="1" si="1"/>
        <v>43011</v>
      </c>
      <c r="J32" s="12">
        <f ca="1">CONST_DIAS_BASE_INTERES + IF(DAY(_Fecha_Pago _Anterior)&gt;=Const_Dia_Corte_Aniversario,MAX(CONST_DIAS_LIMITE-DAY(_Fecha_Pago _Anterior),1))</f>
        <v>30</v>
      </c>
      <c r="L32" s="76">
        <f t="shared" ca="1" si="3"/>
        <v>43008</v>
      </c>
      <c r="M32" s="30">
        <f>_DPP _Mensual_AEN</f>
        <v>30</v>
      </c>
      <c r="N32" s="589"/>
      <c r="O32" s="76">
        <f ca="1">IF(DAY(O31 + 1) &lt;= _DPP _Quincenal,
DATE(YEAR(O31 + 1),MONTH( O31 + 1), _DPP _Quincenal ),
EOMONTH( O31 + 1,0))</f>
        <v>42794</v>
      </c>
      <c r="P32" s="30">
        <f>_DPP _Quincenal</f>
        <v>15</v>
      </c>
      <c r="R32" s="76">
        <f ca="1">IF(DAY(R31 + 1) &lt;= _DPP _Decenal,
DATE(YEAR(R31 + 1),MONTH(R31 + 1),_DPP _Decenal),
IF(DAY(R31 + 1) &lt;= (_DPP _Decenal*2),
DATE(YEAR(R31 + 1),MONTH(R31 + 1),(_DPP _Decenal*2)),EOMONTH(R31 + 1,0)))</f>
        <v>42724</v>
      </c>
      <c r="S32" s="30">
        <f>_DPP _Decenal</f>
        <v>10</v>
      </c>
      <c r="U32" s="76">
        <f t="shared" ca="1" si="2"/>
        <v>43004</v>
      </c>
      <c r="V32" s="30">
        <f t="shared" ca="1" si="4"/>
        <v>30</v>
      </c>
    </row>
    <row r="33" spans="1:22" x14ac:dyDescent="0.3">
      <c r="A33" s="12"/>
      <c r="E33" s="98">
        <f t="shared" si="0"/>
        <v>30</v>
      </c>
      <c r="F33" s="583">
        <f ca="1">INDEX(_Datos 33:33,,MATCH(_Búsqueda_Fechas_Pago, _Datos _Headers,0))</f>
        <v>43042</v>
      </c>
      <c r="G33" s="573">
        <f ca="1">INDEX(_Datos 33:33,,MATCH(_Búsqueda_Duración, _Datos _Headers,0))</f>
        <v>30</v>
      </c>
      <c r="I33" s="76">
        <f t="shared" ca="1" si="1"/>
        <v>43042</v>
      </c>
      <c r="J33" s="12">
        <f ca="1">CONST_DIAS_BASE_INTERES + IF(DAY(_Fecha_Pago _Anterior)&gt;=Const_Dia_Corte_Aniversario,MAX(CONST_DIAS_LIMITE-DAY(_Fecha_Pago _Anterior),1))</f>
        <v>30</v>
      </c>
      <c r="L33" s="76">
        <f t="shared" ca="1" si="3"/>
        <v>43039</v>
      </c>
      <c r="M33" s="30">
        <f>_DPP _Mensual_AEN</f>
        <v>30</v>
      </c>
      <c r="N33" s="589"/>
      <c r="O33" s="76">
        <f ca="1">IF(DAY(O32 + 1) &lt;= _DPP _Quincenal,
DATE(YEAR(O32 + 1),MONTH( O32 + 1), _DPP _Quincenal ),
EOMONTH( O32 + 1,0))</f>
        <v>42809</v>
      </c>
      <c r="P33" s="30">
        <f>_DPP _Quincenal</f>
        <v>15</v>
      </c>
      <c r="R33" s="76">
        <f ca="1">IF(DAY(R32 + 1) &lt;= _DPP _Decenal,
DATE(YEAR(R32 + 1),MONTH(R32 + 1),_DPP _Decenal),
IF(DAY(R32 + 1) &lt;= (_DPP _Decenal*2),
DATE(YEAR(R32 + 1),MONTH(R32 + 1),(_DPP _Decenal*2)),EOMONTH(R32 + 1,0)))</f>
        <v>42735</v>
      </c>
      <c r="S33" s="30">
        <f>_DPP _Decenal</f>
        <v>10</v>
      </c>
      <c r="U33" s="76">
        <f t="shared" ca="1" si="2"/>
        <v>43034</v>
      </c>
      <c r="V33" s="30">
        <f t="shared" ca="1" si="4"/>
        <v>30</v>
      </c>
    </row>
    <row r="34" spans="1:22" x14ac:dyDescent="0.3">
      <c r="A34" s="12"/>
      <c r="E34" s="98">
        <f t="shared" si="0"/>
        <v>30</v>
      </c>
      <c r="F34" s="583">
        <f ca="1">INDEX(_Datos 34:34,,MATCH(_Búsqueda_Fechas_Pago, _Datos _Headers,0))</f>
        <v>43072</v>
      </c>
      <c r="G34" s="573">
        <f ca="1">INDEX(_Datos 34:34,,MATCH(_Búsqueda_Duración, _Datos _Headers,0))</f>
        <v>30</v>
      </c>
      <c r="I34" s="76">
        <f t="shared" ca="1" si="1"/>
        <v>43072</v>
      </c>
      <c r="J34" s="12">
        <f ca="1">CONST_DIAS_BASE_INTERES + IF(DAY(_Fecha_Pago _Anterior)&gt;=Const_Dia_Corte_Aniversario,MAX(CONST_DIAS_LIMITE-DAY(_Fecha_Pago _Anterior),1))</f>
        <v>30</v>
      </c>
      <c r="L34" s="76">
        <f t="shared" ca="1" si="3"/>
        <v>43069</v>
      </c>
      <c r="M34" s="30">
        <f>_DPP _Mensual_AEN</f>
        <v>30</v>
      </c>
      <c r="N34" s="589"/>
      <c r="O34" s="76">
        <f ca="1">IF(DAY(O33 + 1) &lt;= _DPP _Quincenal,
DATE(YEAR(O33 + 1),MONTH( O33 + 1), _DPP _Quincenal ),
EOMONTH( O33 + 1,0))</f>
        <v>42825</v>
      </c>
      <c r="P34" s="30">
        <f>_DPP _Quincenal</f>
        <v>15</v>
      </c>
      <c r="R34" s="76">
        <f ca="1">IF(DAY(R33 + 1) &lt;= _DPP _Decenal,
DATE(YEAR(R33 + 1),MONTH(R33 + 1),_DPP _Decenal),
IF(DAY(R33 + 1) &lt;= (_DPP _Decenal*2),
DATE(YEAR(R33 + 1),MONTH(R33 + 1),(_DPP _Decenal*2)),EOMONTH(R33 + 1,0)))</f>
        <v>42745</v>
      </c>
      <c r="S34" s="30">
        <f>_DPP _Decenal</f>
        <v>10</v>
      </c>
      <c r="U34" s="76">
        <f t="shared" ca="1" si="2"/>
        <v>43064</v>
      </c>
      <c r="V34" s="30">
        <f t="shared" ca="1" si="4"/>
        <v>30</v>
      </c>
    </row>
    <row r="35" spans="1:22" x14ac:dyDescent="0.3">
      <c r="A35" s="12"/>
      <c r="E35" s="98">
        <f t="shared" si="0"/>
        <v>30</v>
      </c>
      <c r="F35" s="583">
        <f ca="1">INDEX(_Datos 35:35,,MATCH(_Búsqueda_Fechas_Pago, _Datos _Headers,0))</f>
        <v>43103</v>
      </c>
      <c r="G35" s="573">
        <f ca="1">INDEX(_Datos 35:35,,MATCH(_Búsqueda_Duración, _Datos _Headers,0))</f>
        <v>30</v>
      </c>
      <c r="I35" s="76">
        <f t="shared" ca="1" si="1"/>
        <v>43103</v>
      </c>
      <c r="J35" s="12">
        <f ca="1">CONST_DIAS_BASE_INTERES + IF(DAY(_Fecha_Pago _Anterior)&gt;=Const_Dia_Corte_Aniversario,MAX(CONST_DIAS_LIMITE-DAY(_Fecha_Pago _Anterior),1))</f>
        <v>30</v>
      </c>
      <c r="L35" s="76">
        <f t="shared" ca="1" si="3"/>
        <v>43100</v>
      </c>
      <c r="M35" s="30">
        <f>_DPP _Mensual_AEN</f>
        <v>30</v>
      </c>
      <c r="N35" s="589"/>
      <c r="O35" s="76">
        <f ca="1">IF(DAY(O34 + 1) &lt;= _DPP _Quincenal,
DATE(YEAR(O34 + 1),MONTH( O34 + 1), _DPP _Quincenal ),
EOMONTH( O34 + 1,0))</f>
        <v>42840</v>
      </c>
      <c r="P35" s="30">
        <f>_DPP _Quincenal</f>
        <v>15</v>
      </c>
      <c r="R35" s="76">
        <f ca="1">IF(DAY(R34 + 1) &lt;= _DPP _Decenal,
DATE(YEAR(R34 + 1),MONTH(R34 + 1),_DPP _Decenal),
IF(DAY(R34 + 1) &lt;= (_DPP _Decenal*2),
DATE(YEAR(R34 + 1),MONTH(R34 + 1),(_DPP _Decenal*2)),EOMONTH(R34 + 1,0)))</f>
        <v>42755</v>
      </c>
      <c r="S35" s="30">
        <f>_DPP _Decenal</f>
        <v>10</v>
      </c>
      <c r="U35" s="76">
        <f t="shared" ca="1" si="2"/>
        <v>43094</v>
      </c>
      <c r="V35" s="30">
        <f t="shared" ca="1" si="4"/>
        <v>30</v>
      </c>
    </row>
    <row r="36" spans="1:22" x14ac:dyDescent="0.3">
      <c r="A36" s="12"/>
      <c r="E36" s="98">
        <f t="shared" si="0"/>
        <v>30</v>
      </c>
      <c r="F36" s="583">
        <f ca="1">INDEX(_Datos 36:36,,MATCH(_Búsqueda_Fechas_Pago, _Datos _Headers,0))</f>
        <v>43134</v>
      </c>
      <c r="G36" s="573">
        <f ca="1">INDEX(_Datos 36:36,,MATCH(_Búsqueda_Duración, _Datos _Headers,0))</f>
        <v>30</v>
      </c>
      <c r="I36" s="76">
        <f t="shared" ca="1" si="1"/>
        <v>43134</v>
      </c>
      <c r="J36" s="12">
        <f ca="1">CONST_DIAS_BASE_INTERES + IF(DAY(_Fecha_Pago _Anterior)&gt;=Const_Dia_Corte_Aniversario,MAX(CONST_DIAS_LIMITE-DAY(_Fecha_Pago _Anterior),1))</f>
        <v>30</v>
      </c>
      <c r="L36" s="76">
        <f t="shared" ca="1" si="3"/>
        <v>43131</v>
      </c>
      <c r="M36" s="30">
        <f>_DPP _Mensual_AEN</f>
        <v>30</v>
      </c>
      <c r="N36" s="589"/>
      <c r="O36" s="76">
        <f ca="1">IF(DAY(O35 + 1) &lt;= _DPP _Quincenal,
DATE(YEAR(O35 + 1),MONTH( O35 + 1), _DPP _Quincenal ),
EOMONTH( O35 + 1,0))</f>
        <v>42855</v>
      </c>
      <c r="P36" s="30">
        <f>_DPP _Quincenal</f>
        <v>15</v>
      </c>
      <c r="R36" s="76">
        <f ca="1">IF(DAY(R35 + 1) &lt;= _DPP _Decenal,
DATE(YEAR(R35 + 1),MONTH(R35 + 1),_DPP _Decenal),
IF(DAY(R35 + 1) &lt;= (_DPP _Decenal*2),
DATE(YEAR(R35 + 1),MONTH(R35 + 1),(_DPP _Decenal*2)),EOMONTH(R35 + 1,0)))</f>
        <v>42766</v>
      </c>
      <c r="S36" s="30">
        <f>_DPP _Decenal</f>
        <v>10</v>
      </c>
      <c r="U36" s="76">
        <f t="shared" ca="1" si="2"/>
        <v>43124</v>
      </c>
      <c r="V36" s="30">
        <f t="shared" ca="1" si="4"/>
        <v>30</v>
      </c>
    </row>
    <row r="37" spans="1:22" x14ac:dyDescent="0.3">
      <c r="A37" s="12"/>
      <c r="E37" s="98">
        <f t="shared" si="0"/>
        <v>30</v>
      </c>
      <c r="F37" s="583">
        <f ca="1">INDEX(_Datos 37:37,,MATCH(_Búsqueda_Fechas_Pago, _Datos _Headers,0))</f>
        <v>43162</v>
      </c>
      <c r="G37" s="573">
        <f ca="1">INDEX(_Datos 37:37,,MATCH(_Búsqueda_Duración, _Datos _Headers,0))</f>
        <v>30</v>
      </c>
      <c r="I37" s="76">
        <f t="shared" ca="1" si="1"/>
        <v>43162</v>
      </c>
      <c r="J37" s="12">
        <f ca="1">CONST_DIAS_BASE_INTERES + IF(DAY(_Fecha_Pago _Anterior)&gt;=Const_Dia_Corte_Aniversario,MAX(CONST_DIAS_LIMITE-DAY(_Fecha_Pago _Anterior),1))</f>
        <v>30</v>
      </c>
      <c r="L37" s="76">
        <f t="shared" ca="1" si="3"/>
        <v>43159</v>
      </c>
      <c r="M37" s="30">
        <f>_DPP _Mensual_AEN</f>
        <v>30</v>
      </c>
      <c r="N37" s="589"/>
      <c r="O37" s="76">
        <f ca="1">IF(DAY(O36 + 1) &lt;= _DPP _Quincenal,
DATE(YEAR(O36 + 1),MONTH( O36 + 1), _DPP _Quincenal ),
EOMONTH( O36 + 1,0))</f>
        <v>42870</v>
      </c>
      <c r="P37" s="30">
        <f>_DPP _Quincenal</f>
        <v>15</v>
      </c>
      <c r="R37" s="76">
        <f ca="1">IF(DAY(R36 + 1) &lt;= _DPP _Decenal,
DATE(YEAR(R36 + 1),MONTH(R36 + 1),_DPP _Decenal),
IF(DAY(R36 + 1) &lt;= (_DPP _Decenal*2),
DATE(YEAR(R36 + 1),MONTH(R36 + 1),(_DPP _Decenal*2)),EOMONTH(R36 + 1,0)))</f>
        <v>42776</v>
      </c>
      <c r="S37" s="30">
        <f>_DPP _Decenal</f>
        <v>10</v>
      </c>
      <c r="U37" s="76">
        <f t="shared" ca="1" si="2"/>
        <v>43154</v>
      </c>
      <c r="V37" s="30">
        <f t="shared" ca="1" si="4"/>
        <v>30</v>
      </c>
    </row>
    <row r="38" spans="1:22" x14ac:dyDescent="0.3">
      <c r="A38" s="12"/>
      <c r="E38" s="98">
        <f t="shared" si="0"/>
        <v>30</v>
      </c>
      <c r="F38" s="583">
        <f ca="1">INDEX(_Datos 38:38,,MATCH(_Búsqueda_Fechas_Pago, _Datos _Headers,0))</f>
        <v>43193</v>
      </c>
      <c r="G38" s="573">
        <f ca="1">INDEX(_Datos 38:38,,MATCH(_Búsqueda_Duración, _Datos _Headers,0))</f>
        <v>30</v>
      </c>
      <c r="I38" s="76">
        <f t="shared" ca="1" si="1"/>
        <v>43193</v>
      </c>
      <c r="J38" s="12">
        <f ca="1">CONST_DIAS_BASE_INTERES + IF(DAY(_Fecha_Pago _Anterior)&gt;=Const_Dia_Corte_Aniversario,MAX(CONST_DIAS_LIMITE-DAY(_Fecha_Pago _Anterior),1))</f>
        <v>30</v>
      </c>
      <c r="L38" s="76">
        <f t="shared" ca="1" si="3"/>
        <v>43190</v>
      </c>
      <c r="M38" s="30">
        <f>_DPP _Mensual_AEN</f>
        <v>30</v>
      </c>
      <c r="N38" s="589"/>
      <c r="O38" s="76">
        <f ca="1">IF(DAY(O37 + 1) &lt;= _DPP _Quincenal,
DATE(YEAR(O37 + 1),MONTH( O37 + 1), _DPP _Quincenal ),
EOMONTH( O37 + 1,0))</f>
        <v>42886</v>
      </c>
      <c r="P38" s="30">
        <f>_DPP _Quincenal</f>
        <v>15</v>
      </c>
      <c r="R38" s="76">
        <f ca="1">IF(DAY(R37 + 1) &lt;= _DPP _Decenal,
DATE(YEAR(R37 + 1),MONTH(R37 + 1),_DPP _Decenal),
IF(DAY(R37 + 1) &lt;= (_DPP _Decenal*2),
DATE(YEAR(R37 + 1),MONTH(R37 + 1),(_DPP _Decenal*2)),EOMONTH(R37 + 1,0)))</f>
        <v>42786</v>
      </c>
      <c r="S38" s="30">
        <f>_DPP _Decenal</f>
        <v>10</v>
      </c>
      <c r="U38" s="76">
        <f t="shared" ca="1" si="2"/>
        <v>43184</v>
      </c>
      <c r="V38" s="30">
        <f t="shared" ca="1" si="4"/>
        <v>30</v>
      </c>
    </row>
    <row r="39" spans="1:22" x14ac:dyDescent="0.3">
      <c r="A39" s="12"/>
      <c r="E39" s="98">
        <f t="shared" si="0"/>
        <v>30</v>
      </c>
      <c r="F39" s="583">
        <f ca="1">INDEX(_Datos 39:39,,MATCH(_Búsqueda_Fechas_Pago, _Datos _Headers,0))</f>
        <v>43223</v>
      </c>
      <c r="G39" s="573">
        <f ca="1">INDEX(_Datos 39:39,,MATCH(_Búsqueda_Duración, _Datos _Headers,0))</f>
        <v>30</v>
      </c>
      <c r="I39" s="76">
        <f t="shared" ca="1" si="1"/>
        <v>43223</v>
      </c>
      <c r="J39" s="12">
        <f ca="1">CONST_DIAS_BASE_INTERES + IF(DAY(_Fecha_Pago _Anterior)&gt;=Const_Dia_Corte_Aniversario,MAX(CONST_DIAS_LIMITE-DAY(_Fecha_Pago _Anterior),1))</f>
        <v>30</v>
      </c>
      <c r="L39" s="76">
        <f t="shared" ca="1" si="3"/>
        <v>43220</v>
      </c>
      <c r="M39" s="30">
        <f>_DPP _Mensual_AEN</f>
        <v>30</v>
      </c>
      <c r="N39" s="589"/>
      <c r="O39" s="76">
        <f ca="1">IF(DAY(O38 + 1) &lt;= _DPP _Quincenal,
DATE(YEAR(O38 + 1),MONTH( O38 + 1), _DPP _Quincenal ),
EOMONTH( O38 + 1,0))</f>
        <v>42901</v>
      </c>
      <c r="P39" s="30">
        <f>_DPP _Quincenal</f>
        <v>15</v>
      </c>
      <c r="R39" s="76">
        <f ca="1">IF(DAY(R38 + 1) &lt;= _DPP _Decenal,
DATE(YEAR(R38 + 1),MONTH(R38 + 1),_DPP _Decenal),
IF(DAY(R38 + 1) &lt;= (_DPP _Decenal*2),
DATE(YEAR(R38 + 1),MONTH(R38 + 1),(_DPP _Decenal*2)),EOMONTH(R38 + 1,0)))</f>
        <v>42794</v>
      </c>
      <c r="S39" s="30">
        <f>_DPP _Decenal</f>
        <v>10</v>
      </c>
      <c r="U39" s="76">
        <f t="shared" ca="1" si="2"/>
        <v>43214</v>
      </c>
      <c r="V39" s="30">
        <f t="shared" ca="1" si="4"/>
        <v>30</v>
      </c>
    </row>
    <row r="40" spans="1:22" x14ac:dyDescent="0.3">
      <c r="A40" s="12"/>
      <c r="E40" s="98">
        <f t="shared" si="0"/>
        <v>30</v>
      </c>
      <c r="F40" s="583">
        <f ca="1">INDEX(_Datos 40:40,,MATCH(_Búsqueda_Fechas_Pago, _Datos _Headers,0))</f>
        <v>43254</v>
      </c>
      <c r="G40" s="573">
        <f ca="1">INDEX(_Datos 40:40,,MATCH(_Búsqueda_Duración, _Datos _Headers,0))</f>
        <v>30</v>
      </c>
      <c r="I40" s="76">
        <f t="shared" ca="1" si="1"/>
        <v>43254</v>
      </c>
      <c r="J40" s="12">
        <f ca="1">CONST_DIAS_BASE_INTERES + IF(DAY(_Fecha_Pago _Anterior)&gt;=Const_Dia_Corte_Aniversario,MAX(CONST_DIAS_LIMITE-DAY(_Fecha_Pago _Anterior),1))</f>
        <v>30</v>
      </c>
      <c r="L40" s="76">
        <f t="shared" ca="1" si="3"/>
        <v>43251</v>
      </c>
      <c r="M40" s="30">
        <f>_DPP _Mensual_AEN</f>
        <v>30</v>
      </c>
      <c r="N40" s="589"/>
      <c r="O40" s="76">
        <f ca="1">IF(DAY(O39 + 1) &lt;= _DPP _Quincenal,
DATE(YEAR(O39 + 1),MONTH( O39 + 1), _DPP _Quincenal ),
EOMONTH( O39 + 1,0))</f>
        <v>42916</v>
      </c>
      <c r="P40" s="30">
        <f>_DPP _Quincenal</f>
        <v>15</v>
      </c>
      <c r="R40" s="76">
        <f ca="1">IF(DAY(R39 + 1) &lt;= _DPP _Decenal,
DATE(YEAR(R39 + 1),MONTH(R39 + 1),_DPP _Decenal),
IF(DAY(R39 + 1) &lt;= (_DPP _Decenal*2),
DATE(YEAR(R39 + 1),MONTH(R39 + 1),(_DPP _Decenal*2)),EOMONTH(R39 + 1,0)))</f>
        <v>42804</v>
      </c>
      <c r="S40" s="30">
        <f>_DPP _Decenal</f>
        <v>10</v>
      </c>
      <c r="U40" s="76">
        <f t="shared" ca="1" si="2"/>
        <v>43244</v>
      </c>
      <c r="V40" s="30">
        <f t="shared" ca="1" si="4"/>
        <v>30</v>
      </c>
    </row>
    <row r="41" spans="1:22" x14ac:dyDescent="0.3">
      <c r="A41" s="12"/>
      <c r="E41" s="98">
        <f t="shared" si="0"/>
        <v>30</v>
      </c>
      <c r="F41" s="583">
        <f ca="1">INDEX(_Datos 41:41,,MATCH(_Búsqueda_Fechas_Pago, _Datos _Headers,0))</f>
        <v>43284</v>
      </c>
      <c r="G41" s="573">
        <f ca="1">INDEX(_Datos 41:41,,MATCH(_Búsqueda_Duración, _Datos _Headers,0))</f>
        <v>30</v>
      </c>
      <c r="I41" s="76">
        <f t="shared" ca="1" si="1"/>
        <v>43284</v>
      </c>
      <c r="J41" s="12">
        <f ca="1">CONST_DIAS_BASE_INTERES + IF(DAY(_Fecha_Pago _Anterior)&gt;=Const_Dia_Corte_Aniversario,MAX(CONST_DIAS_LIMITE-DAY(_Fecha_Pago _Anterior),1))</f>
        <v>30</v>
      </c>
      <c r="L41" s="76">
        <f t="shared" ca="1" si="3"/>
        <v>43281</v>
      </c>
      <c r="M41" s="30">
        <f>_DPP _Mensual_AEN</f>
        <v>30</v>
      </c>
      <c r="N41" s="589"/>
      <c r="O41" s="76">
        <f ca="1">IF(DAY(O40 + 1) &lt;= _DPP _Quincenal,
DATE(YEAR(O40 + 1),MONTH( O40 + 1), _DPP _Quincenal ),
EOMONTH( O40 + 1,0))</f>
        <v>42931</v>
      </c>
      <c r="P41" s="30">
        <f>_DPP _Quincenal</f>
        <v>15</v>
      </c>
      <c r="R41" s="76">
        <f ca="1">IF(DAY(R40 + 1) &lt;= _DPP _Decenal,
DATE(YEAR(R40 + 1),MONTH(R40 + 1),_DPP _Decenal),
IF(DAY(R40 + 1) &lt;= (_DPP _Decenal*2),
DATE(YEAR(R40 + 1),MONTH(R40 + 1),(_DPP _Decenal*2)),EOMONTH(R40 + 1,0)))</f>
        <v>42814</v>
      </c>
      <c r="S41" s="30">
        <f>_DPP _Decenal</f>
        <v>10</v>
      </c>
      <c r="U41" s="76">
        <f t="shared" ca="1" si="2"/>
        <v>43274</v>
      </c>
      <c r="V41" s="30">
        <f t="shared" ca="1" si="4"/>
        <v>30</v>
      </c>
    </row>
    <row r="42" spans="1:22" x14ac:dyDescent="0.3">
      <c r="A42" s="12"/>
      <c r="E42" s="98">
        <f t="shared" si="0"/>
        <v>30</v>
      </c>
      <c r="F42" s="583">
        <f ca="1">INDEX(_Datos 42:42,,MATCH(_Búsqueda_Fechas_Pago, _Datos _Headers,0))</f>
        <v>43315</v>
      </c>
      <c r="G42" s="573">
        <f ca="1">INDEX(_Datos 42:42,,MATCH(_Búsqueda_Duración, _Datos _Headers,0))</f>
        <v>30</v>
      </c>
      <c r="I42" s="76">
        <f t="shared" ca="1" si="1"/>
        <v>43315</v>
      </c>
      <c r="J42" s="12">
        <f ca="1">CONST_DIAS_BASE_INTERES + IF(DAY(_Fecha_Pago _Anterior)&gt;=Const_Dia_Corte_Aniversario,MAX(CONST_DIAS_LIMITE-DAY(_Fecha_Pago _Anterior),1))</f>
        <v>30</v>
      </c>
      <c r="L42" s="76">
        <f t="shared" ca="1" si="3"/>
        <v>43312</v>
      </c>
      <c r="M42" s="30">
        <f>_DPP _Mensual_AEN</f>
        <v>30</v>
      </c>
      <c r="N42" s="589"/>
      <c r="O42" s="76">
        <f ca="1">IF(DAY(O41 + 1) &lt;= _DPP _Quincenal,
DATE(YEAR(O41 + 1),MONTH( O41 + 1), _DPP _Quincenal ),
EOMONTH( O41 + 1,0))</f>
        <v>42947</v>
      </c>
      <c r="P42" s="30">
        <f>_DPP _Quincenal</f>
        <v>15</v>
      </c>
      <c r="R42" s="76">
        <f ca="1">IF(DAY(R41 + 1) &lt;= _DPP _Decenal,
DATE(YEAR(R41 + 1),MONTH(R41 + 1),_DPP _Decenal),
IF(DAY(R41 + 1) &lt;= (_DPP _Decenal*2),
DATE(YEAR(R41 + 1),MONTH(R41 + 1),(_DPP _Decenal*2)),EOMONTH(R41 + 1,0)))</f>
        <v>42825</v>
      </c>
      <c r="S42" s="30">
        <f>_DPP _Decenal</f>
        <v>10</v>
      </c>
      <c r="U42" s="76">
        <f t="shared" ca="1" si="2"/>
        <v>43304</v>
      </c>
      <c r="V42" s="30">
        <f t="shared" ca="1" si="4"/>
        <v>30</v>
      </c>
    </row>
    <row r="43" spans="1:22" x14ac:dyDescent="0.3">
      <c r="A43" s="12"/>
      <c r="E43" s="98">
        <f t="shared" si="0"/>
        <v>30</v>
      </c>
      <c r="F43" s="583">
        <f ca="1">INDEX(_Datos 43:43,,MATCH(_Búsqueda_Fechas_Pago, _Datos _Headers,0))</f>
        <v>43346</v>
      </c>
      <c r="G43" s="573">
        <f ca="1">INDEX(_Datos 43:43,,MATCH(_Búsqueda_Duración, _Datos _Headers,0))</f>
        <v>30</v>
      </c>
      <c r="I43" s="76">
        <f t="shared" ca="1" si="1"/>
        <v>43346</v>
      </c>
      <c r="J43" s="12">
        <f ca="1">CONST_DIAS_BASE_INTERES + IF(DAY(_Fecha_Pago _Anterior)&gt;=Const_Dia_Corte_Aniversario,MAX(CONST_DIAS_LIMITE-DAY(_Fecha_Pago _Anterior),1))</f>
        <v>30</v>
      </c>
      <c r="L43" s="76">
        <f t="shared" ca="1" si="3"/>
        <v>43343</v>
      </c>
      <c r="M43" s="30">
        <f>_DPP _Mensual_AEN</f>
        <v>30</v>
      </c>
      <c r="N43" s="589"/>
      <c r="O43" s="76">
        <f ca="1">IF(DAY(O42 + 1) &lt;= _DPP _Quincenal,
DATE(YEAR(O42 + 1),MONTH( O42 + 1), _DPP _Quincenal ),
EOMONTH( O42 + 1,0))</f>
        <v>42962</v>
      </c>
      <c r="P43" s="30">
        <f>_DPP _Quincenal</f>
        <v>15</v>
      </c>
      <c r="R43" s="76">
        <f ca="1">IF(DAY(R42 + 1) &lt;= _DPP _Decenal,
DATE(YEAR(R42 + 1),MONTH(R42 + 1),_DPP _Decenal),
IF(DAY(R42 + 1) &lt;= (_DPP _Decenal*2),
DATE(YEAR(R42 + 1),MONTH(R42 + 1),(_DPP _Decenal*2)),EOMONTH(R42 + 1,0)))</f>
        <v>42835</v>
      </c>
      <c r="S43" s="30">
        <f>_DPP _Decenal</f>
        <v>10</v>
      </c>
      <c r="U43" s="76">
        <f t="shared" ca="1" si="2"/>
        <v>43334</v>
      </c>
      <c r="V43" s="30">
        <f t="shared" ca="1" si="4"/>
        <v>30</v>
      </c>
    </row>
    <row r="44" spans="1:22" x14ac:dyDescent="0.3">
      <c r="A44" s="12"/>
      <c r="E44" s="98">
        <f t="shared" si="0"/>
        <v>30</v>
      </c>
      <c r="F44" s="583">
        <f ca="1">INDEX(_Datos 44:44,,MATCH(_Búsqueda_Fechas_Pago, _Datos _Headers,0))</f>
        <v>43376</v>
      </c>
      <c r="G44" s="573">
        <f ca="1">INDEX(_Datos 44:44,,MATCH(_Búsqueda_Duración, _Datos _Headers,0))</f>
        <v>30</v>
      </c>
      <c r="I44" s="76">
        <f t="shared" ca="1" si="1"/>
        <v>43376</v>
      </c>
      <c r="J44" s="12">
        <f ca="1">CONST_DIAS_BASE_INTERES + IF(DAY(_Fecha_Pago _Anterior)&gt;=Const_Dia_Corte_Aniversario,MAX(CONST_DIAS_LIMITE-DAY(_Fecha_Pago _Anterior),1))</f>
        <v>30</v>
      </c>
      <c r="L44" s="76">
        <f t="shared" ca="1" si="3"/>
        <v>43373</v>
      </c>
      <c r="M44" s="30">
        <f>_DPP _Mensual_AEN</f>
        <v>30</v>
      </c>
      <c r="N44" s="589"/>
      <c r="O44" s="76">
        <f ca="1">IF(DAY(O43 + 1) &lt;= _DPP _Quincenal,
DATE(YEAR(O43 + 1),MONTH( O43 + 1), _DPP _Quincenal ),
EOMONTH( O43 + 1,0))</f>
        <v>42978</v>
      </c>
      <c r="P44" s="30">
        <f>_DPP _Quincenal</f>
        <v>15</v>
      </c>
      <c r="R44" s="76">
        <f ca="1">IF(DAY(R43 + 1) &lt;= _DPP _Decenal,
DATE(YEAR(R43 + 1),MONTH(R43 + 1),_DPP _Decenal),
IF(DAY(R43 + 1) &lt;= (_DPP _Decenal*2),
DATE(YEAR(R43 + 1),MONTH(R43 + 1),(_DPP _Decenal*2)),EOMONTH(R43 + 1,0)))</f>
        <v>42845</v>
      </c>
      <c r="S44" s="30">
        <f>_DPP _Decenal</f>
        <v>10</v>
      </c>
      <c r="U44" s="76">
        <f t="shared" ca="1" si="2"/>
        <v>43364</v>
      </c>
      <c r="V44" s="30">
        <f t="shared" ca="1" si="4"/>
        <v>30</v>
      </c>
    </row>
    <row r="45" spans="1:22" x14ac:dyDescent="0.3">
      <c r="A45" s="12"/>
      <c r="E45" s="98">
        <f t="shared" si="0"/>
        <v>30</v>
      </c>
      <c r="F45" s="583">
        <f ca="1">INDEX(_Datos 45:45,,MATCH(_Búsqueda_Fechas_Pago, _Datos _Headers,0))</f>
        <v>43407</v>
      </c>
      <c r="G45" s="573">
        <f ca="1">INDEX(_Datos 45:45,,MATCH(_Búsqueda_Duración, _Datos _Headers,0))</f>
        <v>30</v>
      </c>
      <c r="I45" s="76">
        <f t="shared" ca="1" si="1"/>
        <v>43407</v>
      </c>
      <c r="J45" s="12">
        <f ca="1">CONST_DIAS_BASE_INTERES + IF(DAY(_Fecha_Pago _Anterior)&gt;=Const_Dia_Corte_Aniversario,MAX(CONST_DIAS_LIMITE-DAY(_Fecha_Pago _Anterior),1))</f>
        <v>30</v>
      </c>
      <c r="L45" s="76">
        <f t="shared" ca="1" si="3"/>
        <v>43404</v>
      </c>
      <c r="M45" s="30">
        <f>_DPP _Mensual_AEN</f>
        <v>30</v>
      </c>
      <c r="N45" s="589"/>
      <c r="O45" s="76">
        <f ca="1">IF(DAY(O44 + 1) &lt;= _DPP _Quincenal,
DATE(YEAR(O44 + 1),MONTH( O44 + 1), _DPP _Quincenal ),
EOMONTH( O44 + 1,0))</f>
        <v>42993</v>
      </c>
      <c r="P45" s="30">
        <f>_DPP _Quincenal</f>
        <v>15</v>
      </c>
      <c r="R45" s="76">
        <f ca="1">IF(DAY(R44 + 1) &lt;= _DPP _Decenal,
DATE(YEAR(R44 + 1),MONTH(R44 + 1),_DPP _Decenal),
IF(DAY(R44 + 1) &lt;= (_DPP _Decenal*2),
DATE(YEAR(R44 + 1),MONTH(R44 + 1),(_DPP _Decenal*2)),EOMONTH(R44 + 1,0)))</f>
        <v>42855</v>
      </c>
      <c r="S45" s="30">
        <f>_DPP _Decenal</f>
        <v>10</v>
      </c>
      <c r="U45" s="76">
        <f t="shared" ca="1" si="2"/>
        <v>43394</v>
      </c>
      <c r="V45" s="30">
        <f t="shared" ca="1" si="4"/>
        <v>30</v>
      </c>
    </row>
    <row r="46" spans="1:22" x14ac:dyDescent="0.3">
      <c r="A46" s="12"/>
      <c r="E46" s="98">
        <f t="shared" si="0"/>
        <v>30</v>
      </c>
      <c r="F46" s="583">
        <f ca="1">INDEX(_Datos 46:46,,MATCH(_Búsqueda_Fechas_Pago, _Datos _Headers,0))</f>
        <v>43437</v>
      </c>
      <c r="G46" s="573">
        <f ca="1">INDEX(_Datos 46:46,,MATCH(_Búsqueda_Duración, _Datos _Headers,0))</f>
        <v>30</v>
      </c>
      <c r="I46" s="76">
        <f t="shared" ca="1" si="1"/>
        <v>43437</v>
      </c>
      <c r="J46" s="12">
        <f ca="1">CONST_DIAS_BASE_INTERES + IF(DAY(_Fecha_Pago _Anterior)&gt;=Const_Dia_Corte_Aniversario,MAX(CONST_DIAS_LIMITE-DAY(_Fecha_Pago _Anterior),1))</f>
        <v>30</v>
      </c>
      <c r="L46" s="76">
        <f t="shared" ca="1" si="3"/>
        <v>43434</v>
      </c>
      <c r="M46" s="30">
        <f>_DPP _Mensual_AEN</f>
        <v>30</v>
      </c>
      <c r="N46" s="589"/>
      <c r="O46" s="76">
        <f ca="1">IF(DAY(O45 + 1) &lt;= _DPP _Quincenal,
DATE(YEAR(O45 + 1),MONTH( O45 + 1), _DPP _Quincenal ),
EOMONTH( O45 + 1,0))</f>
        <v>43008</v>
      </c>
      <c r="P46" s="30">
        <f>_DPP _Quincenal</f>
        <v>15</v>
      </c>
      <c r="R46" s="76">
        <f ca="1">IF(DAY(R45 + 1) &lt;= _DPP _Decenal,
DATE(YEAR(R45 + 1),MONTH(R45 + 1),_DPP _Decenal),
IF(DAY(R45 + 1) &lt;= (_DPP _Decenal*2),
DATE(YEAR(R45 + 1),MONTH(R45 + 1),(_DPP _Decenal*2)),EOMONTH(R45 + 1,0)))</f>
        <v>42865</v>
      </c>
      <c r="S46" s="30">
        <f>_DPP _Decenal</f>
        <v>10</v>
      </c>
      <c r="U46" s="76">
        <f t="shared" ca="1" si="2"/>
        <v>43424</v>
      </c>
      <c r="V46" s="30">
        <f t="shared" ca="1" si="4"/>
        <v>30</v>
      </c>
    </row>
    <row r="47" spans="1:22" x14ac:dyDescent="0.3">
      <c r="A47" s="12"/>
      <c r="E47" s="98">
        <f t="shared" si="0"/>
        <v>30</v>
      </c>
      <c r="F47" s="583">
        <f ca="1">INDEX(_Datos 47:47,,MATCH(_Búsqueda_Fechas_Pago, _Datos _Headers,0))</f>
        <v>43468</v>
      </c>
      <c r="G47" s="573">
        <f ca="1">INDEX(_Datos 47:47,,MATCH(_Búsqueda_Duración, _Datos _Headers,0))</f>
        <v>30</v>
      </c>
      <c r="I47" s="76">
        <f t="shared" ca="1" si="1"/>
        <v>43468</v>
      </c>
      <c r="J47" s="12">
        <f ca="1">CONST_DIAS_BASE_INTERES + IF(DAY(_Fecha_Pago _Anterior)&gt;=Const_Dia_Corte_Aniversario,MAX(CONST_DIAS_LIMITE-DAY(_Fecha_Pago _Anterior),1))</f>
        <v>30</v>
      </c>
      <c r="L47" s="76">
        <f t="shared" ca="1" si="3"/>
        <v>43465</v>
      </c>
      <c r="M47" s="30">
        <f>_DPP _Mensual_AEN</f>
        <v>30</v>
      </c>
      <c r="N47" s="589"/>
      <c r="O47" s="76">
        <f ca="1">IF(DAY(O46 + 1) &lt;= _DPP _Quincenal,
DATE(YEAR(O46 + 1),MONTH( O46 + 1), _DPP _Quincenal ),
EOMONTH( O46 + 1,0))</f>
        <v>43023</v>
      </c>
      <c r="P47" s="30">
        <f>_DPP _Quincenal</f>
        <v>15</v>
      </c>
      <c r="R47" s="76">
        <f ca="1">IF(DAY(R46 + 1) &lt;= _DPP _Decenal,
DATE(YEAR(R46 + 1),MONTH(R46 + 1),_DPP _Decenal),
IF(DAY(R46 + 1) &lt;= (_DPP _Decenal*2),
DATE(YEAR(R46 + 1),MONTH(R46 + 1),(_DPP _Decenal*2)),EOMONTH(R46 + 1,0)))</f>
        <v>42875</v>
      </c>
      <c r="S47" s="30">
        <f>_DPP _Decenal</f>
        <v>10</v>
      </c>
      <c r="U47" s="76">
        <f t="shared" ca="1" si="2"/>
        <v>43454</v>
      </c>
      <c r="V47" s="30">
        <f t="shared" ca="1" si="4"/>
        <v>30</v>
      </c>
    </row>
    <row r="48" spans="1:22" x14ac:dyDescent="0.3">
      <c r="A48" s="12"/>
      <c r="E48" s="98">
        <f t="shared" si="0"/>
        <v>30</v>
      </c>
      <c r="F48" s="583">
        <f ca="1">INDEX(_Datos 48:48,,MATCH(_Búsqueda_Fechas_Pago, _Datos _Headers,0))</f>
        <v>43499</v>
      </c>
      <c r="G48" s="573">
        <f ca="1">INDEX(_Datos 48:48,,MATCH(_Búsqueda_Duración, _Datos _Headers,0))</f>
        <v>30</v>
      </c>
      <c r="I48" s="76">
        <f t="shared" ca="1" si="1"/>
        <v>43499</v>
      </c>
      <c r="J48" s="12">
        <f ca="1">CONST_DIAS_BASE_INTERES + IF(DAY(_Fecha_Pago _Anterior)&gt;=Const_Dia_Corte_Aniversario,MAX(CONST_DIAS_LIMITE-DAY(_Fecha_Pago _Anterior),1))</f>
        <v>30</v>
      </c>
      <c r="L48" s="76">
        <f t="shared" ca="1" si="3"/>
        <v>43496</v>
      </c>
      <c r="M48" s="30">
        <f>_DPP _Mensual_AEN</f>
        <v>30</v>
      </c>
      <c r="N48" s="589"/>
      <c r="O48" s="76">
        <f ca="1">IF(DAY(O47 + 1) &lt;= _DPP _Quincenal,
DATE(YEAR(O47 + 1),MONTH( O47 + 1), _DPP _Quincenal ),
EOMONTH( O47 + 1,0))</f>
        <v>43039</v>
      </c>
      <c r="P48" s="30">
        <f>_DPP _Quincenal</f>
        <v>15</v>
      </c>
      <c r="R48" s="76">
        <f ca="1">IF(DAY(R47 + 1) &lt;= _DPP _Decenal,
DATE(YEAR(R47 + 1),MONTH(R47 + 1),_DPP _Decenal),
IF(DAY(R47 + 1) &lt;= (_DPP _Decenal*2),
DATE(YEAR(R47 + 1),MONTH(R47 + 1),(_DPP _Decenal*2)),EOMONTH(R47 + 1,0)))</f>
        <v>42886</v>
      </c>
      <c r="S48" s="30">
        <f>_DPP _Decenal</f>
        <v>10</v>
      </c>
      <c r="U48" s="76">
        <f t="shared" ca="1" si="2"/>
        <v>43484</v>
      </c>
      <c r="V48" s="30">
        <f t="shared" ca="1" si="4"/>
        <v>30</v>
      </c>
    </row>
    <row r="49" spans="1:22" x14ac:dyDescent="0.3">
      <c r="A49" s="12"/>
      <c r="E49" s="98">
        <f t="shared" si="0"/>
        <v>30</v>
      </c>
      <c r="F49" s="583">
        <f ca="1">INDEX(_Datos 49:49,,MATCH(_Búsqueda_Fechas_Pago, _Datos _Headers,0))</f>
        <v>43527</v>
      </c>
      <c r="G49" s="573">
        <f ca="1">INDEX(_Datos 49:49,,MATCH(_Búsqueda_Duración, _Datos _Headers,0))</f>
        <v>30</v>
      </c>
      <c r="I49" s="76">
        <f t="shared" ca="1" si="1"/>
        <v>43527</v>
      </c>
      <c r="J49" s="12">
        <f ca="1">CONST_DIAS_BASE_INTERES + IF(DAY(_Fecha_Pago _Anterior)&gt;=Const_Dia_Corte_Aniversario,MAX(CONST_DIAS_LIMITE-DAY(_Fecha_Pago _Anterior),1))</f>
        <v>30</v>
      </c>
      <c r="L49" s="76">
        <f t="shared" ca="1" si="3"/>
        <v>43524</v>
      </c>
      <c r="M49" s="30">
        <f>_DPP _Mensual_AEN</f>
        <v>30</v>
      </c>
      <c r="N49" s="589"/>
      <c r="O49" s="76">
        <f ca="1">IF(DAY(O48 + 1) &lt;= _DPP _Quincenal,
DATE(YEAR(O48 + 1),MONTH( O48 + 1), _DPP _Quincenal ),
EOMONTH( O48 + 1,0))</f>
        <v>43054</v>
      </c>
      <c r="P49" s="30">
        <f>_DPP _Quincenal</f>
        <v>15</v>
      </c>
      <c r="R49" s="76">
        <f ca="1">IF(DAY(R48 + 1) &lt;= _DPP _Decenal,
DATE(YEAR(R48 + 1),MONTH(R48 + 1),_DPP _Decenal),
IF(DAY(R48 + 1) &lt;= (_DPP _Decenal*2),
DATE(YEAR(R48 + 1),MONTH(R48 + 1),(_DPP _Decenal*2)),EOMONTH(R48 + 1,0)))</f>
        <v>42896</v>
      </c>
      <c r="S49" s="30">
        <f>_DPP _Decenal</f>
        <v>10</v>
      </c>
      <c r="U49" s="76">
        <f t="shared" ca="1" si="2"/>
        <v>43514</v>
      </c>
      <c r="V49" s="30">
        <f t="shared" ca="1" si="4"/>
        <v>30</v>
      </c>
    </row>
    <row r="50" spans="1:22" x14ac:dyDescent="0.3">
      <c r="A50" s="12"/>
      <c r="E50" s="98">
        <f t="shared" si="0"/>
        <v>30</v>
      </c>
      <c r="F50" s="583">
        <f ca="1">INDEX(_Datos 50:50,,MATCH(_Búsqueda_Fechas_Pago, _Datos _Headers,0))</f>
        <v>43558</v>
      </c>
      <c r="G50" s="573">
        <f ca="1">INDEX(_Datos 50:50,,MATCH(_Búsqueda_Duración, _Datos _Headers,0))</f>
        <v>30</v>
      </c>
      <c r="I50" s="76">
        <f t="shared" ca="1" si="1"/>
        <v>43558</v>
      </c>
      <c r="J50" s="12">
        <f ca="1">CONST_DIAS_BASE_INTERES + IF(DAY(_Fecha_Pago _Anterior)&gt;=Const_Dia_Corte_Aniversario,MAX(CONST_DIAS_LIMITE-DAY(_Fecha_Pago _Anterior),1))</f>
        <v>30</v>
      </c>
      <c r="L50" s="76">
        <f t="shared" ca="1" si="3"/>
        <v>43555</v>
      </c>
      <c r="M50" s="30">
        <f>_DPP _Mensual_AEN</f>
        <v>30</v>
      </c>
      <c r="N50" s="589"/>
      <c r="O50" s="76">
        <f ca="1">IF(DAY(O49 + 1) &lt;= _DPP _Quincenal,
DATE(YEAR(O49 + 1),MONTH( O49 + 1), _DPP _Quincenal ),
EOMONTH( O49 + 1,0))</f>
        <v>43069</v>
      </c>
      <c r="P50" s="30">
        <f>_DPP _Quincenal</f>
        <v>15</v>
      </c>
      <c r="R50" s="76">
        <f ca="1">IF(DAY(R49 + 1) &lt;= _DPP _Decenal,
DATE(YEAR(R49 + 1),MONTH(R49 + 1),_DPP _Decenal),
IF(DAY(R49 + 1) &lt;= (_DPP _Decenal*2),
DATE(YEAR(R49 + 1),MONTH(R49 + 1),(_DPP _Decenal*2)),EOMONTH(R49 + 1,0)))</f>
        <v>42906</v>
      </c>
      <c r="S50" s="30">
        <f>_DPP _Decenal</f>
        <v>10</v>
      </c>
      <c r="U50" s="76">
        <f t="shared" ca="1" si="2"/>
        <v>43544</v>
      </c>
      <c r="V50" s="30">
        <f t="shared" ca="1" si="4"/>
        <v>30</v>
      </c>
    </row>
    <row r="51" spans="1:22" x14ac:dyDescent="0.3">
      <c r="A51" s="12"/>
      <c r="E51" s="98">
        <f t="shared" si="0"/>
        <v>30</v>
      </c>
      <c r="F51" s="583">
        <f ca="1">INDEX(_Datos 51:51,,MATCH(_Búsqueda_Fechas_Pago, _Datos _Headers,0))</f>
        <v>43588</v>
      </c>
      <c r="G51" s="573">
        <f ca="1">INDEX(_Datos 51:51,,MATCH(_Búsqueda_Duración, _Datos _Headers,0))</f>
        <v>30</v>
      </c>
      <c r="I51" s="76">
        <f t="shared" ca="1" si="1"/>
        <v>43588</v>
      </c>
      <c r="J51" s="12">
        <f ca="1">CONST_DIAS_BASE_INTERES + IF(DAY(_Fecha_Pago _Anterior)&gt;=Const_Dia_Corte_Aniversario,MAX(CONST_DIAS_LIMITE-DAY(_Fecha_Pago _Anterior),1))</f>
        <v>30</v>
      </c>
      <c r="L51" s="76">
        <f t="shared" ca="1" si="3"/>
        <v>43585</v>
      </c>
      <c r="M51" s="30">
        <f>_DPP _Mensual_AEN</f>
        <v>30</v>
      </c>
      <c r="N51" s="589"/>
      <c r="O51" s="76">
        <f ca="1">IF(DAY(O50 + 1) &lt;= _DPP _Quincenal,
DATE(YEAR(O50 + 1),MONTH( O50 + 1), _DPP _Quincenal ),
EOMONTH( O50 + 1,0))</f>
        <v>43084</v>
      </c>
      <c r="P51" s="30">
        <f>_DPP _Quincenal</f>
        <v>15</v>
      </c>
      <c r="R51" s="76">
        <f ca="1">IF(DAY(R50 + 1) &lt;= _DPP _Decenal,
DATE(YEAR(R50 + 1),MONTH(R50 + 1),_DPP _Decenal),
IF(DAY(R50 + 1) &lt;= (_DPP _Decenal*2),
DATE(YEAR(R50 + 1),MONTH(R50 + 1),(_DPP _Decenal*2)),EOMONTH(R50 + 1,0)))</f>
        <v>42916</v>
      </c>
      <c r="S51" s="30">
        <f>_DPP _Decenal</f>
        <v>10</v>
      </c>
      <c r="U51" s="76">
        <f t="shared" ca="1" si="2"/>
        <v>43574</v>
      </c>
      <c r="V51" s="30">
        <f t="shared" ca="1" si="4"/>
        <v>30</v>
      </c>
    </row>
    <row r="52" spans="1:22" x14ac:dyDescent="0.3">
      <c r="A52" s="12"/>
      <c r="E52" s="98">
        <f t="shared" si="0"/>
        <v>30</v>
      </c>
      <c r="F52" s="583">
        <f ca="1">INDEX(_Datos 52:52,,MATCH(_Búsqueda_Fechas_Pago, _Datos _Headers,0))</f>
        <v>43619</v>
      </c>
      <c r="G52" s="573">
        <f ca="1">INDEX(_Datos 52:52,,MATCH(_Búsqueda_Duración, _Datos _Headers,0))</f>
        <v>30</v>
      </c>
      <c r="I52" s="76">
        <f t="shared" ca="1" si="1"/>
        <v>43619</v>
      </c>
      <c r="J52" s="12">
        <f ca="1">CONST_DIAS_BASE_INTERES + IF(DAY(_Fecha_Pago _Anterior)&gt;=Const_Dia_Corte_Aniversario,MAX(CONST_DIAS_LIMITE-DAY(_Fecha_Pago _Anterior),1))</f>
        <v>30</v>
      </c>
      <c r="L52" s="76">
        <f t="shared" ca="1" si="3"/>
        <v>43616</v>
      </c>
      <c r="M52" s="30">
        <f>_DPP _Mensual_AEN</f>
        <v>30</v>
      </c>
      <c r="N52" s="589"/>
      <c r="O52" s="76">
        <f ca="1">IF(DAY(O51 + 1) &lt;= _DPP _Quincenal,
DATE(YEAR(O51 + 1),MONTH( O51 + 1), _DPP _Quincenal ),
EOMONTH( O51 + 1,0))</f>
        <v>43100</v>
      </c>
      <c r="P52" s="30">
        <f>_DPP _Quincenal</f>
        <v>15</v>
      </c>
      <c r="R52" s="76">
        <f ca="1">IF(DAY(R51 + 1) &lt;= _DPP _Decenal,
DATE(YEAR(R51 + 1),MONTH(R51 + 1),_DPP _Decenal),
IF(DAY(R51 + 1) &lt;= (_DPP _Decenal*2),
DATE(YEAR(R51 + 1),MONTH(R51 + 1),(_DPP _Decenal*2)),EOMONTH(R51 + 1,0)))</f>
        <v>42926</v>
      </c>
      <c r="S52" s="30">
        <f>_DPP _Decenal</f>
        <v>10</v>
      </c>
      <c r="U52" s="76">
        <f t="shared" ca="1" si="2"/>
        <v>43604</v>
      </c>
      <c r="V52" s="30">
        <f t="shared" ca="1" si="4"/>
        <v>30</v>
      </c>
    </row>
    <row r="53" spans="1:22" x14ac:dyDescent="0.3">
      <c r="A53" s="12"/>
      <c r="E53" s="98">
        <f t="shared" si="0"/>
        <v>30</v>
      </c>
      <c r="F53" s="583">
        <f ca="1">INDEX(_Datos 53:53,,MATCH(_Búsqueda_Fechas_Pago, _Datos _Headers,0))</f>
        <v>43649</v>
      </c>
      <c r="G53" s="573">
        <f ca="1">INDEX(_Datos 53:53,,MATCH(_Búsqueda_Duración, _Datos _Headers,0))</f>
        <v>30</v>
      </c>
      <c r="I53" s="76">
        <f t="shared" ca="1" si="1"/>
        <v>43649</v>
      </c>
      <c r="J53" s="12">
        <f ca="1">CONST_DIAS_BASE_INTERES + IF(DAY(_Fecha_Pago _Anterior)&gt;=Const_Dia_Corte_Aniversario,MAX(CONST_DIAS_LIMITE-DAY(_Fecha_Pago _Anterior),1))</f>
        <v>30</v>
      </c>
      <c r="L53" s="76">
        <f t="shared" ca="1" si="3"/>
        <v>43646</v>
      </c>
      <c r="M53" s="30">
        <f>_DPP _Mensual_AEN</f>
        <v>30</v>
      </c>
      <c r="N53" s="589"/>
      <c r="O53" s="76">
        <f ca="1">IF(DAY(O52 + 1) &lt;= _DPP _Quincenal,
DATE(YEAR(O52 + 1),MONTH( O52 + 1), _DPP _Quincenal ),
EOMONTH( O52 + 1,0))</f>
        <v>43115</v>
      </c>
      <c r="P53" s="30">
        <f>_DPP _Quincenal</f>
        <v>15</v>
      </c>
      <c r="R53" s="76">
        <f ca="1">IF(DAY(R52 + 1) &lt;= _DPP _Decenal,
DATE(YEAR(R52 + 1),MONTH(R52 + 1),_DPP _Decenal),
IF(DAY(R52 + 1) &lt;= (_DPP _Decenal*2),
DATE(YEAR(R52 + 1),MONTH(R52 + 1),(_DPP _Decenal*2)),EOMONTH(R52 + 1,0)))</f>
        <v>42936</v>
      </c>
      <c r="S53" s="30">
        <f>_DPP _Decenal</f>
        <v>10</v>
      </c>
      <c r="U53" s="76">
        <f t="shared" ca="1" si="2"/>
        <v>43634</v>
      </c>
      <c r="V53" s="30">
        <f t="shared" ca="1" si="4"/>
        <v>30</v>
      </c>
    </row>
    <row r="54" spans="1:22" x14ac:dyDescent="0.3">
      <c r="A54" s="12"/>
      <c r="E54" s="98">
        <f t="shared" si="0"/>
        <v>30</v>
      </c>
      <c r="F54" s="583">
        <f ca="1">INDEX(_Datos 54:54,,MATCH(_Búsqueda_Fechas_Pago, _Datos _Headers,0))</f>
        <v>43680</v>
      </c>
      <c r="G54" s="573">
        <f ca="1">INDEX(_Datos 54:54,,MATCH(_Búsqueda_Duración, _Datos _Headers,0))</f>
        <v>30</v>
      </c>
      <c r="I54" s="76">
        <f t="shared" ca="1" si="1"/>
        <v>43680</v>
      </c>
      <c r="J54" s="12">
        <f ca="1">CONST_DIAS_BASE_INTERES + IF(DAY(_Fecha_Pago _Anterior)&gt;=Const_Dia_Corte_Aniversario,MAX(CONST_DIAS_LIMITE-DAY(_Fecha_Pago _Anterior),1))</f>
        <v>30</v>
      </c>
      <c r="L54" s="76">
        <f t="shared" ca="1" si="3"/>
        <v>43677</v>
      </c>
      <c r="M54" s="30">
        <f>_DPP _Mensual_AEN</f>
        <v>30</v>
      </c>
      <c r="N54" s="589"/>
      <c r="O54" s="76">
        <f ca="1">IF(DAY(O53 + 1) &lt;= _DPP _Quincenal,
DATE(YEAR(O53 + 1),MONTH( O53 + 1), _DPP _Quincenal ),
EOMONTH( O53 + 1,0))</f>
        <v>43131</v>
      </c>
      <c r="P54" s="30">
        <f>_DPP _Quincenal</f>
        <v>15</v>
      </c>
      <c r="R54" s="76">
        <f ca="1">IF(DAY(R53 + 1) &lt;= _DPP _Decenal,
DATE(YEAR(R53 + 1),MONTH(R53 + 1),_DPP _Decenal),
IF(DAY(R53 + 1) &lt;= (_DPP _Decenal*2),
DATE(YEAR(R53 + 1),MONTH(R53 + 1),(_DPP _Decenal*2)),EOMONTH(R53 + 1,0)))</f>
        <v>42947</v>
      </c>
      <c r="S54" s="30">
        <f>_DPP _Decenal</f>
        <v>10</v>
      </c>
      <c r="U54" s="76">
        <f t="shared" ca="1" si="2"/>
        <v>43664</v>
      </c>
      <c r="V54" s="30">
        <f t="shared" ca="1" si="4"/>
        <v>30</v>
      </c>
    </row>
    <row r="55" spans="1:22" x14ac:dyDescent="0.3">
      <c r="A55" s="12"/>
      <c r="E55" s="98">
        <f t="shared" si="0"/>
        <v>30</v>
      </c>
      <c r="F55" s="583">
        <f ca="1">INDEX(_Datos 55:55,,MATCH(_Búsqueda_Fechas_Pago, _Datos _Headers,0))</f>
        <v>43711</v>
      </c>
      <c r="G55" s="573">
        <f ca="1">INDEX(_Datos 55:55,,MATCH(_Búsqueda_Duración, _Datos _Headers,0))</f>
        <v>30</v>
      </c>
      <c r="I55" s="76">
        <f t="shared" ca="1" si="1"/>
        <v>43711</v>
      </c>
      <c r="J55" s="12">
        <f ca="1">CONST_DIAS_BASE_INTERES + IF(DAY(_Fecha_Pago _Anterior)&gt;=Const_Dia_Corte_Aniversario,MAX(CONST_DIAS_LIMITE-DAY(_Fecha_Pago _Anterior),1))</f>
        <v>30</v>
      </c>
      <c r="L55" s="76">
        <f t="shared" ca="1" si="3"/>
        <v>43708</v>
      </c>
      <c r="M55" s="30">
        <f>_DPP _Mensual_AEN</f>
        <v>30</v>
      </c>
      <c r="N55" s="589"/>
      <c r="O55" s="76">
        <f ca="1">IF(DAY(O54 + 1) &lt;= _DPP _Quincenal,
DATE(YEAR(O54 + 1),MONTH( O54 + 1), _DPP _Quincenal ),
EOMONTH( O54 + 1,0))</f>
        <v>43146</v>
      </c>
      <c r="P55" s="30">
        <f>_DPP _Quincenal</f>
        <v>15</v>
      </c>
      <c r="R55" s="76">
        <f ca="1">IF(DAY(R54 + 1) &lt;= _DPP _Decenal,
DATE(YEAR(R54 + 1),MONTH(R54 + 1),_DPP _Decenal),
IF(DAY(R54 + 1) &lt;= (_DPP _Decenal*2),
DATE(YEAR(R54 + 1),MONTH(R54 + 1),(_DPP _Decenal*2)),EOMONTH(R54 + 1,0)))</f>
        <v>42957</v>
      </c>
      <c r="S55" s="30">
        <f>_DPP _Decenal</f>
        <v>10</v>
      </c>
      <c r="U55" s="76">
        <f t="shared" ca="1" si="2"/>
        <v>43694</v>
      </c>
      <c r="V55" s="30">
        <f t="shared" ca="1" si="4"/>
        <v>30</v>
      </c>
    </row>
    <row r="56" spans="1:22" x14ac:dyDescent="0.3">
      <c r="A56" s="12"/>
      <c r="E56" s="98">
        <f t="shared" si="0"/>
        <v>30</v>
      </c>
      <c r="F56" s="583">
        <f ca="1">INDEX(_Datos 56:56,,MATCH(_Búsqueda_Fechas_Pago, _Datos _Headers,0))</f>
        <v>43741</v>
      </c>
      <c r="G56" s="573">
        <f ca="1">INDEX(_Datos 56:56,,MATCH(_Búsqueda_Duración, _Datos _Headers,0))</f>
        <v>30</v>
      </c>
      <c r="I56" s="76">
        <f t="shared" ca="1" si="1"/>
        <v>43741</v>
      </c>
      <c r="J56" s="12">
        <f ca="1">CONST_DIAS_BASE_INTERES + IF(DAY(_Fecha_Pago _Anterior)&gt;=Const_Dia_Corte_Aniversario,MAX(CONST_DIAS_LIMITE-DAY(_Fecha_Pago _Anterior),1))</f>
        <v>30</v>
      </c>
      <c r="L56" s="76">
        <f t="shared" ca="1" si="3"/>
        <v>43738</v>
      </c>
      <c r="M56" s="30">
        <f>_DPP _Mensual_AEN</f>
        <v>30</v>
      </c>
      <c r="N56" s="589"/>
      <c r="O56" s="76">
        <f ca="1">IF(DAY(O55 + 1) &lt;= _DPP _Quincenal,
DATE(YEAR(O55 + 1),MONTH( O55 + 1), _DPP _Quincenal ),
EOMONTH( O55 + 1,0))</f>
        <v>43159</v>
      </c>
      <c r="P56" s="30">
        <f>_DPP _Quincenal</f>
        <v>15</v>
      </c>
      <c r="R56" s="76">
        <f ca="1">IF(DAY(R55 + 1) &lt;= _DPP _Decenal,
DATE(YEAR(R55 + 1),MONTH(R55 + 1),_DPP _Decenal),
IF(DAY(R55 + 1) &lt;= (_DPP _Decenal*2),
DATE(YEAR(R55 + 1),MONTH(R55 + 1),(_DPP _Decenal*2)),EOMONTH(R55 + 1,0)))</f>
        <v>42967</v>
      </c>
      <c r="S56" s="30">
        <f>_DPP _Decenal</f>
        <v>10</v>
      </c>
      <c r="U56" s="76">
        <f t="shared" ca="1" si="2"/>
        <v>43724</v>
      </c>
      <c r="V56" s="30">
        <f t="shared" ca="1" si="4"/>
        <v>30</v>
      </c>
    </row>
    <row r="57" spans="1:22" x14ac:dyDescent="0.3">
      <c r="A57" s="12"/>
      <c r="E57" s="98">
        <f t="shared" si="0"/>
        <v>30</v>
      </c>
      <c r="F57" s="583">
        <f ca="1">INDEX(_Datos 57:57,,MATCH(_Búsqueda_Fechas_Pago, _Datos _Headers,0))</f>
        <v>43772</v>
      </c>
      <c r="G57" s="573">
        <f ca="1">INDEX(_Datos 57:57,,MATCH(_Búsqueda_Duración, _Datos _Headers,0))</f>
        <v>30</v>
      </c>
      <c r="I57" s="76">
        <f t="shared" ca="1" si="1"/>
        <v>43772</v>
      </c>
      <c r="J57" s="12">
        <f ca="1">CONST_DIAS_BASE_INTERES + IF(DAY(_Fecha_Pago _Anterior)&gt;=Const_Dia_Corte_Aniversario,MAX(CONST_DIAS_LIMITE-DAY(_Fecha_Pago _Anterior),1))</f>
        <v>30</v>
      </c>
      <c r="L57" s="76">
        <f t="shared" ca="1" si="3"/>
        <v>43769</v>
      </c>
      <c r="M57" s="30">
        <f>_DPP _Mensual_AEN</f>
        <v>30</v>
      </c>
      <c r="N57" s="589"/>
      <c r="O57" s="76">
        <f ca="1">IF(DAY(O56 + 1) &lt;= _DPP _Quincenal,
DATE(YEAR(O56 + 1),MONTH( O56 + 1), _DPP _Quincenal ),
EOMONTH( O56 + 1,0))</f>
        <v>43174</v>
      </c>
      <c r="P57" s="30">
        <f>_DPP _Quincenal</f>
        <v>15</v>
      </c>
      <c r="R57" s="76">
        <f ca="1">IF(DAY(R56 + 1) &lt;= _DPP _Decenal,
DATE(YEAR(R56 + 1),MONTH(R56 + 1),_DPP _Decenal),
IF(DAY(R56 + 1) &lt;= (_DPP _Decenal*2),
DATE(YEAR(R56 + 1),MONTH(R56 + 1),(_DPP _Decenal*2)),EOMONTH(R56 + 1,0)))</f>
        <v>42978</v>
      </c>
      <c r="S57" s="30">
        <f>_DPP _Decenal</f>
        <v>10</v>
      </c>
      <c r="U57" s="76">
        <f t="shared" ca="1" si="2"/>
        <v>43754</v>
      </c>
      <c r="V57" s="30">
        <f t="shared" ca="1" si="4"/>
        <v>30</v>
      </c>
    </row>
    <row r="58" spans="1:22" x14ac:dyDescent="0.3">
      <c r="A58" s="12"/>
      <c r="E58" s="98">
        <f t="shared" si="0"/>
        <v>30</v>
      </c>
      <c r="F58" s="583">
        <f ca="1">INDEX(_Datos 58:58,,MATCH(_Búsqueda_Fechas_Pago, _Datos _Headers,0))</f>
        <v>43802</v>
      </c>
      <c r="G58" s="573">
        <f ca="1">INDEX(_Datos 58:58,,MATCH(_Búsqueda_Duración, _Datos _Headers,0))</f>
        <v>30</v>
      </c>
      <c r="I58" s="76">
        <f t="shared" ca="1" si="1"/>
        <v>43802</v>
      </c>
      <c r="J58" s="12">
        <f ca="1">CONST_DIAS_BASE_INTERES + IF(DAY(_Fecha_Pago _Anterior)&gt;=Const_Dia_Corte_Aniversario,MAX(CONST_DIAS_LIMITE-DAY(_Fecha_Pago _Anterior),1))</f>
        <v>30</v>
      </c>
      <c r="L58" s="76">
        <f t="shared" ca="1" si="3"/>
        <v>43799</v>
      </c>
      <c r="M58" s="30">
        <f>_DPP _Mensual_AEN</f>
        <v>30</v>
      </c>
      <c r="N58" s="589"/>
      <c r="O58" s="76">
        <f ca="1">IF(DAY(O57 + 1) &lt;= _DPP _Quincenal,
DATE(YEAR(O57 + 1),MONTH( O57 + 1), _DPP _Quincenal ),
EOMONTH( O57 + 1,0))</f>
        <v>43190</v>
      </c>
      <c r="P58" s="30">
        <f>_DPP _Quincenal</f>
        <v>15</v>
      </c>
      <c r="R58" s="76">
        <f ca="1">IF(DAY(R57 + 1) &lt;= _DPP _Decenal,
DATE(YEAR(R57 + 1),MONTH(R57 + 1),_DPP _Decenal),
IF(DAY(R57 + 1) &lt;= (_DPP _Decenal*2),
DATE(YEAR(R57 + 1),MONTH(R57 + 1),(_DPP _Decenal*2)),EOMONTH(R57 + 1,0)))</f>
        <v>42988</v>
      </c>
      <c r="S58" s="30">
        <f>_DPP _Decenal</f>
        <v>10</v>
      </c>
      <c r="U58" s="76">
        <f t="shared" ca="1" si="2"/>
        <v>43784</v>
      </c>
      <c r="V58" s="30">
        <f t="shared" ca="1" si="4"/>
        <v>30</v>
      </c>
    </row>
    <row r="59" spans="1:22" x14ac:dyDescent="0.3">
      <c r="A59" s="12"/>
      <c r="E59" s="98">
        <f t="shared" si="0"/>
        <v>30</v>
      </c>
      <c r="F59" s="583">
        <f ca="1">INDEX(_Datos 59:59,,MATCH(_Búsqueda_Fechas_Pago, _Datos _Headers,0))</f>
        <v>43833</v>
      </c>
      <c r="G59" s="573">
        <f ca="1">INDEX(_Datos 59:59,,MATCH(_Búsqueda_Duración, _Datos _Headers,0))</f>
        <v>30</v>
      </c>
      <c r="I59" s="76">
        <f t="shared" ca="1" si="1"/>
        <v>43833</v>
      </c>
      <c r="J59" s="12">
        <f ca="1">CONST_DIAS_BASE_INTERES + IF(DAY(_Fecha_Pago _Anterior)&gt;=Const_Dia_Corte_Aniversario,MAX(CONST_DIAS_LIMITE-DAY(_Fecha_Pago _Anterior),1))</f>
        <v>30</v>
      </c>
      <c r="L59" s="76">
        <f t="shared" ca="1" si="3"/>
        <v>43830</v>
      </c>
      <c r="M59" s="30">
        <f>_DPP _Mensual_AEN</f>
        <v>30</v>
      </c>
      <c r="N59" s="589"/>
      <c r="O59" s="76">
        <f ca="1">IF(DAY(O58 + 1) &lt;= _DPP _Quincenal,
DATE(YEAR(O58 + 1),MONTH( O58 + 1), _DPP _Quincenal ),
EOMONTH( O58 + 1,0))</f>
        <v>43205</v>
      </c>
      <c r="P59" s="30">
        <f>_DPP _Quincenal</f>
        <v>15</v>
      </c>
      <c r="R59" s="76">
        <f ca="1">IF(DAY(R58 + 1) &lt;= _DPP _Decenal,
DATE(YEAR(R58 + 1),MONTH(R58 + 1),_DPP _Decenal),
IF(DAY(R58 + 1) &lt;= (_DPP _Decenal*2),
DATE(YEAR(R58 + 1),MONTH(R58 + 1),(_DPP _Decenal*2)),EOMONTH(R58 + 1,0)))</f>
        <v>42998</v>
      </c>
      <c r="S59" s="30">
        <f>_DPP _Decenal</f>
        <v>10</v>
      </c>
      <c r="U59" s="76">
        <f t="shared" ca="1" si="2"/>
        <v>43814</v>
      </c>
      <c r="V59" s="30">
        <f t="shared" ca="1" si="4"/>
        <v>30</v>
      </c>
    </row>
    <row r="60" spans="1:22" x14ac:dyDescent="0.3">
      <c r="A60" s="12"/>
      <c r="E60" s="98">
        <f t="shared" si="0"/>
        <v>30</v>
      </c>
      <c r="F60" s="583">
        <f ca="1">INDEX(_Datos 60:60,,MATCH(_Búsqueda_Fechas_Pago, _Datos _Headers,0))</f>
        <v>43864</v>
      </c>
      <c r="G60" s="573">
        <f ca="1">INDEX(_Datos 60:60,,MATCH(_Búsqueda_Duración, _Datos _Headers,0))</f>
        <v>30</v>
      </c>
      <c r="I60" s="76">
        <f t="shared" ca="1" si="1"/>
        <v>43864</v>
      </c>
      <c r="J60" s="12">
        <f ca="1">CONST_DIAS_BASE_INTERES + IF(DAY(_Fecha_Pago _Anterior)&gt;=Const_Dia_Corte_Aniversario,MAX(CONST_DIAS_LIMITE-DAY(_Fecha_Pago _Anterior),1))</f>
        <v>30</v>
      </c>
      <c r="L60" s="76">
        <f t="shared" ca="1" si="3"/>
        <v>43861</v>
      </c>
      <c r="M60" s="30">
        <f>_DPP _Mensual_AEN</f>
        <v>30</v>
      </c>
      <c r="N60" s="589"/>
      <c r="O60" s="76">
        <f ca="1">IF(DAY(O59 + 1) &lt;= _DPP _Quincenal,
DATE(YEAR(O59 + 1),MONTH( O59 + 1), _DPP _Quincenal ),
EOMONTH( O59 + 1,0))</f>
        <v>43220</v>
      </c>
      <c r="P60" s="30">
        <f>_DPP _Quincenal</f>
        <v>15</v>
      </c>
      <c r="R60" s="76">
        <f ca="1">IF(DAY(R59 + 1) &lt;= _DPP _Decenal,
DATE(YEAR(R59 + 1),MONTH(R59 + 1),_DPP _Decenal),
IF(DAY(R59 + 1) &lt;= (_DPP _Decenal*2),
DATE(YEAR(R59 + 1),MONTH(R59 + 1),(_DPP _Decenal*2)),EOMONTH(R59 + 1,0)))</f>
        <v>43008</v>
      </c>
      <c r="S60" s="30">
        <f>_DPP _Decenal</f>
        <v>10</v>
      </c>
      <c r="U60" s="76">
        <f t="shared" ca="1" si="2"/>
        <v>43844</v>
      </c>
      <c r="V60" s="30">
        <f t="shared" ca="1" si="4"/>
        <v>30</v>
      </c>
    </row>
    <row r="61" spans="1:22" x14ac:dyDescent="0.3">
      <c r="A61" s="12"/>
      <c r="E61" s="98">
        <f t="shared" si="0"/>
        <v>30</v>
      </c>
      <c r="F61" s="583">
        <f ca="1">INDEX(_Datos 61:61,,MATCH(_Búsqueda_Fechas_Pago, _Datos _Headers,0))</f>
        <v>43893</v>
      </c>
      <c r="G61" s="573">
        <f ca="1">INDEX(_Datos 61:61,,MATCH(_Búsqueda_Duración, _Datos _Headers,0))</f>
        <v>30</v>
      </c>
      <c r="I61" s="76">
        <f t="shared" ca="1" si="1"/>
        <v>43893</v>
      </c>
      <c r="J61" s="12">
        <f ca="1">CONST_DIAS_BASE_INTERES + IF(DAY(_Fecha_Pago _Anterior)&gt;=Const_Dia_Corte_Aniversario,MAX(CONST_DIAS_LIMITE-DAY(_Fecha_Pago _Anterior),1))</f>
        <v>30</v>
      </c>
      <c r="L61" s="76">
        <f t="shared" ca="1" si="3"/>
        <v>43890</v>
      </c>
      <c r="M61" s="30">
        <f>_DPP _Mensual_AEN</f>
        <v>30</v>
      </c>
      <c r="N61" s="589"/>
      <c r="O61" s="76">
        <f ca="1">IF(DAY(O60 + 1) &lt;= _DPP _Quincenal,
DATE(YEAR(O60 + 1),MONTH( O60 + 1), _DPP _Quincenal ),
EOMONTH( O60 + 1,0))</f>
        <v>43235</v>
      </c>
      <c r="P61" s="30">
        <f>_DPP _Quincenal</f>
        <v>15</v>
      </c>
      <c r="R61" s="76">
        <f ca="1">IF(DAY(R60 + 1) &lt;= _DPP _Decenal,
DATE(YEAR(R60 + 1),MONTH(R60 + 1),_DPP _Decenal),
IF(DAY(R60 + 1) &lt;= (_DPP _Decenal*2),
DATE(YEAR(R60 + 1),MONTH(R60 + 1),(_DPP _Decenal*2)),EOMONTH(R60 + 1,0)))</f>
        <v>43018</v>
      </c>
      <c r="S61" s="30">
        <f>_DPP _Decenal</f>
        <v>10</v>
      </c>
      <c r="U61" s="76">
        <f t="shared" ca="1" si="2"/>
        <v>43874</v>
      </c>
      <c r="V61" s="30">
        <f t="shared" ca="1" si="4"/>
        <v>30</v>
      </c>
    </row>
    <row r="62" spans="1:22" x14ac:dyDescent="0.3">
      <c r="A62" s="12"/>
      <c r="E62" s="98">
        <f t="shared" si="0"/>
        <v>30</v>
      </c>
      <c r="F62" s="583">
        <f ca="1">INDEX(_Datos 62:62,,MATCH(_Búsqueda_Fechas_Pago, _Datos _Headers,0))</f>
        <v>43924</v>
      </c>
      <c r="G62" s="573">
        <f ca="1">INDEX(_Datos 62:62,,MATCH(_Búsqueda_Duración, _Datos _Headers,0))</f>
        <v>30</v>
      </c>
      <c r="I62" s="76">
        <f t="shared" ca="1" si="1"/>
        <v>43924</v>
      </c>
      <c r="J62" s="12">
        <f ca="1">CONST_DIAS_BASE_INTERES + IF(DAY(_Fecha_Pago _Anterior)&gt;=Const_Dia_Corte_Aniversario,MAX(CONST_DIAS_LIMITE-DAY(_Fecha_Pago _Anterior),1))</f>
        <v>30</v>
      </c>
      <c r="L62" s="76">
        <f t="shared" ca="1" si="3"/>
        <v>43921</v>
      </c>
      <c r="M62" s="30">
        <f>_DPP _Mensual_AEN</f>
        <v>30</v>
      </c>
      <c r="N62" s="589"/>
      <c r="O62" s="76">
        <f ca="1">IF(DAY(O61 + 1) &lt;= _DPP _Quincenal,
DATE(YEAR(O61 + 1),MONTH( O61 + 1), _DPP _Quincenal ),
EOMONTH( O61 + 1,0))</f>
        <v>43251</v>
      </c>
      <c r="P62" s="30">
        <f>_DPP _Quincenal</f>
        <v>15</v>
      </c>
      <c r="R62" s="76">
        <f ca="1">IF(DAY(R61 + 1) &lt;= _DPP _Decenal,
DATE(YEAR(R61 + 1),MONTH(R61 + 1),_DPP _Decenal),
IF(DAY(R61 + 1) &lt;= (_DPP _Decenal*2),
DATE(YEAR(R61 + 1),MONTH(R61 + 1),(_DPP _Decenal*2)),EOMONTH(R61 + 1,0)))</f>
        <v>43028</v>
      </c>
      <c r="S62" s="30">
        <f>_DPP _Decenal</f>
        <v>10</v>
      </c>
      <c r="U62" s="76">
        <f t="shared" ca="1" si="2"/>
        <v>43904</v>
      </c>
      <c r="V62" s="30">
        <f t="shared" ca="1" si="4"/>
        <v>30</v>
      </c>
    </row>
    <row r="63" spans="1:22" x14ac:dyDescent="0.3">
      <c r="A63" s="12"/>
      <c r="E63" s="98">
        <f t="shared" si="0"/>
        <v>30</v>
      </c>
      <c r="F63" s="583">
        <f ca="1">INDEX(_Datos 63:63,,MATCH(_Búsqueda_Fechas_Pago, _Datos _Headers,0))</f>
        <v>43954</v>
      </c>
      <c r="G63" s="573">
        <f ca="1">INDEX(_Datos 63:63,,MATCH(_Búsqueda_Duración, _Datos _Headers,0))</f>
        <v>30</v>
      </c>
      <c r="I63" s="76">
        <f t="shared" ca="1" si="1"/>
        <v>43954</v>
      </c>
      <c r="J63" s="12">
        <f ca="1">CONST_DIAS_BASE_INTERES + IF(DAY(_Fecha_Pago _Anterior)&gt;=Const_Dia_Corte_Aniversario,MAX(CONST_DIAS_LIMITE-DAY(_Fecha_Pago _Anterior),1))</f>
        <v>30</v>
      </c>
      <c r="L63" s="76">
        <f t="shared" ca="1" si="3"/>
        <v>43951</v>
      </c>
      <c r="M63" s="30">
        <f>_DPP _Mensual_AEN</f>
        <v>30</v>
      </c>
      <c r="N63" s="589"/>
      <c r="O63" s="76">
        <f ca="1">IF(DAY(O62 + 1) &lt;= _DPP _Quincenal,
DATE(YEAR(O62 + 1),MONTH( O62 + 1), _DPP _Quincenal ),
EOMONTH( O62 + 1,0))</f>
        <v>43266</v>
      </c>
      <c r="P63" s="30">
        <f>_DPP _Quincenal</f>
        <v>15</v>
      </c>
      <c r="R63" s="76">
        <f ca="1">IF(DAY(R62 + 1) &lt;= _DPP _Decenal,
DATE(YEAR(R62 + 1),MONTH(R62 + 1),_DPP _Decenal),
IF(DAY(R62 + 1) &lt;= (_DPP _Decenal*2),
DATE(YEAR(R62 + 1),MONTH(R62 + 1),(_DPP _Decenal*2)),EOMONTH(R62 + 1,0)))</f>
        <v>43039</v>
      </c>
      <c r="S63" s="30">
        <f>_DPP _Decenal</f>
        <v>10</v>
      </c>
      <c r="U63" s="76">
        <f t="shared" ca="1" si="2"/>
        <v>43934</v>
      </c>
      <c r="V63" s="30">
        <f t="shared" ca="1" si="4"/>
        <v>30</v>
      </c>
    </row>
    <row r="64" spans="1:22" x14ac:dyDescent="0.3">
      <c r="A64" s="12"/>
      <c r="E64" s="98">
        <f t="shared" si="0"/>
        <v>30</v>
      </c>
      <c r="F64" s="583">
        <f ca="1">INDEX(_Datos 64:64,,MATCH(_Búsqueda_Fechas_Pago, _Datos _Headers,0))</f>
        <v>43985</v>
      </c>
      <c r="G64" s="573">
        <f ca="1">INDEX(_Datos 64:64,,MATCH(_Búsqueda_Duración, _Datos _Headers,0))</f>
        <v>30</v>
      </c>
      <c r="I64" s="76">
        <f t="shared" ca="1" si="1"/>
        <v>43985</v>
      </c>
      <c r="J64" s="12">
        <f ca="1">CONST_DIAS_BASE_INTERES + IF(DAY(_Fecha_Pago _Anterior)&gt;=Const_Dia_Corte_Aniversario,MAX(CONST_DIAS_LIMITE-DAY(_Fecha_Pago _Anterior),1))</f>
        <v>30</v>
      </c>
      <c r="L64" s="76">
        <f t="shared" ca="1" si="3"/>
        <v>43982</v>
      </c>
      <c r="M64" s="30">
        <f>_DPP _Mensual_AEN</f>
        <v>30</v>
      </c>
      <c r="N64" s="589"/>
      <c r="O64" s="76">
        <f ca="1">IF(DAY(O63 + 1) &lt;= _DPP _Quincenal,
DATE(YEAR(O63 + 1),MONTH( O63 + 1), _DPP _Quincenal ),
EOMONTH( O63 + 1,0))</f>
        <v>43281</v>
      </c>
      <c r="P64" s="30">
        <f>_DPP _Quincenal</f>
        <v>15</v>
      </c>
      <c r="R64" s="76">
        <f ca="1">IF(DAY(R63 + 1) &lt;= _DPP _Decenal,
DATE(YEAR(R63 + 1),MONTH(R63 + 1),_DPP _Decenal),
IF(DAY(R63 + 1) &lt;= (_DPP _Decenal*2),
DATE(YEAR(R63 + 1),MONTH(R63 + 1),(_DPP _Decenal*2)),EOMONTH(R63 + 1,0)))</f>
        <v>43049</v>
      </c>
      <c r="S64" s="30">
        <f>_DPP _Decenal</f>
        <v>10</v>
      </c>
      <c r="U64" s="76">
        <f t="shared" ca="1" si="2"/>
        <v>43964</v>
      </c>
      <c r="V64" s="30">
        <f t="shared" ca="1" si="4"/>
        <v>30</v>
      </c>
    </row>
    <row r="65" spans="1:22" x14ac:dyDescent="0.3">
      <c r="A65" s="12"/>
      <c r="E65" s="98">
        <f t="shared" si="0"/>
        <v>30</v>
      </c>
      <c r="F65" s="583">
        <f ca="1">INDEX(_Datos 65:65,,MATCH(_Búsqueda_Fechas_Pago, _Datos _Headers,0))</f>
        <v>44015</v>
      </c>
      <c r="G65" s="573">
        <f ca="1">INDEX(_Datos 65:65,,MATCH(_Búsqueda_Duración, _Datos _Headers,0))</f>
        <v>30</v>
      </c>
      <c r="I65" s="76">
        <f t="shared" ca="1" si="1"/>
        <v>44015</v>
      </c>
      <c r="J65" s="12">
        <f ca="1">CONST_DIAS_BASE_INTERES + IF(DAY(_Fecha_Pago _Anterior)&gt;=Const_Dia_Corte_Aniversario,MAX(CONST_DIAS_LIMITE-DAY(_Fecha_Pago _Anterior),1))</f>
        <v>30</v>
      </c>
      <c r="L65" s="76">
        <f t="shared" ca="1" si="3"/>
        <v>44012</v>
      </c>
      <c r="M65" s="30">
        <f>_DPP _Mensual_AEN</f>
        <v>30</v>
      </c>
      <c r="N65" s="589"/>
      <c r="O65" s="76">
        <f ca="1">IF(DAY(O64 + 1) &lt;= _DPP _Quincenal,
DATE(YEAR(O64 + 1),MONTH( O64 + 1), _DPP _Quincenal ),
EOMONTH( O64 + 1,0))</f>
        <v>43296</v>
      </c>
      <c r="P65" s="30">
        <f>_DPP _Quincenal</f>
        <v>15</v>
      </c>
      <c r="R65" s="76">
        <f ca="1">IF(DAY(R64 + 1) &lt;= _DPP _Decenal,
DATE(YEAR(R64 + 1),MONTH(R64 + 1),_DPP _Decenal),
IF(DAY(R64 + 1) &lt;= (_DPP _Decenal*2),
DATE(YEAR(R64 + 1),MONTH(R64 + 1),(_DPP _Decenal*2)),EOMONTH(R64 + 1,0)))</f>
        <v>43059</v>
      </c>
      <c r="S65" s="30">
        <f>_DPP _Decenal</f>
        <v>10</v>
      </c>
      <c r="U65" s="76">
        <f t="shared" ca="1" si="2"/>
        <v>43994</v>
      </c>
      <c r="V65" s="30">
        <f t="shared" ca="1" si="4"/>
        <v>30</v>
      </c>
    </row>
    <row r="66" spans="1:22" x14ac:dyDescent="0.3">
      <c r="A66" s="12"/>
      <c r="E66" s="98">
        <f t="shared" si="0"/>
        <v>30</v>
      </c>
      <c r="F66" s="583">
        <f ca="1">INDEX(_Datos 66:66,,MATCH(_Búsqueda_Fechas_Pago, _Datos _Headers,0))</f>
        <v>44046</v>
      </c>
      <c r="G66" s="573">
        <f ca="1">INDEX(_Datos 66:66,,MATCH(_Búsqueda_Duración, _Datos _Headers,0))</f>
        <v>30</v>
      </c>
      <c r="I66" s="76">
        <f t="shared" ca="1" si="1"/>
        <v>44046</v>
      </c>
      <c r="J66" s="12">
        <f ca="1">CONST_DIAS_BASE_INTERES + IF(DAY(_Fecha_Pago _Anterior)&gt;=Const_Dia_Corte_Aniversario,MAX(CONST_DIAS_LIMITE-DAY(_Fecha_Pago _Anterior),1))</f>
        <v>30</v>
      </c>
      <c r="L66" s="76">
        <f t="shared" ca="1" si="3"/>
        <v>44043</v>
      </c>
      <c r="M66" s="30">
        <f>_DPP _Mensual_AEN</f>
        <v>30</v>
      </c>
      <c r="N66" s="589"/>
      <c r="O66" s="76">
        <f ca="1">IF(DAY(O65 + 1) &lt;= _DPP _Quincenal,
DATE(YEAR(O65 + 1),MONTH( O65 + 1), _DPP _Quincenal ),
EOMONTH( O65 + 1,0))</f>
        <v>43312</v>
      </c>
      <c r="P66" s="30">
        <f>_DPP _Quincenal</f>
        <v>15</v>
      </c>
      <c r="R66" s="76">
        <f ca="1">IF(DAY(R65 + 1) &lt;= _DPP _Decenal,
DATE(YEAR(R65 + 1),MONTH(R65 + 1),_DPP _Decenal),
IF(DAY(R65 + 1) &lt;= (_DPP _Decenal*2),
DATE(YEAR(R65 + 1),MONTH(R65 + 1),(_DPP _Decenal*2)),EOMONTH(R65 + 1,0)))</f>
        <v>43069</v>
      </c>
      <c r="S66" s="30">
        <f>_DPP _Decenal</f>
        <v>10</v>
      </c>
      <c r="U66" s="76">
        <f t="shared" ca="1" si="2"/>
        <v>44024</v>
      </c>
      <c r="V66" s="30">
        <f t="shared" ca="1" si="4"/>
        <v>30</v>
      </c>
    </row>
    <row r="67" spans="1:22" x14ac:dyDescent="0.3">
      <c r="A67" s="12"/>
      <c r="E67" s="98">
        <f t="shared" si="0"/>
        <v>30</v>
      </c>
      <c r="F67" s="583">
        <f ca="1">INDEX(_Datos 67:67,,MATCH(_Búsqueda_Fechas_Pago, _Datos _Headers,0))</f>
        <v>44077</v>
      </c>
      <c r="G67" s="573">
        <f ca="1">INDEX(_Datos 67:67,,MATCH(_Búsqueda_Duración, _Datos _Headers,0))</f>
        <v>30</v>
      </c>
      <c r="I67" s="76">
        <f t="shared" ca="1" si="1"/>
        <v>44077</v>
      </c>
      <c r="J67" s="12">
        <f ca="1">CONST_DIAS_BASE_INTERES + IF(DAY(_Fecha_Pago _Anterior)&gt;=Const_Dia_Corte_Aniversario,MAX(CONST_DIAS_LIMITE-DAY(_Fecha_Pago _Anterior),1))</f>
        <v>30</v>
      </c>
      <c r="L67" s="76">
        <f t="shared" ca="1" si="3"/>
        <v>44074</v>
      </c>
      <c r="M67" s="30">
        <f>_DPP _Mensual_AEN</f>
        <v>30</v>
      </c>
      <c r="N67" s="589"/>
      <c r="O67" s="76">
        <f ca="1">IF(DAY(O66 + 1) &lt;= _DPP _Quincenal,
DATE(YEAR(O66 + 1),MONTH( O66 + 1), _DPP _Quincenal ),
EOMONTH( O66 + 1,0))</f>
        <v>43327</v>
      </c>
      <c r="P67" s="30">
        <f>_DPP _Quincenal</f>
        <v>15</v>
      </c>
      <c r="R67" s="76">
        <f ca="1">IF(DAY(R66 + 1) &lt;= _DPP _Decenal,
DATE(YEAR(R66 + 1),MONTH(R66 + 1),_DPP _Decenal),
IF(DAY(R66 + 1) &lt;= (_DPP _Decenal*2),
DATE(YEAR(R66 + 1),MONTH(R66 + 1),(_DPP _Decenal*2)),EOMONTH(R66 + 1,0)))</f>
        <v>43079</v>
      </c>
      <c r="S67" s="30">
        <f>_DPP _Decenal</f>
        <v>10</v>
      </c>
      <c r="U67" s="76">
        <f t="shared" ca="1" si="2"/>
        <v>44054</v>
      </c>
      <c r="V67" s="30">
        <f t="shared" ca="1" si="4"/>
        <v>30</v>
      </c>
    </row>
    <row r="68" spans="1:22" x14ac:dyDescent="0.3">
      <c r="A68" s="12"/>
      <c r="E68" s="98">
        <f t="shared" si="0"/>
        <v>30</v>
      </c>
      <c r="F68" s="583">
        <f ca="1">INDEX(_Datos 68:68,,MATCH(_Búsqueda_Fechas_Pago, _Datos _Headers,0))</f>
        <v>44107</v>
      </c>
      <c r="G68" s="573">
        <f ca="1">INDEX(_Datos 68:68,,MATCH(_Búsqueda_Duración, _Datos _Headers,0))</f>
        <v>30</v>
      </c>
      <c r="I68" s="76">
        <f t="shared" ca="1" si="1"/>
        <v>44107</v>
      </c>
      <c r="J68" s="12">
        <f ca="1">CONST_DIAS_BASE_INTERES + IF(DAY(_Fecha_Pago _Anterior)&gt;=Const_Dia_Corte_Aniversario,MAX(CONST_DIAS_LIMITE-DAY(_Fecha_Pago _Anterior),1))</f>
        <v>30</v>
      </c>
      <c r="L68" s="76">
        <f t="shared" ca="1" si="3"/>
        <v>44104</v>
      </c>
      <c r="M68" s="30">
        <f>_DPP _Mensual_AEN</f>
        <v>30</v>
      </c>
      <c r="N68" s="589"/>
      <c r="O68" s="76">
        <f ca="1">IF(DAY(O67 + 1) &lt;= _DPP _Quincenal,
DATE(YEAR(O67 + 1),MONTH( O67 + 1), _DPP _Quincenal ),
EOMONTH( O67 + 1,0))</f>
        <v>43343</v>
      </c>
      <c r="P68" s="30">
        <f>_DPP _Quincenal</f>
        <v>15</v>
      </c>
      <c r="R68" s="76">
        <f ca="1">IF(DAY(R67 + 1) &lt;= _DPP _Decenal,
DATE(YEAR(R67 + 1),MONTH(R67 + 1),_DPP _Decenal),
IF(DAY(R67 + 1) &lt;= (_DPP _Decenal*2),
DATE(YEAR(R67 + 1),MONTH(R67 + 1),(_DPP _Decenal*2)),EOMONTH(R67 + 1,0)))</f>
        <v>43089</v>
      </c>
      <c r="S68" s="30">
        <f>_DPP _Decenal</f>
        <v>10</v>
      </c>
      <c r="U68" s="76">
        <f t="shared" ca="1" si="2"/>
        <v>44084</v>
      </c>
      <c r="V68" s="30">
        <f t="shared" ca="1" si="4"/>
        <v>30</v>
      </c>
    </row>
    <row r="69" spans="1:22" x14ac:dyDescent="0.3">
      <c r="A69" s="12"/>
      <c r="E69" s="98">
        <f t="shared" si="0"/>
        <v>30</v>
      </c>
      <c r="F69" s="583">
        <f ca="1">INDEX(_Datos 69:69,,MATCH(_Búsqueda_Fechas_Pago, _Datos _Headers,0))</f>
        <v>44138</v>
      </c>
      <c r="G69" s="573">
        <f ca="1">INDEX(_Datos 69:69,,MATCH(_Búsqueda_Duración, _Datos _Headers,0))</f>
        <v>30</v>
      </c>
      <c r="I69" s="76">
        <f t="shared" ca="1" si="1"/>
        <v>44138</v>
      </c>
      <c r="J69" s="12">
        <f ca="1">CONST_DIAS_BASE_INTERES + IF(DAY(_Fecha_Pago _Anterior)&gt;=Const_Dia_Corte_Aniversario,MAX(CONST_DIAS_LIMITE-DAY(_Fecha_Pago _Anterior),1))</f>
        <v>30</v>
      </c>
      <c r="L69" s="76">
        <f t="shared" ca="1" si="3"/>
        <v>44135</v>
      </c>
      <c r="M69" s="30">
        <f>_DPP _Mensual_AEN</f>
        <v>30</v>
      </c>
      <c r="N69" s="589"/>
      <c r="O69" s="76">
        <f ca="1">IF(DAY(O68 + 1) &lt;= _DPP _Quincenal,
DATE(YEAR(O68 + 1),MONTH( O68 + 1), _DPP _Quincenal ),
EOMONTH( O68 + 1,0))</f>
        <v>43358</v>
      </c>
      <c r="P69" s="30">
        <f>_DPP _Quincenal</f>
        <v>15</v>
      </c>
      <c r="R69" s="76">
        <f ca="1">IF(DAY(R68 + 1) &lt;= _DPP _Decenal,
DATE(YEAR(R68 + 1),MONTH(R68 + 1),_DPP _Decenal),
IF(DAY(R68 + 1) &lt;= (_DPP _Decenal*2),
DATE(YEAR(R68 + 1),MONTH(R68 + 1),(_DPP _Decenal*2)),EOMONTH(R68 + 1,0)))</f>
        <v>43100</v>
      </c>
      <c r="S69" s="30">
        <f>_DPP _Decenal</f>
        <v>10</v>
      </c>
      <c r="U69" s="76">
        <f t="shared" ca="1" si="2"/>
        <v>44114</v>
      </c>
      <c r="V69" s="30">
        <f t="shared" ca="1" si="4"/>
        <v>30</v>
      </c>
    </row>
    <row r="70" spans="1:22" x14ac:dyDescent="0.3">
      <c r="A70" s="12"/>
      <c r="E70" s="98">
        <f t="shared" si="0"/>
        <v>30</v>
      </c>
      <c r="F70" s="583">
        <f ca="1">INDEX(_Datos 70:70,,MATCH(_Búsqueda_Fechas_Pago, _Datos _Headers,0))</f>
        <v>44168</v>
      </c>
      <c r="G70" s="573">
        <f ca="1">INDEX(_Datos 70:70,,MATCH(_Búsqueda_Duración, _Datos _Headers,0))</f>
        <v>30</v>
      </c>
      <c r="I70" s="76">
        <f t="shared" ca="1" si="1"/>
        <v>44168</v>
      </c>
      <c r="J70" s="12">
        <f ca="1">CONST_DIAS_BASE_INTERES + IF(DAY(_Fecha_Pago _Anterior)&gt;=Const_Dia_Corte_Aniversario,MAX(CONST_DIAS_LIMITE-DAY(_Fecha_Pago _Anterior),1))</f>
        <v>30</v>
      </c>
      <c r="L70" s="76">
        <f t="shared" ca="1" si="3"/>
        <v>44165</v>
      </c>
      <c r="M70" s="30">
        <f>_DPP _Mensual_AEN</f>
        <v>30</v>
      </c>
      <c r="N70" s="589"/>
      <c r="O70" s="76">
        <f ca="1">IF(DAY(O69 + 1) &lt;= _DPP _Quincenal,
DATE(YEAR(O69 + 1),MONTH( O69 + 1), _DPP _Quincenal ),
EOMONTH( O69 + 1,0))</f>
        <v>43373</v>
      </c>
      <c r="P70" s="30">
        <f>_DPP _Quincenal</f>
        <v>15</v>
      </c>
      <c r="R70" s="76">
        <f ca="1">IF(DAY(R69 + 1) &lt;= _DPP _Decenal,
DATE(YEAR(R69 + 1),MONTH(R69 + 1),_DPP _Decenal),
IF(DAY(R69 + 1) &lt;= (_DPP _Decenal*2),
DATE(YEAR(R69 + 1),MONTH(R69 + 1),(_DPP _Decenal*2)),EOMONTH(R69 + 1,0)))</f>
        <v>43110</v>
      </c>
      <c r="S70" s="30">
        <f>_DPP _Decenal</f>
        <v>10</v>
      </c>
      <c r="U70" s="76">
        <f t="shared" ca="1" si="2"/>
        <v>44144</v>
      </c>
      <c r="V70" s="30">
        <f t="shared" ca="1" si="4"/>
        <v>30</v>
      </c>
    </row>
    <row r="71" spans="1:22" x14ac:dyDescent="0.3">
      <c r="A71" s="12"/>
      <c r="E71" s="98">
        <f t="shared" si="0"/>
        <v>30</v>
      </c>
      <c r="F71" s="583">
        <f ca="1">INDEX(_Datos 71:71,,MATCH(_Búsqueda_Fechas_Pago, _Datos _Headers,0))</f>
        <v>44199</v>
      </c>
      <c r="G71" s="573">
        <f ca="1">INDEX(_Datos 71:71,,MATCH(_Búsqueda_Duración, _Datos _Headers,0))</f>
        <v>30</v>
      </c>
      <c r="I71" s="76">
        <f t="shared" ca="1" si="1"/>
        <v>44199</v>
      </c>
      <c r="J71" s="12">
        <f ca="1">CONST_DIAS_BASE_INTERES + IF(DAY(_Fecha_Pago _Anterior)&gt;=Const_Dia_Corte_Aniversario,MAX(CONST_DIAS_LIMITE-DAY(_Fecha_Pago _Anterior),1))</f>
        <v>30</v>
      </c>
      <c r="L71" s="76">
        <f t="shared" ca="1" si="3"/>
        <v>44196</v>
      </c>
      <c r="M71" s="30">
        <f>_DPP _Mensual_AEN</f>
        <v>30</v>
      </c>
      <c r="N71" s="589"/>
      <c r="O71" s="76">
        <f ca="1">IF(DAY(O70 + 1) &lt;= _DPP _Quincenal,
DATE(YEAR(O70 + 1),MONTH( O70 + 1), _DPP _Quincenal ),
EOMONTH( O70 + 1,0))</f>
        <v>43388</v>
      </c>
      <c r="P71" s="30">
        <f>_DPP _Quincenal</f>
        <v>15</v>
      </c>
      <c r="R71" s="76">
        <f ca="1">IF(DAY(R70 + 1) &lt;= _DPP _Decenal,
DATE(YEAR(R70 + 1),MONTH(R70 + 1),_DPP _Decenal),
IF(DAY(R70 + 1) &lt;= (_DPP _Decenal*2),
DATE(YEAR(R70 + 1),MONTH(R70 + 1),(_DPP _Decenal*2)),EOMONTH(R70 + 1,0)))</f>
        <v>43120</v>
      </c>
      <c r="S71" s="30">
        <f>_DPP _Decenal</f>
        <v>10</v>
      </c>
      <c r="U71" s="76">
        <f t="shared" ca="1" si="2"/>
        <v>44174</v>
      </c>
      <c r="V71" s="30">
        <f t="shared" ca="1" si="4"/>
        <v>30</v>
      </c>
    </row>
    <row r="72" spans="1:22" x14ac:dyDescent="0.3">
      <c r="A72" s="12"/>
      <c r="E72" s="98">
        <f t="shared" si="0"/>
        <v>30</v>
      </c>
      <c r="F72" s="583">
        <f ca="1">INDEX(_Datos 72:72,,MATCH(_Búsqueda_Fechas_Pago, _Datos _Headers,0))</f>
        <v>44230</v>
      </c>
      <c r="G72" s="573">
        <f ca="1">INDEX(_Datos 72:72,,MATCH(_Búsqueda_Duración, _Datos _Headers,0))</f>
        <v>30</v>
      </c>
      <c r="I72" s="76">
        <f t="shared" ca="1" si="1"/>
        <v>44230</v>
      </c>
      <c r="J72" s="12">
        <f ca="1">CONST_DIAS_BASE_INTERES + IF(DAY(_Fecha_Pago _Anterior)&gt;=Const_Dia_Corte_Aniversario,MAX(CONST_DIAS_LIMITE-DAY(_Fecha_Pago _Anterior),1))</f>
        <v>30</v>
      </c>
      <c r="L72" s="76">
        <f t="shared" ca="1" si="3"/>
        <v>44227</v>
      </c>
      <c r="M72" s="30">
        <f>_DPP _Mensual_AEN</f>
        <v>30</v>
      </c>
      <c r="N72" s="589"/>
      <c r="O72" s="76">
        <f ca="1">IF(DAY(O71 + 1) &lt;= _DPP _Quincenal,
DATE(YEAR(O71 + 1),MONTH( O71 + 1), _DPP _Quincenal ),
EOMONTH( O71 + 1,0))</f>
        <v>43404</v>
      </c>
      <c r="P72" s="30">
        <f>_DPP _Quincenal</f>
        <v>15</v>
      </c>
      <c r="R72" s="76">
        <f ca="1">IF(DAY(R71 + 1) &lt;= _DPP _Decenal,
DATE(YEAR(R71 + 1),MONTH(R71 + 1),_DPP _Decenal),
IF(DAY(R71 + 1) &lt;= (_DPP _Decenal*2),
DATE(YEAR(R71 + 1),MONTH(R71 + 1),(_DPP _Decenal*2)),EOMONTH(R71 + 1,0)))</f>
        <v>43131</v>
      </c>
      <c r="S72" s="30">
        <f>_DPP _Decenal</f>
        <v>10</v>
      </c>
      <c r="U72" s="76">
        <f t="shared" ca="1" si="2"/>
        <v>44204</v>
      </c>
      <c r="V72" s="30">
        <f t="shared" ca="1" si="4"/>
        <v>30</v>
      </c>
    </row>
    <row r="73" spans="1:22" x14ac:dyDescent="0.3">
      <c r="A73" s="12"/>
      <c r="E73" s="98">
        <f t="shared" si="0"/>
        <v>30</v>
      </c>
      <c r="F73" s="583">
        <f ca="1">INDEX(_Datos 73:73,,MATCH(_Búsqueda_Fechas_Pago, _Datos _Headers,0))</f>
        <v>44258</v>
      </c>
      <c r="G73" s="573">
        <f ca="1">INDEX(_Datos 73:73,,MATCH(_Búsqueda_Duración, _Datos _Headers,0))</f>
        <v>30</v>
      </c>
      <c r="I73" s="76">
        <f t="shared" ca="1" si="1"/>
        <v>44258</v>
      </c>
      <c r="J73" s="12">
        <f ca="1">CONST_DIAS_BASE_INTERES + IF(DAY(_Fecha_Pago _Anterior)&gt;=Const_Dia_Corte_Aniversario,MAX(CONST_DIAS_LIMITE-DAY(_Fecha_Pago _Anterior),1))</f>
        <v>30</v>
      </c>
      <c r="L73" s="76">
        <f t="shared" ca="1" si="3"/>
        <v>44255</v>
      </c>
      <c r="M73" s="30">
        <f>_DPP _Mensual_AEN</f>
        <v>30</v>
      </c>
      <c r="N73" s="589"/>
      <c r="O73" s="76">
        <f ca="1">IF(DAY(O72 + 1) &lt;= _DPP _Quincenal,
DATE(YEAR(O72 + 1),MONTH( O72 + 1), _DPP _Quincenal ),
EOMONTH( O72 + 1,0))</f>
        <v>43419</v>
      </c>
      <c r="P73" s="30">
        <f>_DPP _Quincenal</f>
        <v>15</v>
      </c>
      <c r="R73" s="76">
        <f ca="1">IF(DAY(R72 + 1) &lt;= _DPP _Decenal,
DATE(YEAR(R72 + 1),MONTH(R72 + 1),_DPP _Decenal),
IF(DAY(R72 + 1) &lt;= (_DPP _Decenal*2),
DATE(YEAR(R72 + 1),MONTH(R72 + 1),(_DPP _Decenal*2)),EOMONTH(R72 + 1,0)))</f>
        <v>43141</v>
      </c>
      <c r="S73" s="30">
        <f>_DPP _Decenal</f>
        <v>10</v>
      </c>
      <c r="U73" s="76">
        <f t="shared" ca="1" si="2"/>
        <v>44234</v>
      </c>
      <c r="V73" s="30">
        <f t="shared" ca="1" si="4"/>
        <v>30</v>
      </c>
    </row>
    <row r="74" spans="1:22" x14ac:dyDescent="0.3">
      <c r="A74" s="12"/>
      <c r="E74" s="98">
        <f t="shared" si="0"/>
        <v>30</v>
      </c>
      <c r="F74" s="583">
        <f ca="1">INDEX(_Datos 74:74,,MATCH(_Búsqueda_Fechas_Pago, _Datos _Headers,0))</f>
        <v>44289</v>
      </c>
      <c r="G74" s="573">
        <f ca="1">INDEX(_Datos 74:74,,MATCH(_Búsqueda_Duración, _Datos _Headers,0))</f>
        <v>30</v>
      </c>
      <c r="I74" s="76">
        <f t="shared" ca="1" si="1"/>
        <v>44289</v>
      </c>
      <c r="J74" s="12">
        <f ca="1">CONST_DIAS_BASE_INTERES + IF(DAY(_Fecha_Pago _Anterior)&gt;=Const_Dia_Corte_Aniversario,MAX(CONST_DIAS_LIMITE-DAY(_Fecha_Pago _Anterior),1))</f>
        <v>30</v>
      </c>
      <c r="L74" s="76">
        <f t="shared" ca="1" si="3"/>
        <v>44286</v>
      </c>
      <c r="M74" s="30">
        <f>_DPP _Mensual_AEN</f>
        <v>30</v>
      </c>
      <c r="N74" s="589"/>
      <c r="O74" s="76">
        <f ca="1">IF(DAY(O73 + 1) &lt;= _DPP _Quincenal,
DATE(YEAR(O73 + 1),MONTH( O73 + 1), _DPP _Quincenal ),
EOMONTH( O73 + 1,0))</f>
        <v>43434</v>
      </c>
      <c r="P74" s="30">
        <f>_DPP _Quincenal</f>
        <v>15</v>
      </c>
      <c r="R74" s="76">
        <f ca="1">IF(DAY(R73 + 1) &lt;= _DPP _Decenal,
DATE(YEAR(R73 + 1),MONTH(R73 + 1),_DPP _Decenal),
IF(DAY(R73 + 1) &lt;= (_DPP _Decenal*2),
DATE(YEAR(R73 + 1),MONTH(R73 + 1),(_DPP _Decenal*2)),EOMONTH(R73 + 1,0)))</f>
        <v>43151</v>
      </c>
      <c r="S74" s="30">
        <f>_DPP _Decenal</f>
        <v>10</v>
      </c>
      <c r="U74" s="76">
        <f t="shared" ca="1" si="2"/>
        <v>44264</v>
      </c>
      <c r="V74" s="30">
        <f t="shared" ca="1" si="4"/>
        <v>30</v>
      </c>
    </row>
    <row r="75" spans="1:22" x14ac:dyDescent="0.3">
      <c r="A75" s="12"/>
      <c r="E75" s="98">
        <f t="shared" si="0"/>
        <v>30</v>
      </c>
      <c r="F75" s="583">
        <f ca="1">INDEX(_Datos 75:75,,MATCH(_Búsqueda_Fechas_Pago, _Datos _Headers,0))</f>
        <v>44319</v>
      </c>
      <c r="G75" s="573">
        <f ca="1">INDEX(_Datos 75:75,,MATCH(_Búsqueda_Duración, _Datos _Headers,0))</f>
        <v>30</v>
      </c>
      <c r="I75" s="76">
        <f t="shared" ca="1" si="1"/>
        <v>44319</v>
      </c>
      <c r="J75" s="12">
        <f ca="1">CONST_DIAS_BASE_INTERES + IF(DAY(_Fecha_Pago _Anterior)&gt;=Const_Dia_Corte_Aniversario,MAX(CONST_DIAS_LIMITE-DAY(_Fecha_Pago _Anterior),1))</f>
        <v>30</v>
      </c>
      <c r="L75" s="76">
        <f t="shared" ca="1" si="3"/>
        <v>44316</v>
      </c>
      <c r="M75" s="30">
        <f>_DPP _Mensual_AEN</f>
        <v>30</v>
      </c>
      <c r="N75" s="589"/>
      <c r="O75" s="76">
        <f ca="1">IF(DAY(O74 + 1) &lt;= _DPP _Quincenal,
DATE(YEAR(O74 + 1),MONTH( O74 + 1), _DPP _Quincenal ),
EOMONTH( O74 + 1,0))</f>
        <v>43449</v>
      </c>
      <c r="P75" s="30">
        <f>_DPP _Quincenal</f>
        <v>15</v>
      </c>
      <c r="R75" s="76">
        <f ca="1">IF(DAY(R74 + 1) &lt;= _DPP _Decenal,
DATE(YEAR(R74 + 1),MONTH(R74 + 1),_DPP _Decenal),
IF(DAY(R74 + 1) &lt;= (_DPP _Decenal*2),
DATE(YEAR(R74 + 1),MONTH(R74 + 1),(_DPP _Decenal*2)),EOMONTH(R74 + 1,0)))</f>
        <v>43159</v>
      </c>
      <c r="S75" s="30">
        <f>_DPP _Decenal</f>
        <v>10</v>
      </c>
      <c r="U75" s="76">
        <f t="shared" ca="1" si="2"/>
        <v>44294</v>
      </c>
      <c r="V75" s="30">
        <f t="shared" ca="1" si="4"/>
        <v>30</v>
      </c>
    </row>
    <row r="76" spans="1:22" x14ac:dyDescent="0.3">
      <c r="A76" s="12"/>
      <c r="E76" s="98">
        <f t="shared" si="0"/>
        <v>30</v>
      </c>
      <c r="F76" s="583">
        <f ca="1">INDEX(_Datos 76:76,,MATCH(_Búsqueda_Fechas_Pago, _Datos _Headers,0))</f>
        <v>44350</v>
      </c>
      <c r="G76" s="573">
        <f ca="1">INDEX(_Datos 76:76,,MATCH(_Búsqueda_Duración, _Datos _Headers,0))</f>
        <v>30</v>
      </c>
      <c r="I76" s="76">
        <f t="shared" ca="1" si="1"/>
        <v>44350</v>
      </c>
      <c r="J76" s="12">
        <f ca="1">CONST_DIAS_BASE_INTERES + IF(DAY(_Fecha_Pago _Anterior)&gt;=Const_Dia_Corte_Aniversario,MAX(CONST_DIAS_LIMITE-DAY(_Fecha_Pago _Anterior),1))</f>
        <v>30</v>
      </c>
      <c r="L76" s="76">
        <f t="shared" ca="1" si="3"/>
        <v>44347</v>
      </c>
      <c r="M76" s="30">
        <f>_DPP _Mensual_AEN</f>
        <v>30</v>
      </c>
      <c r="N76" s="589"/>
      <c r="O76" s="76">
        <f ca="1">IF(DAY(O75 + 1) &lt;= _DPP _Quincenal,
DATE(YEAR(O75 + 1),MONTH( O75 + 1), _DPP _Quincenal ),
EOMONTH( O75 + 1,0))</f>
        <v>43465</v>
      </c>
      <c r="P76" s="30">
        <f>_DPP _Quincenal</f>
        <v>15</v>
      </c>
      <c r="R76" s="76">
        <f ca="1">IF(DAY(R75 + 1) &lt;= _DPP _Decenal,
DATE(YEAR(R75 + 1),MONTH(R75 + 1),_DPP _Decenal),
IF(DAY(R75 + 1) &lt;= (_DPP _Decenal*2),
DATE(YEAR(R75 + 1),MONTH(R75 + 1),(_DPP _Decenal*2)),EOMONTH(R75 + 1,0)))</f>
        <v>43169</v>
      </c>
      <c r="S76" s="30">
        <f>_DPP _Decenal</f>
        <v>10</v>
      </c>
      <c r="U76" s="76">
        <f t="shared" ca="1" si="2"/>
        <v>44324</v>
      </c>
      <c r="V76" s="30">
        <f t="shared" ca="1" si="4"/>
        <v>30</v>
      </c>
    </row>
    <row r="77" spans="1:22" x14ac:dyDescent="0.3">
      <c r="A77" s="12"/>
      <c r="E77" s="98">
        <f t="shared" si="0"/>
        <v>30</v>
      </c>
      <c r="F77" s="583">
        <f ca="1">INDEX(_Datos 77:77,,MATCH(_Búsqueda_Fechas_Pago, _Datos _Headers,0))</f>
        <v>44380</v>
      </c>
      <c r="G77" s="573">
        <f ca="1">INDEX(_Datos 77:77,,MATCH(_Búsqueda_Duración, _Datos _Headers,0))</f>
        <v>30</v>
      </c>
      <c r="I77" s="76">
        <f t="shared" ca="1" si="1"/>
        <v>44380</v>
      </c>
      <c r="J77" s="12">
        <f ca="1">CONST_DIAS_BASE_INTERES + IF(DAY(_Fecha_Pago _Anterior)&gt;=Const_Dia_Corte_Aniversario,MAX(CONST_DIAS_LIMITE-DAY(_Fecha_Pago _Anterior),1))</f>
        <v>30</v>
      </c>
      <c r="L77" s="76">
        <f t="shared" ca="1" si="3"/>
        <v>44377</v>
      </c>
      <c r="M77" s="30">
        <f>_DPP _Mensual_AEN</f>
        <v>30</v>
      </c>
      <c r="N77" s="589"/>
      <c r="O77" s="76">
        <f ca="1">IF(DAY(O76 + 1) &lt;= _DPP _Quincenal,
DATE(YEAR(O76 + 1),MONTH( O76 + 1), _DPP _Quincenal ),
EOMONTH( O76 + 1,0))</f>
        <v>43480</v>
      </c>
      <c r="P77" s="30">
        <f>_DPP _Quincenal</f>
        <v>15</v>
      </c>
      <c r="R77" s="76">
        <f ca="1">IF(DAY(R76 + 1) &lt;= _DPP _Decenal,
DATE(YEAR(R76 + 1),MONTH(R76 + 1),_DPP _Decenal),
IF(DAY(R76 + 1) &lt;= (_DPP _Decenal*2),
DATE(YEAR(R76 + 1),MONTH(R76 + 1),(_DPP _Decenal*2)),EOMONTH(R76 + 1,0)))</f>
        <v>43179</v>
      </c>
      <c r="S77" s="30">
        <f>_DPP _Decenal</f>
        <v>10</v>
      </c>
      <c r="U77" s="76">
        <f t="shared" ca="1" si="2"/>
        <v>44354</v>
      </c>
      <c r="V77" s="30">
        <f t="shared" ca="1" si="4"/>
        <v>30</v>
      </c>
    </row>
    <row r="78" spans="1:22" x14ac:dyDescent="0.3">
      <c r="A78" s="12"/>
      <c r="E78" s="98">
        <f t="shared" si="0"/>
        <v>30</v>
      </c>
      <c r="F78" s="583">
        <f ca="1">INDEX(_Datos 78:78,,MATCH(_Búsqueda_Fechas_Pago, _Datos _Headers,0))</f>
        <v>44411</v>
      </c>
      <c r="G78" s="619">
        <f ca="1">INDEX(_Datos 78:78,,MATCH(_Búsqueda_Duración, _Datos _Headers,0))</f>
        <v>30</v>
      </c>
      <c r="H78" s="618"/>
      <c r="I78" s="76">
        <f t="shared" ca="1" si="1"/>
        <v>44411</v>
      </c>
      <c r="J78" s="619">
        <f ca="1">CONST_DIAS_BASE_INTERES + IF(DAY(_Fecha_Pago _Anterior)&gt;=Const_Dia_Corte_Aniversario,MAX(CONST_DIAS_LIMITE-DAY(_Fecha_Pago _Anterior),1))</f>
        <v>30</v>
      </c>
      <c r="K78" s="618"/>
      <c r="L78" s="76">
        <f t="shared" ca="1" si="3"/>
        <v>44408</v>
      </c>
      <c r="M78" s="30">
        <f>_DPP _Mensual_AEN</f>
        <v>30</v>
      </c>
      <c r="N78" s="618"/>
      <c r="O78" s="76">
        <f ca="1">IF(DAY(O77 + 1) &lt;= _DPP _Quincenal,
DATE(YEAR(O77 + 1),MONTH( O77 + 1), _DPP _Quincenal ),
EOMONTH( O77 + 1,0))</f>
        <v>43496</v>
      </c>
      <c r="P78" s="30">
        <f>_DPP _Quincenal</f>
        <v>15</v>
      </c>
      <c r="Q78" s="618"/>
      <c r="R78" s="76">
        <f ca="1">IF(DAY(R77 + 1) &lt;= _DPP _Decenal,
DATE(YEAR(R77 + 1),MONTH(R77 + 1),_DPP _Decenal),
IF(DAY(R77 + 1) &lt;= (_DPP _Decenal*2),
DATE(YEAR(R77 + 1),MONTH(R77 + 1),(_DPP _Decenal*2)),EOMONTH(R77 + 1,0)))</f>
        <v>43190</v>
      </c>
      <c r="S78" s="30">
        <f>_DPP _Decenal</f>
        <v>10</v>
      </c>
      <c r="T78" s="618"/>
      <c r="U78" s="76">
        <f t="shared" ca="1" si="2"/>
        <v>44384</v>
      </c>
      <c r="V78" s="30">
        <f t="shared" ca="1" si="4"/>
        <v>30</v>
      </c>
    </row>
    <row r="79" spans="1:22" x14ac:dyDescent="0.3">
      <c r="A79" s="12"/>
      <c r="E79" s="98">
        <f t="shared" si="0"/>
        <v>30</v>
      </c>
      <c r="F79" s="583">
        <f ca="1">INDEX(_Datos 79:79,,MATCH(_Búsqueda_Fechas_Pago, _Datos _Headers,0))</f>
        <v>44442</v>
      </c>
      <c r="G79" s="619">
        <f ca="1">INDEX(_Datos 79:79,,MATCH(_Búsqueda_Duración, _Datos _Headers,0))</f>
        <v>30</v>
      </c>
      <c r="H79" s="618"/>
      <c r="I79" s="76">
        <f t="shared" ca="1" si="1"/>
        <v>44442</v>
      </c>
      <c r="J79" s="619">
        <f ca="1">CONST_DIAS_BASE_INTERES + IF(DAY(_Fecha_Pago _Anterior)&gt;=Const_Dia_Corte_Aniversario,MAX(CONST_DIAS_LIMITE-DAY(_Fecha_Pago _Anterior),1))</f>
        <v>30</v>
      </c>
      <c r="K79" s="618"/>
      <c r="L79" s="76">
        <f t="shared" ca="1" si="3"/>
        <v>44439</v>
      </c>
      <c r="M79" s="30">
        <f>_DPP _Mensual_AEN</f>
        <v>30</v>
      </c>
      <c r="N79" s="618"/>
      <c r="O79" s="76">
        <f ca="1">IF(DAY(O78 + 1) &lt;= _DPP _Quincenal,
DATE(YEAR(O78 + 1),MONTH( O78 + 1), _DPP _Quincenal ),
EOMONTH( O78 + 1,0))</f>
        <v>43511</v>
      </c>
      <c r="P79" s="30">
        <f>_DPP _Quincenal</f>
        <v>15</v>
      </c>
      <c r="Q79" s="618"/>
      <c r="R79" s="76">
        <f ca="1">IF(DAY(R78 + 1) &lt;= _DPP _Decenal,
DATE(YEAR(R78 + 1),MONTH(R78 + 1),_DPP _Decenal),
IF(DAY(R78 + 1) &lt;= (_DPP _Decenal*2),
DATE(YEAR(R78 + 1),MONTH(R78 + 1),(_DPP _Decenal*2)),EOMONTH(R78 + 1,0)))</f>
        <v>43200</v>
      </c>
      <c r="S79" s="30">
        <f>_DPP _Decenal</f>
        <v>10</v>
      </c>
      <c r="T79" s="618"/>
      <c r="U79" s="76">
        <f t="shared" ca="1" si="2"/>
        <v>44414</v>
      </c>
      <c r="V79" s="30">
        <f t="shared" ca="1" si="4"/>
        <v>30</v>
      </c>
    </row>
    <row r="80" spans="1:22" x14ac:dyDescent="0.3">
      <c r="A80" s="12"/>
      <c r="E80" s="98">
        <f t="shared" si="0"/>
        <v>30</v>
      </c>
      <c r="F80" s="583">
        <f ca="1">INDEX(_Datos 80:80,,MATCH(_Búsqueda_Fechas_Pago, _Datos _Headers,0))</f>
        <v>44472</v>
      </c>
      <c r="G80" s="619">
        <f ca="1">INDEX(_Datos 80:80,,MATCH(_Búsqueda_Duración, _Datos _Headers,0))</f>
        <v>30</v>
      </c>
      <c r="H80" s="618"/>
      <c r="I80" s="76">
        <f t="shared" ca="1" si="1"/>
        <v>44472</v>
      </c>
      <c r="J80" s="619">
        <f ca="1">CONST_DIAS_BASE_INTERES + IF(DAY(_Fecha_Pago _Anterior)&gt;=Const_Dia_Corte_Aniversario,MAX(CONST_DIAS_LIMITE-DAY(_Fecha_Pago _Anterior),1))</f>
        <v>30</v>
      </c>
      <c r="K80" s="618"/>
      <c r="L80" s="76">
        <f t="shared" ca="1" si="3"/>
        <v>44469</v>
      </c>
      <c r="M80" s="30">
        <f>_DPP _Mensual_AEN</f>
        <v>30</v>
      </c>
      <c r="N80" s="618"/>
      <c r="O80" s="76">
        <f ca="1">IF(DAY(O79 + 1) &lt;= _DPP _Quincenal,
DATE(YEAR(O79 + 1),MONTH( O79 + 1), _DPP _Quincenal ),
EOMONTH( O79 + 1,0))</f>
        <v>43524</v>
      </c>
      <c r="P80" s="30">
        <f>_DPP _Quincenal</f>
        <v>15</v>
      </c>
      <c r="Q80" s="618"/>
      <c r="R80" s="76">
        <f ca="1">IF(DAY(R79 + 1) &lt;= _DPP _Decenal,
DATE(YEAR(R79 + 1),MONTH(R79 + 1),_DPP _Decenal),
IF(DAY(R79 + 1) &lt;= (_DPP _Decenal*2),
DATE(YEAR(R79 + 1),MONTH(R79 + 1),(_DPP _Decenal*2)),EOMONTH(R79 + 1,0)))</f>
        <v>43210</v>
      </c>
      <c r="S80" s="30">
        <f>_DPP _Decenal</f>
        <v>10</v>
      </c>
      <c r="T80" s="618"/>
      <c r="U80" s="76">
        <f t="shared" ca="1" si="2"/>
        <v>44444</v>
      </c>
      <c r="V80" s="30">
        <f t="shared" ca="1" si="4"/>
        <v>30</v>
      </c>
    </row>
    <row r="81" spans="1:22" x14ac:dyDescent="0.3">
      <c r="A81" s="12"/>
      <c r="E81" s="98">
        <f t="shared" si="0"/>
        <v>30</v>
      </c>
      <c r="F81" s="583">
        <f ca="1">INDEX(_Datos 81:81,,MATCH(_Búsqueda_Fechas_Pago, _Datos _Headers,0))</f>
        <v>44503</v>
      </c>
      <c r="G81" s="619">
        <f ca="1">INDEX(_Datos 81:81,,MATCH(_Búsqueda_Duración, _Datos _Headers,0))</f>
        <v>30</v>
      </c>
      <c r="H81" s="618"/>
      <c r="I81" s="76">
        <f t="shared" ca="1" si="1"/>
        <v>44503</v>
      </c>
      <c r="J81" s="619">
        <f ca="1">CONST_DIAS_BASE_INTERES + IF(DAY(_Fecha_Pago _Anterior)&gt;=Const_Dia_Corte_Aniversario,MAX(CONST_DIAS_LIMITE-DAY(_Fecha_Pago _Anterior),1))</f>
        <v>30</v>
      </c>
      <c r="K81" s="618"/>
      <c r="L81" s="76">
        <f t="shared" ca="1" si="3"/>
        <v>44500</v>
      </c>
      <c r="M81" s="30">
        <f>_DPP _Mensual_AEN</f>
        <v>30</v>
      </c>
      <c r="N81" s="618"/>
      <c r="O81" s="76">
        <f ca="1">IF(DAY(O80 + 1) &lt;= _DPP _Quincenal,
DATE(YEAR(O80 + 1),MONTH( O80 + 1), _DPP _Quincenal ),
EOMONTH( O80 + 1,0))</f>
        <v>43539</v>
      </c>
      <c r="P81" s="30">
        <f>_DPP _Quincenal</f>
        <v>15</v>
      </c>
      <c r="Q81" s="618"/>
      <c r="R81" s="76">
        <f ca="1">IF(DAY(R80 + 1) &lt;= _DPP _Decenal,
DATE(YEAR(R80 + 1),MONTH(R80 + 1),_DPP _Decenal),
IF(DAY(R80 + 1) &lt;= (_DPP _Decenal*2),
DATE(YEAR(R80 + 1),MONTH(R80 + 1),(_DPP _Decenal*2)),EOMONTH(R80 + 1,0)))</f>
        <v>43220</v>
      </c>
      <c r="S81" s="30">
        <f>_DPP _Decenal</f>
        <v>10</v>
      </c>
      <c r="T81" s="618"/>
      <c r="U81" s="76">
        <f t="shared" ca="1" si="2"/>
        <v>44474</v>
      </c>
      <c r="V81" s="30">
        <f t="shared" ca="1" si="4"/>
        <v>30</v>
      </c>
    </row>
    <row r="82" spans="1:22" x14ac:dyDescent="0.3">
      <c r="A82" s="12"/>
      <c r="E82" s="98">
        <f t="shared" si="0"/>
        <v>30</v>
      </c>
      <c r="F82" s="583">
        <f ca="1">INDEX(_Datos 82:82,,MATCH(_Búsqueda_Fechas_Pago, _Datos _Headers,0))</f>
        <v>44533</v>
      </c>
      <c r="G82" s="619">
        <f ca="1">INDEX(_Datos 82:82,,MATCH(_Búsqueda_Duración, _Datos _Headers,0))</f>
        <v>30</v>
      </c>
      <c r="H82" s="618"/>
      <c r="I82" s="76">
        <f t="shared" ca="1" si="1"/>
        <v>44533</v>
      </c>
      <c r="J82" s="619">
        <f ca="1">CONST_DIAS_BASE_INTERES + IF(DAY(_Fecha_Pago _Anterior)&gt;=Const_Dia_Corte_Aniversario,MAX(CONST_DIAS_LIMITE-DAY(_Fecha_Pago _Anterior),1))</f>
        <v>30</v>
      </c>
      <c r="K82" s="618"/>
      <c r="L82" s="76">
        <f t="shared" ca="1" si="3"/>
        <v>44530</v>
      </c>
      <c r="M82" s="30">
        <f>_DPP _Mensual_AEN</f>
        <v>30</v>
      </c>
      <c r="N82" s="618"/>
      <c r="O82" s="76">
        <f ca="1">IF(DAY(O81 + 1) &lt;= _DPP _Quincenal,
DATE(YEAR(O81 + 1),MONTH( O81 + 1), _DPP _Quincenal ),
EOMONTH( O81 + 1,0))</f>
        <v>43555</v>
      </c>
      <c r="P82" s="30">
        <f>_DPP _Quincenal</f>
        <v>15</v>
      </c>
      <c r="Q82" s="618"/>
      <c r="R82" s="76">
        <f ca="1">IF(DAY(R81 + 1) &lt;= _DPP _Decenal,
DATE(YEAR(R81 + 1),MONTH(R81 + 1),_DPP _Decenal),
IF(DAY(R81 + 1) &lt;= (_DPP _Decenal*2),
DATE(YEAR(R81 + 1),MONTH(R81 + 1),(_DPP _Decenal*2)),EOMONTH(R81 + 1,0)))</f>
        <v>43230</v>
      </c>
      <c r="S82" s="30">
        <f>_DPP _Decenal</f>
        <v>10</v>
      </c>
      <c r="T82" s="618"/>
      <c r="U82" s="76">
        <f t="shared" ca="1" si="2"/>
        <v>44504</v>
      </c>
      <c r="V82" s="30">
        <f t="shared" ca="1" si="4"/>
        <v>30</v>
      </c>
    </row>
    <row r="83" spans="1:22" x14ac:dyDescent="0.3">
      <c r="E83" s="98">
        <f t="shared" ref="E83:E146" si="5">_Días_por_Periodo</f>
        <v>30</v>
      </c>
      <c r="F83" s="583">
        <f ca="1">INDEX(_Datos 83:83,,MATCH(_Búsqueda_Fechas_Pago, _Datos _Headers,0))</f>
        <v>44564</v>
      </c>
      <c r="G83" s="619">
        <f ca="1">INDEX(_Datos 83:83,,MATCH(_Búsqueda_Duración, _Datos _Headers,0))</f>
        <v>30</v>
      </c>
      <c r="H83" s="618"/>
      <c r="I83" s="76">
        <f t="shared" ca="1" si="1"/>
        <v>44564</v>
      </c>
      <c r="J83" s="619">
        <f ca="1">CONST_DIAS_BASE_INTERES + IF(DAY(_Fecha_Pago _Anterior)&gt;=Const_Dia_Corte_Aniversario,MAX(CONST_DIAS_LIMITE-DAY(_Fecha_Pago _Anterior),1))</f>
        <v>30</v>
      </c>
      <c r="K83" s="618"/>
      <c r="L83" s="76">
        <f t="shared" ca="1" si="3"/>
        <v>44561</v>
      </c>
      <c r="M83" s="30">
        <f>_DPP _Mensual_AEN</f>
        <v>30</v>
      </c>
      <c r="N83" s="618"/>
      <c r="O83" s="76">
        <f ca="1">IF(DAY(O82 + 1) &lt;= _DPP _Quincenal,
DATE(YEAR(O82 + 1),MONTH( O82 + 1), _DPP _Quincenal ),
EOMONTH( O82 + 1,0))</f>
        <v>43570</v>
      </c>
      <c r="P83" s="30">
        <f>_DPP _Quincenal</f>
        <v>15</v>
      </c>
      <c r="Q83" s="618"/>
      <c r="R83" s="76">
        <f ca="1">IF(DAY(R82 + 1) &lt;= _DPP _Decenal,
DATE(YEAR(R82 + 1),MONTH(R82 + 1),_DPP _Decenal),
IF(DAY(R82 + 1) &lt;= (_DPP _Decenal*2),
DATE(YEAR(R82 + 1),MONTH(R82 + 1),(_DPP _Decenal*2)),EOMONTH(R82 + 1,0)))</f>
        <v>43240</v>
      </c>
      <c r="S83" s="30">
        <f>_DPP _Decenal</f>
        <v>10</v>
      </c>
      <c r="T83" s="618"/>
      <c r="U83" s="76">
        <f t="shared" ca="1" si="2"/>
        <v>44534</v>
      </c>
      <c r="V83" s="30">
        <f t="shared" ca="1" si="4"/>
        <v>30</v>
      </c>
    </row>
    <row r="84" spans="1:22" x14ac:dyDescent="0.3">
      <c r="E84" s="98">
        <f t="shared" si="5"/>
        <v>30</v>
      </c>
      <c r="F84" s="583">
        <f ca="1">INDEX(_Datos 84:84,,MATCH(_Búsqueda_Fechas_Pago, _Datos _Headers,0))</f>
        <v>44595</v>
      </c>
      <c r="G84" s="619">
        <f ca="1">INDEX(_Datos 84:84,,MATCH(_Búsqueda_Duración, _Datos _Headers,0))</f>
        <v>30</v>
      </c>
      <c r="H84" s="618"/>
      <c r="I84" s="76">
        <f t="shared" ref="I84:I147" ca="1" si="6">IF(DAY(I83)&gt;=Const_Dia_Corte_Aniversario,EOMONTH(I83,1)+1,EOMONTH(I83,0)+DAY(I83))</f>
        <v>44595</v>
      </c>
      <c r="J84" s="619">
        <f ca="1">CONST_DIAS_BASE_INTERES + IF(DAY(_Fecha_Pago _Anterior)&gt;=Const_Dia_Corte_Aniversario,MAX(CONST_DIAS_LIMITE-DAY(_Fecha_Pago _Anterior),1))</f>
        <v>30</v>
      </c>
      <c r="K84" s="618"/>
      <c r="L84" s="76">
        <f t="shared" ca="1" si="3"/>
        <v>44592</v>
      </c>
      <c r="M84" s="30">
        <f>_DPP _Mensual_AEN</f>
        <v>30</v>
      </c>
      <c r="N84" s="618"/>
      <c r="O84" s="76">
        <f ca="1">IF(DAY(O83 + 1) &lt;= _DPP _Quincenal,
DATE(YEAR(O83 + 1),MONTH( O83 + 1), _DPP _Quincenal ),
EOMONTH( O83 + 1,0))</f>
        <v>43585</v>
      </c>
      <c r="P84" s="30">
        <f>_DPP _Quincenal</f>
        <v>15</v>
      </c>
      <c r="Q84" s="618"/>
      <c r="R84" s="76">
        <f ca="1">IF(DAY(R83 + 1) &lt;= _DPP _Decenal,
DATE(YEAR(R83 + 1),MONTH(R83 + 1),_DPP _Decenal),
IF(DAY(R83 + 1) &lt;= (_DPP _Decenal*2),
DATE(YEAR(R83 + 1),MONTH(R83 + 1),(_DPP _Decenal*2)),EOMONTH(R83 + 1,0)))</f>
        <v>43251</v>
      </c>
      <c r="S84" s="30">
        <f>_DPP _Decenal</f>
        <v>10</v>
      </c>
      <c r="T84" s="618"/>
      <c r="U84" s="76">
        <f t="shared" ref="U84:U147" ca="1" si="7">U83 + _Días_por_Periodo</f>
        <v>44564</v>
      </c>
      <c r="V84" s="30">
        <f t="shared" ca="1" si="4"/>
        <v>30</v>
      </c>
    </row>
    <row r="85" spans="1:22" x14ac:dyDescent="0.3">
      <c r="E85" s="98">
        <f t="shared" si="5"/>
        <v>30</v>
      </c>
      <c r="F85" s="583">
        <f ca="1">INDEX(_Datos 85:85,,MATCH(_Búsqueda_Fechas_Pago, _Datos _Headers,0))</f>
        <v>44623</v>
      </c>
      <c r="G85" s="619">
        <f ca="1">INDEX(_Datos 85:85,,MATCH(_Búsqueda_Duración, _Datos _Headers,0))</f>
        <v>30</v>
      </c>
      <c r="H85" s="618"/>
      <c r="I85" s="76">
        <f t="shared" ca="1" si="6"/>
        <v>44623</v>
      </c>
      <c r="J85" s="619">
        <f ca="1">CONST_DIAS_BASE_INTERES + IF(DAY(_Fecha_Pago _Anterior)&gt;=Const_Dia_Corte_Aniversario,MAX(CONST_DIAS_LIMITE-DAY(_Fecha_Pago _Anterior),1))</f>
        <v>30</v>
      </c>
      <c r="K85" s="618"/>
      <c r="L85" s="76">
        <f t="shared" ref="L85:L148" ca="1" si="8">EOMONTH(L84 + 1,0)</f>
        <v>44620</v>
      </c>
      <c r="M85" s="30">
        <f>_DPP _Mensual_AEN</f>
        <v>30</v>
      </c>
      <c r="N85" s="618"/>
      <c r="O85" s="76">
        <f ca="1">IF(DAY(O84 + 1) &lt;= _DPP _Quincenal,
DATE(YEAR(O84 + 1),MONTH( O84 + 1), _DPP _Quincenal ),
EOMONTH( O84 + 1,0))</f>
        <v>43600</v>
      </c>
      <c r="P85" s="30">
        <f>_DPP _Quincenal</f>
        <v>15</v>
      </c>
      <c r="Q85" s="618"/>
      <c r="R85" s="76">
        <f ca="1">IF(DAY(R84 + 1) &lt;= _DPP _Decenal,
DATE(YEAR(R84 + 1),MONTH(R84 + 1),_DPP _Decenal),
IF(DAY(R84 + 1) &lt;= (_DPP _Decenal*2),
DATE(YEAR(R84 + 1),MONTH(R84 + 1),(_DPP _Decenal*2)),EOMONTH(R84 + 1,0)))</f>
        <v>43261</v>
      </c>
      <c r="S85" s="30">
        <f>_DPP _Decenal</f>
        <v>10</v>
      </c>
      <c r="T85" s="618"/>
      <c r="U85" s="76">
        <f t="shared" ca="1" si="7"/>
        <v>44594</v>
      </c>
      <c r="V85" s="30">
        <f t="shared" ref="V85:V148" ca="1" si="9">U85 - U84</f>
        <v>30</v>
      </c>
    </row>
    <row r="86" spans="1:22" x14ac:dyDescent="0.3">
      <c r="E86" s="98">
        <f t="shared" si="5"/>
        <v>30</v>
      </c>
      <c r="F86" s="583">
        <f ca="1">INDEX(_Datos 86:86,,MATCH(_Búsqueda_Fechas_Pago, _Datos _Headers,0))</f>
        <v>44654</v>
      </c>
      <c r="G86" s="619">
        <f ca="1">INDEX(_Datos 86:86,,MATCH(_Búsqueda_Duración, _Datos _Headers,0))</f>
        <v>30</v>
      </c>
      <c r="H86" s="618"/>
      <c r="I86" s="76">
        <f t="shared" ca="1" si="6"/>
        <v>44654</v>
      </c>
      <c r="J86" s="619">
        <f ca="1">CONST_DIAS_BASE_INTERES + IF(DAY(_Fecha_Pago _Anterior)&gt;=Const_Dia_Corte_Aniversario,MAX(CONST_DIAS_LIMITE-DAY(_Fecha_Pago _Anterior),1))</f>
        <v>30</v>
      </c>
      <c r="K86" s="618"/>
      <c r="L86" s="76">
        <f t="shared" ca="1" si="8"/>
        <v>44651</v>
      </c>
      <c r="M86" s="30">
        <f>_DPP _Mensual_AEN</f>
        <v>30</v>
      </c>
      <c r="N86" s="618"/>
      <c r="O86" s="76">
        <f ca="1">IF(DAY(O85 + 1) &lt;= _DPP _Quincenal,
DATE(YEAR(O85 + 1),MONTH( O85 + 1), _DPP _Quincenal ),
EOMONTH( O85 + 1,0))</f>
        <v>43616</v>
      </c>
      <c r="P86" s="30">
        <f>_DPP _Quincenal</f>
        <v>15</v>
      </c>
      <c r="Q86" s="618"/>
      <c r="R86" s="76">
        <f ca="1">IF(DAY(R85 + 1) &lt;= _DPP _Decenal,
DATE(YEAR(R85 + 1),MONTH(R85 + 1),_DPP _Decenal),
IF(DAY(R85 + 1) &lt;= (_DPP _Decenal*2),
DATE(YEAR(R85 + 1),MONTH(R85 + 1),(_DPP _Decenal*2)),EOMONTH(R85 + 1,0)))</f>
        <v>43271</v>
      </c>
      <c r="S86" s="30">
        <f>_DPP _Decenal</f>
        <v>10</v>
      </c>
      <c r="T86" s="618"/>
      <c r="U86" s="76">
        <f t="shared" ca="1" si="7"/>
        <v>44624</v>
      </c>
      <c r="V86" s="30">
        <f t="shared" ca="1" si="9"/>
        <v>30</v>
      </c>
    </row>
    <row r="87" spans="1:22" x14ac:dyDescent="0.3">
      <c r="E87" s="98">
        <f t="shared" si="5"/>
        <v>30</v>
      </c>
      <c r="F87" s="583">
        <f ca="1">INDEX(_Datos 87:87,,MATCH(_Búsqueda_Fechas_Pago, _Datos _Headers,0))</f>
        <v>44684</v>
      </c>
      <c r="G87" s="619">
        <f ca="1">INDEX(_Datos 87:87,,MATCH(_Búsqueda_Duración, _Datos _Headers,0))</f>
        <v>30</v>
      </c>
      <c r="H87" s="618"/>
      <c r="I87" s="76">
        <f t="shared" ca="1" si="6"/>
        <v>44684</v>
      </c>
      <c r="J87" s="619">
        <f ca="1">CONST_DIAS_BASE_INTERES + IF(DAY(_Fecha_Pago _Anterior)&gt;=Const_Dia_Corte_Aniversario,MAX(CONST_DIAS_LIMITE-DAY(_Fecha_Pago _Anterior),1))</f>
        <v>30</v>
      </c>
      <c r="K87" s="618"/>
      <c r="L87" s="76">
        <f t="shared" ca="1" si="8"/>
        <v>44681</v>
      </c>
      <c r="M87" s="30">
        <f>_DPP _Mensual_AEN</f>
        <v>30</v>
      </c>
      <c r="N87" s="618"/>
      <c r="O87" s="76">
        <f ca="1">IF(DAY(O86 + 1) &lt;= _DPP _Quincenal,
DATE(YEAR(O86 + 1),MONTH( O86 + 1), _DPP _Quincenal ),
EOMONTH( O86 + 1,0))</f>
        <v>43631</v>
      </c>
      <c r="P87" s="30">
        <f>_DPP _Quincenal</f>
        <v>15</v>
      </c>
      <c r="Q87" s="618"/>
      <c r="R87" s="76">
        <f ca="1">IF(DAY(R86 + 1) &lt;= _DPP _Decenal,
DATE(YEAR(R86 + 1),MONTH(R86 + 1),_DPP _Decenal),
IF(DAY(R86 + 1) &lt;= (_DPP _Decenal*2),
DATE(YEAR(R86 + 1),MONTH(R86 + 1),(_DPP _Decenal*2)),EOMONTH(R86 + 1,0)))</f>
        <v>43281</v>
      </c>
      <c r="S87" s="30">
        <f>_DPP _Decenal</f>
        <v>10</v>
      </c>
      <c r="T87" s="618"/>
      <c r="U87" s="76">
        <f t="shared" ca="1" si="7"/>
        <v>44654</v>
      </c>
      <c r="V87" s="30">
        <f t="shared" ca="1" si="9"/>
        <v>30</v>
      </c>
    </row>
    <row r="88" spans="1:22" x14ac:dyDescent="0.3">
      <c r="E88" s="98">
        <f t="shared" si="5"/>
        <v>30</v>
      </c>
      <c r="F88" s="583">
        <f ca="1">INDEX(_Datos 88:88,,MATCH(_Búsqueda_Fechas_Pago, _Datos _Headers,0))</f>
        <v>44715</v>
      </c>
      <c r="G88" s="619">
        <f ca="1">INDEX(_Datos 88:88,,MATCH(_Búsqueda_Duración, _Datos _Headers,0))</f>
        <v>30</v>
      </c>
      <c r="H88" s="618"/>
      <c r="I88" s="76">
        <f t="shared" ca="1" si="6"/>
        <v>44715</v>
      </c>
      <c r="J88" s="619">
        <f ca="1">CONST_DIAS_BASE_INTERES + IF(DAY(_Fecha_Pago _Anterior)&gt;=Const_Dia_Corte_Aniversario,MAX(CONST_DIAS_LIMITE-DAY(_Fecha_Pago _Anterior),1))</f>
        <v>30</v>
      </c>
      <c r="K88" s="618"/>
      <c r="L88" s="76">
        <f t="shared" ca="1" si="8"/>
        <v>44712</v>
      </c>
      <c r="M88" s="30">
        <f>_DPP _Mensual_AEN</f>
        <v>30</v>
      </c>
      <c r="N88" s="618"/>
      <c r="O88" s="76">
        <f ca="1">IF(DAY(O87 + 1) &lt;= _DPP _Quincenal,
DATE(YEAR(O87 + 1),MONTH( O87 + 1), _DPP _Quincenal ),
EOMONTH( O87 + 1,0))</f>
        <v>43646</v>
      </c>
      <c r="P88" s="30">
        <f>_DPP _Quincenal</f>
        <v>15</v>
      </c>
      <c r="Q88" s="618"/>
      <c r="R88" s="76">
        <f ca="1">IF(DAY(R87 + 1) &lt;= _DPP _Decenal,
DATE(YEAR(R87 + 1),MONTH(R87 + 1),_DPP _Decenal),
IF(DAY(R87 + 1) &lt;= (_DPP _Decenal*2),
DATE(YEAR(R87 + 1),MONTH(R87 + 1),(_DPP _Decenal*2)),EOMONTH(R87 + 1,0)))</f>
        <v>43291</v>
      </c>
      <c r="S88" s="30">
        <f>_DPP _Decenal</f>
        <v>10</v>
      </c>
      <c r="T88" s="618"/>
      <c r="U88" s="76">
        <f t="shared" ca="1" si="7"/>
        <v>44684</v>
      </c>
      <c r="V88" s="30">
        <f t="shared" ca="1" si="9"/>
        <v>30</v>
      </c>
    </row>
    <row r="89" spans="1:22" x14ac:dyDescent="0.3">
      <c r="E89" s="98">
        <f t="shared" si="5"/>
        <v>30</v>
      </c>
      <c r="F89" s="583">
        <f ca="1">INDEX(_Datos 89:89,,MATCH(_Búsqueda_Fechas_Pago, _Datos _Headers,0))</f>
        <v>44745</v>
      </c>
      <c r="G89" s="619">
        <f ca="1">INDEX(_Datos 89:89,,MATCH(_Búsqueda_Duración, _Datos _Headers,0))</f>
        <v>30</v>
      </c>
      <c r="H89" s="618"/>
      <c r="I89" s="76">
        <f t="shared" ca="1" si="6"/>
        <v>44745</v>
      </c>
      <c r="J89" s="619">
        <f ca="1">CONST_DIAS_BASE_INTERES + IF(DAY(_Fecha_Pago _Anterior)&gt;=Const_Dia_Corte_Aniversario,MAX(CONST_DIAS_LIMITE-DAY(_Fecha_Pago _Anterior),1))</f>
        <v>30</v>
      </c>
      <c r="K89" s="618"/>
      <c r="L89" s="76">
        <f t="shared" ca="1" si="8"/>
        <v>44742</v>
      </c>
      <c r="M89" s="30">
        <f>_DPP _Mensual_AEN</f>
        <v>30</v>
      </c>
      <c r="N89" s="618"/>
      <c r="O89" s="76">
        <f ca="1">IF(DAY(O88 + 1) &lt;= _DPP _Quincenal,
DATE(YEAR(O88 + 1),MONTH( O88 + 1), _DPP _Quincenal ),
EOMONTH( O88 + 1,0))</f>
        <v>43661</v>
      </c>
      <c r="P89" s="30">
        <f>_DPP _Quincenal</f>
        <v>15</v>
      </c>
      <c r="Q89" s="618"/>
      <c r="R89" s="76">
        <f ca="1">IF(DAY(R88 + 1) &lt;= _DPP _Decenal,
DATE(YEAR(R88 + 1),MONTH(R88 + 1),_DPP _Decenal),
IF(DAY(R88 + 1) &lt;= (_DPP _Decenal*2),
DATE(YEAR(R88 + 1),MONTH(R88 + 1),(_DPP _Decenal*2)),EOMONTH(R88 + 1,0)))</f>
        <v>43301</v>
      </c>
      <c r="S89" s="30">
        <f>_DPP _Decenal</f>
        <v>10</v>
      </c>
      <c r="T89" s="618"/>
      <c r="U89" s="76">
        <f t="shared" ca="1" si="7"/>
        <v>44714</v>
      </c>
      <c r="V89" s="30">
        <f t="shared" ca="1" si="9"/>
        <v>30</v>
      </c>
    </row>
    <row r="90" spans="1:22" x14ac:dyDescent="0.3">
      <c r="E90" s="98">
        <f t="shared" si="5"/>
        <v>30</v>
      </c>
      <c r="F90" s="583">
        <f ca="1">INDEX(_Datos 90:90,,MATCH(_Búsqueda_Fechas_Pago, _Datos _Headers,0))</f>
        <v>44776</v>
      </c>
      <c r="G90" s="619">
        <f ca="1">INDEX(_Datos 90:90,,MATCH(_Búsqueda_Duración, _Datos _Headers,0))</f>
        <v>30</v>
      </c>
      <c r="H90" s="618"/>
      <c r="I90" s="76">
        <f t="shared" ca="1" si="6"/>
        <v>44776</v>
      </c>
      <c r="J90" s="619">
        <f ca="1">CONST_DIAS_BASE_INTERES + IF(DAY(_Fecha_Pago _Anterior)&gt;=Const_Dia_Corte_Aniversario,MAX(CONST_DIAS_LIMITE-DAY(_Fecha_Pago _Anterior),1))</f>
        <v>30</v>
      </c>
      <c r="K90" s="618"/>
      <c r="L90" s="76">
        <f t="shared" ca="1" si="8"/>
        <v>44773</v>
      </c>
      <c r="M90" s="30">
        <f>_DPP _Mensual_AEN</f>
        <v>30</v>
      </c>
      <c r="N90" s="618"/>
      <c r="O90" s="76">
        <f ca="1">IF(DAY(O89 + 1) &lt;= _DPP _Quincenal,
DATE(YEAR(O89 + 1),MONTH( O89 + 1), _DPP _Quincenal ),
EOMONTH( O89 + 1,0))</f>
        <v>43677</v>
      </c>
      <c r="P90" s="30">
        <f>_DPP _Quincenal</f>
        <v>15</v>
      </c>
      <c r="Q90" s="618"/>
      <c r="R90" s="76">
        <f ca="1">IF(DAY(R89 + 1) &lt;= _DPP _Decenal,
DATE(YEAR(R89 + 1),MONTH(R89 + 1),_DPP _Decenal),
IF(DAY(R89 + 1) &lt;= (_DPP _Decenal*2),
DATE(YEAR(R89 + 1),MONTH(R89 + 1),(_DPP _Decenal*2)),EOMONTH(R89 + 1,0)))</f>
        <v>43312</v>
      </c>
      <c r="S90" s="30">
        <f>_DPP _Decenal</f>
        <v>10</v>
      </c>
      <c r="T90" s="618"/>
      <c r="U90" s="76">
        <f t="shared" ca="1" si="7"/>
        <v>44744</v>
      </c>
      <c r="V90" s="30">
        <f t="shared" ca="1" si="9"/>
        <v>30</v>
      </c>
    </row>
    <row r="91" spans="1:22" x14ac:dyDescent="0.3">
      <c r="E91" s="98">
        <f t="shared" si="5"/>
        <v>30</v>
      </c>
      <c r="F91" s="583">
        <f ca="1">INDEX(_Datos 91:91,,MATCH(_Búsqueda_Fechas_Pago, _Datos _Headers,0))</f>
        <v>44807</v>
      </c>
      <c r="G91" s="619">
        <f ca="1">INDEX(_Datos 91:91,,MATCH(_Búsqueda_Duración, _Datos _Headers,0))</f>
        <v>30</v>
      </c>
      <c r="H91" s="618"/>
      <c r="I91" s="76">
        <f t="shared" ca="1" si="6"/>
        <v>44807</v>
      </c>
      <c r="J91" s="619">
        <f ca="1">CONST_DIAS_BASE_INTERES + IF(DAY(_Fecha_Pago _Anterior)&gt;=Const_Dia_Corte_Aniversario,MAX(CONST_DIAS_LIMITE-DAY(_Fecha_Pago _Anterior),1))</f>
        <v>30</v>
      </c>
      <c r="K91" s="618"/>
      <c r="L91" s="76">
        <f t="shared" ca="1" si="8"/>
        <v>44804</v>
      </c>
      <c r="M91" s="30">
        <f>_DPP _Mensual_AEN</f>
        <v>30</v>
      </c>
      <c r="N91" s="618"/>
      <c r="O91" s="76">
        <f ca="1">IF(DAY(O90 + 1) &lt;= _DPP _Quincenal,
DATE(YEAR(O90 + 1),MONTH( O90 + 1), _DPP _Quincenal ),
EOMONTH( O90 + 1,0))</f>
        <v>43692</v>
      </c>
      <c r="P91" s="30">
        <f>_DPP _Quincenal</f>
        <v>15</v>
      </c>
      <c r="Q91" s="618"/>
      <c r="R91" s="76">
        <f ca="1">IF(DAY(R90 + 1) &lt;= _DPP _Decenal,
DATE(YEAR(R90 + 1),MONTH(R90 + 1),_DPP _Decenal),
IF(DAY(R90 + 1) &lt;= (_DPP _Decenal*2),
DATE(YEAR(R90 + 1),MONTH(R90 + 1),(_DPP _Decenal*2)),EOMONTH(R90 + 1,0)))</f>
        <v>43322</v>
      </c>
      <c r="S91" s="30">
        <f>_DPP _Decenal</f>
        <v>10</v>
      </c>
      <c r="T91" s="618"/>
      <c r="U91" s="76">
        <f t="shared" ca="1" si="7"/>
        <v>44774</v>
      </c>
      <c r="V91" s="30">
        <f t="shared" ca="1" si="9"/>
        <v>30</v>
      </c>
    </row>
    <row r="92" spans="1:22" x14ac:dyDescent="0.3">
      <c r="E92" s="98">
        <f t="shared" si="5"/>
        <v>30</v>
      </c>
      <c r="F92" s="583">
        <f ca="1">INDEX(_Datos 92:92,,MATCH(_Búsqueda_Fechas_Pago, _Datos _Headers,0))</f>
        <v>44837</v>
      </c>
      <c r="G92" s="619">
        <f ca="1">INDEX(_Datos 92:92,,MATCH(_Búsqueda_Duración, _Datos _Headers,0))</f>
        <v>30</v>
      </c>
      <c r="H92" s="618"/>
      <c r="I92" s="76">
        <f t="shared" ca="1" si="6"/>
        <v>44837</v>
      </c>
      <c r="J92" s="619">
        <f ca="1">CONST_DIAS_BASE_INTERES + IF(DAY(_Fecha_Pago _Anterior)&gt;=Const_Dia_Corte_Aniversario,MAX(CONST_DIAS_LIMITE-DAY(_Fecha_Pago _Anterior),1))</f>
        <v>30</v>
      </c>
      <c r="K92" s="618"/>
      <c r="L92" s="76">
        <f t="shared" ca="1" si="8"/>
        <v>44834</v>
      </c>
      <c r="M92" s="30">
        <f>_DPP _Mensual_AEN</f>
        <v>30</v>
      </c>
      <c r="N92" s="618"/>
      <c r="O92" s="76">
        <f ca="1">IF(DAY(O91 + 1) &lt;= _DPP _Quincenal,
DATE(YEAR(O91 + 1),MONTH( O91 + 1), _DPP _Quincenal ),
EOMONTH( O91 + 1,0))</f>
        <v>43708</v>
      </c>
      <c r="P92" s="30">
        <f>_DPP _Quincenal</f>
        <v>15</v>
      </c>
      <c r="Q92" s="618"/>
      <c r="R92" s="76">
        <f ca="1">IF(DAY(R91 + 1) &lt;= _DPP _Decenal,
DATE(YEAR(R91 + 1),MONTH(R91 + 1),_DPP _Decenal),
IF(DAY(R91 + 1) &lt;= (_DPP _Decenal*2),
DATE(YEAR(R91 + 1),MONTH(R91 + 1),(_DPP _Decenal*2)),EOMONTH(R91 + 1,0)))</f>
        <v>43332</v>
      </c>
      <c r="S92" s="30">
        <f>_DPP _Decenal</f>
        <v>10</v>
      </c>
      <c r="T92" s="618"/>
      <c r="U92" s="76">
        <f t="shared" ca="1" si="7"/>
        <v>44804</v>
      </c>
      <c r="V92" s="30">
        <f t="shared" ca="1" si="9"/>
        <v>30</v>
      </c>
    </row>
    <row r="93" spans="1:22" x14ac:dyDescent="0.3">
      <c r="E93" s="98">
        <f t="shared" si="5"/>
        <v>30</v>
      </c>
      <c r="F93" s="583">
        <f ca="1">INDEX(_Datos 93:93,,MATCH(_Búsqueda_Fechas_Pago, _Datos _Headers,0))</f>
        <v>44868</v>
      </c>
      <c r="G93" s="619">
        <f ca="1">INDEX(_Datos 93:93,,MATCH(_Búsqueda_Duración, _Datos _Headers,0))</f>
        <v>30</v>
      </c>
      <c r="H93" s="618"/>
      <c r="I93" s="76">
        <f t="shared" ca="1" si="6"/>
        <v>44868</v>
      </c>
      <c r="J93" s="619">
        <f ca="1">CONST_DIAS_BASE_INTERES + IF(DAY(_Fecha_Pago _Anterior)&gt;=Const_Dia_Corte_Aniversario,MAX(CONST_DIAS_LIMITE-DAY(_Fecha_Pago _Anterior),1))</f>
        <v>30</v>
      </c>
      <c r="K93" s="618"/>
      <c r="L93" s="76">
        <f t="shared" ca="1" si="8"/>
        <v>44865</v>
      </c>
      <c r="M93" s="30">
        <f>_DPP _Mensual_AEN</f>
        <v>30</v>
      </c>
      <c r="N93" s="618"/>
      <c r="O93" s="76">
        <f ca="1">IF(DAY(O92 + 1) &lt;= _DPP _Quincenal,
DATE(YEAR(O92 + 1),MONTH( O92 + 1), _DPP _Quincenal ),
EOMONTH( O92 + 1,0))</f>
        <v>43723</v>
      </c>
      <c r="P93" s="30">
        <f>_DPP _Quincenal</f>
        <v>15</v>
      </c>
      <c r="Q93" s="618"/>
      <c r="R93" s="76">
        <f ca="1">IF(DAY(R92 + 1) &lt;= _DPP _Decenal,
DATE(YEAR(R92 + 1),MONTH(R92 + 1),_DPP _Decenal),
IF(DAY(R92 + 1) &lt;= (_DPP _Decenal*2),
DATE(YEAR(R92 + 1),MONTH(R92 + 1),(_DPP _Decenal*2)),EOMONTH(R92 + 1,0)))</f>
        <v>43343</v>
      </c>
      <c r="S93" s="30">
        <f>_DPP _Decenal</f>
        <v>10</v>
      </c>
      <c r="T93" s="618"/>
      <c r="U93" s="76">
        <f t="shared" ca="1" si="7"/>
        <v>44834</v>
      </c>
      <c r="V93" s="30">
        <f t="shared" ca="1" si="9"/>
        <v>30</v>
      </c>
    </row>
    <row r="94" spans="1:22" x14ac:dyDescent="0.3">
      <c r="E94" s="98">
        <f t="shared" si="5"/>
        <v>30</v>
      </c>
      <c r="F94" s="583">
        <f ca="1">INDEX(_Datos 94:94,,MATCH(_Búsqueda_Fechas_Pago, _Datos _Headers,0))</f>
        <v>44898</v>
      </c>
      <c r="G94" s="619">
        <f ca="1">INDEX(_Datos 94:94,,MATCH(_Búsqueda_Duración, _Datos _Headers,0))</f>
        <v>30</v>
      </c>
      <c r="H94" s="618"/>
      <c r="I94" s="76">
        <f t="shared" ca="1" si="6"/>
        <v>44898</v>
      </c>
      <c r="J94" s="619">
        <f ca="1">CONST_DIAS_BASE_INTERES + IF(DAY(_Fecha_Pago _Anterior)&gt;=Const_Dia_Corte_Aniversario,MAX(CONST_DIAS_LIMITE-DAY(_Fecha_Pago _Anterior),1))</f>
        <v>30</v>
      </c>
      <c r="K94" s="618"/>
      <c r="L94" s="76">
        <f t="shared" ca="1" si="8"/>
        <v>44895</v>
      </c>
      <c r="M94" s="30">
        <f>_DPP _Mensual_AEN</f>
        <v>30</v>
      </c>
      <c r="N94" s="618"/>
      <c r="O94" s="76">
        <f ca="1">IF(DAY(O93 + 1) &lt;= _DPP _Quincenal,
DATE(YEAR(O93 + 1),MONTH( O93 + 1), _DPP _Quincenal ),
EOMONTH( O93 + 1,0))</f>
        <v>43738</v>
      </c>
      <c r="P94" s="30">
        <f>_DPP _Quincenal</f>
        <v>15</v>
      </c>
      <c r="Q94" s="618"/>
      <c r="R94" s="76">
        <f ca="1">IF(DAY(R93 + 1) &lt;= _DPP _Decenal,
DATE(YEAR(R93 + 1),MONTH(R93 + 1),_DPP _Decenal),
IF(DAY(R93 + 1) &lt;= (_DPP _Decenal*2),
DATE(YEAR(R93 + 1),MONTH(R93 + 1),(_DPP _Decenal*2)),EOMONTH(R93 + 1,0)))</f>
        <v>43353</v>
      </c>
      <c r="S94" s="30">
        <f>_DPP _Decenal</f>
        <v>10</v>
      </c>
      <c r="T94" s="618"/>
      <c r="U94" s="76">
        <f t="shared" ca="1" si="7"/>
        <v>44864</v>
      </c>
      <c r="V94" s="30">
        <f t="shared" ca="1" si="9"/>
        <v>30</v>
      </c>
    </row>
    <row r="95" spans="1:22" x14ac:dyDescent="0.3">
      <c r="E95" s="98">
        <f t="shared" si="5"/>
        <v>30</v>
      </c>
      <c r="F95" s="583">
        <f ca="1">INDEX(_Datos 95:95,,MATCH(_Búsqueda_Fechas_Pago, _Datos _Headers,0))</f>
        <v>44929</v>
      </c>
      <c r="G95" s="619">
        <f ca="1">INDEX(_Datos 95:95,,MATCH(_Búsqueda_Duración, _Datos _Headers,0))</f>
        <v>30</v>
      </c>
      <c r="H95" s="618"/>
      <c r="I95" s="76">
        <f t="shared" ca="1" si="6"/>
        <v>44929</v>
      </c>
      <c r="J95" s="619">
        <f ca="1">CONST_DIAS_BASE_INTERES + IF(DAY(_Fecha_Pago _Anterior)&gt;=Const_Dia_Corte_Aniversario,MAX(CONST_DIAS_LIMITE-DAY(_Fecha_Pago _Anterior),1))</f>
        <v>30</v>
      </c>
      <c r="K95" s="618"/>
      <c r="L95" s="76">
        <f t="shared" ca="1" si="8"/>
        <v>44926</v>
      </c>
      <c r="M95" s="30">
        <f>_DPP _Mensual_AEN</f>
        <v>30</v>
      </c>
      <c r="N95" s="618"/>
      <c r="O95" s="76">
        <f ca="1">IF(DAY(O94 + 1) &lt;= _DPP _Quincenal,
DATE(YEAR(O94 + 1),MONTH( O94 + 1), _DPP _Quincenal ),
EOMONTH( O94 + 1,0))</f>
        <v>43753</v>
      </c>
      <c r="P95" s="30">
        <f>_DPP _Quincenal</f>
        <v>15</v>
      </c>
      <c r="Q95" s="618"/>
      <c r="R95" s="76">
        <f ca="1">IF(DAY(R94 + 1) &lt;= _DPP _Decenal,
DATE(YEAR(R94 + 1),MONTH(R94 + 1),_DPP _Decenal),
IF(DAY(R94 + 1) &lt;= (_DPP _Decenal*2),
DATE(YEAR(R94 + 1),MONTH(R94 + 1),(_DPP _Decenal*2)),EOMONTH(R94 + 1,0)))</f>
        <v>43363</v>
      </c>
      <c r="S95" s="30">
        <f>_DPP _Decenal</f>
        <v>10</v>
      </c>
      <c r="T95" s="618"/>
      <c r="U95" s="76">
        <f t="shared" ca="1" si="7"/>
        <v>44894</v>
      </c>
      <c r="V95" s="30">
        <f t="shared" ca="1" si="9"/>
        <v>30</v>
      </c>
    </row>
    <row r="96" spans="1:22" x14ac:dyDescent="0.3">
      <c r="E96" s="98">
        <f t="shared" si="5"/>
        <v>30</v>
      </c>
      <c r="F96" s="583">
        <f ca="1">INDEX(_Datos 96:96,,MATCH(_Búsqueda_Fechas_Pago, _Datos _Headers,0))</f>
        <v>44960</v>
      </c>
      <c r="G96" s="619">
        <f ca="1">INDEX(_Datos 96:96,,MATCH(_Búsqueda_Duración, _Datos _Headers,0))</f>
        <v>30</v>
      </c>
      <c r="H96" s="618"/>
      <c r="I96" s="76">
        <f t="shared" ca="1" si="6"/>
        <v>44960</v>
      </c>
      <c r="J96" s="619">
        <f ca="1">CONST_DIAS_BASE_INTERES + IF(DAY(_Fecha_Pago _Anterior)&gt;=Const_Dia_Corte_Aniversario,MAX(CONST_DIAS_LIMITE-DAY(_Fecha_Pago _Anterior),1))</f>
        <v>30</v>
      </c>
      <c r="K96" s="618"/>
      <c r="L96" s="76">
        <f t="shared" ca="1" si="8"/>
        <v>44957</v>
      </c>
      <c r="M96" s="30">
        <f>_DPP _Mensual_AEN</f>
        <v>30</v>
      </c>
      <c r="N96" s="618"/>
      <c r="O96" s="76">
        <f ca="1">IF(DAY(O95 + 1) &lt;= _DPP _Quincenal,
DATE(YEAR(O95 + 1),MONTH( O95 + 1), _DPP _Quincenal ),
EOMONTH( O95 + 1,0))</f>
        <v>43769</v>
      </c>
      <c r="P96" s="30">
        <f>_DPP _Quincenal</f>
        <v>15</v>
      </c>
      <c r="Q96" s="618"/>
      <c r="R96" s="76">
        <f ca="1">IF(DAY(R95 + 1) &lt;= _DPP _Decenal,
DATE(YEAR(R95 + 1),MONTH(R95 + 1),_DPP _Decenal),
IF(DAY(R95 + 1) &lt;= (_DPP _Decenal*2),
DATE(YEAR(R95 + 1),MONTH(R95 + 1),(_DPP _Decenal*2)),EOMONTH(R95 + 1,0)))</f>
        <v>43373</v>
      </c>
      <c r="S96" s="30">
        <f>_DPP _Decenal</f>
        <v>10</v>
      </c>
      <c r="T96" s="618"/>
      <c r="U96" s="76">
        <f t="shared" ca="1" si="7"/>
        <v>44924</v>
      </c>
      <c r="V96" s="30">
        <f t="shared" ca="1" si="9"/>
        <v>30</v>
      </c>
    </row>
    <row r="97" spans="5:22" x14ac:dyDescent="0.3">
      <c r="E97" s="98">
        <f t="shared" si="5"/>
        <v>30</v>
      </c>
      <c r="F97" s="583">
        <f ca="1">INDEX(_Datos 97:97,,MATCH(_Búsqueda_Fechas_Pago, _Datos _Headers,0))</f>
        <v>44988</v>
      </c>
      <c r="G97" s="619">
        <f ca="1">INDEX(_Datos 97:97,,MATCH(_Búsqueda_Duración, _Datos _Headers,0))</f>
        <v>30</v>
      </c>
      <c r="H97" s="618"/>
      <c r="I97" s="76">
        <f t="shared" ca="1" si="6"/>
        <v>44988</v>
      </c>
      <c r="J97" s="619">
        <f ca="1">CONST_DIAS_BASE_INTERES + IF(DAY(_Fecha_Pago _Anterior)&gt;=Const_Dia_Corte_Aniversario,MAX(CONST_DIAS_LIMITE-DAY(_Fecha_Pago _Anterior),1))</f>
        <v>30</v>
      </c>
      <c r="K97" s="618"/>
      <c r="L97" s="76">
        <f t="shared" ca="1" si="8"/>
        <v>44985</v>
      </c>
      <c r="M97" s="30">
        <f>_DPP _Mensual_AEN</f>
        <v>30</v>
      </c>
      <c r="N97" s="618"/>
      <c r="O97" s="76">
        <f ca="1">IF(DAY(O96 + 1) &lt;= _DPP _Quincenal,
DATE(YEAR(O96 + 1),MONTH( O96 + 1), _DPP _Quincenal ),
EOMONTH( O96 + 1,0))</f>
        <v>43784</v>
      </c>
      <c r="P97" s="30">
        <f>_DPP _Quincenal</f>
        <v>15</v>
      </c>
      <c r="Q97" s="618"/>
      <c r="R97" s="76">
        <f ca="1">IF(DAY(R96 + 1) &lt;= _DPP _Decenal,
DATE(YEAR(R96 + 1),MONTH(R96 + 1),_DPP _Decenal),
IF(DAY(R96 + 1) &lt;= (_DPP _Decenal*2),
DATE(YEAR(R96 + 1),MONTH(R96 + 1),(_DPP _Decenal*2)),EOMONTH(R96 + 1,0)))</f>
        <v>43383</v>
      </c>
      <c r="S97" s="30">
        <f>_DPP _Decenal</f>
        <v>10</v>
      </c>
      <c r="T97" s="618"/>
      <c r="U97" s="76">
        <f t="shared" ca="1" si="7"/>
        <v>44954</v>
      </c>
      <c r="V97" s="30">
        <f t="shared" ca="1" si="9"/>
        <v>30</v>
      </c>
    </row>
    <row r="98" spans="5:22" x14ac:dyDescent="0.3">
      <c r="E98" s="98">
        <f t="shared" si="5"/>
        <v>30</v>
      </c>
      <c r="F98" s="583">
        <f ca="1">INDEX(_Datos 98:98,,MATCH(_Búsqueda_Fechas_Pago, _Datos _Headers,0))</f>
        <v>45019</v>
      </c>
      <c r="G98" s="619">
        <f ca="1">INDEX(_Datos 98:98,,MATCH(_Búsqueda_Duración, _Datos _Headers,0))</f>
        <v>30</v>
      </c>
      <c r="H98" s="618"/>
      <c r="I98" s="76">
        <f t="shared" ca="1" si="6"/>
        <v>45019</v>
      </c>
      <c r="J98" s="619">
        <f ca="1">CONST_DIAS_BASE_INTERES + IF(DAY(_Fecha_Pago _Anterior)&gt;=Const_Dia_Corte_Aniversario,MAX(CONST_DIAS_LIMITE-DAY(_Fecha_Pago _Anterior),1))</f>
        <v>30</v>
      </c>
      <c r="K98" s="618"/>
      <c r="L98" s="76">
        <f t="shared" ca="1" si="8"/>
        <v>45016</v>
      </c>
      <c r="M98" s="30">
        <f>_DPP _Mensual_AEN</f>
        <v>30</v>
      </c>
      <c r="N98" s="618"/>
      <c r="O98" s="76">
        <f ca="1">IF(DAY(O97 + 1) &lt;= _DPP _Quincenal,
DATE(YEAR(O97 + 1),MONTH( O97 + 1), _DPP _Quincenal ),
EOMONTH( O97 + 1,0))</f>
        <v>43799</v>
      </c>
      <c r="P98" s="30">
        <f>_DPP _Quincenal</f>
        <v>15</v>
      </c>
      <c r="Q98" s="618"/>
      <c r="R98" s="76">
        <f ca="1">IF(DAY(R97 + 1) &lt;= _DPP _Decenal,
DATE(YEAR(R97 + 1),MONTH(R97 + 1),_DPP _Decenal),
IF(DAY(R97 + 1) &lt;= (_DPP _Decenal*2),
DATE(YEAR(R97 + 1),MONTH(R97 + 1),(_DPP _Decenal*2)),EOMONTH(R97 + 1,0)))</f>
        <v>43393</v>
      </c>
      <c r="S98" s="30">
        <f>_DPP _Decenal</f>
        <v>10</v>
      </c>
      <c r="T98" s="618"/>
      <c r="U98" s="76">
        <f t="shared" ca="1" si="7"/>
        <v>44984</v>
      </c>
      <c r="V98" s="30">
        <f t="shared" ca="1" si="9"/>
        <v>30</v>
      </c>
    </row>
    <row r="99" spans="5:22" x14ac:dyDescent="0.3">
      <c r="E99" s="98">
        <f t="shared" si="5"/>
        <v>30</v>
      </c>
      <c r="F99" s="583">
        <f ca="1">INDEX(_Datos 99:99,,MATCH(_Búsqueda_Fechas_Pago, _Datos _Headers,0))</f>
        <v>45049</v>
      </c>
      <c r="G99" s="619">
        <f ca="1">INDEX(_Datos 99:99,,MATCH(_Búsqueda_Duración, _Datos _Headers,0))</f>
        <v>30</v>
      </c>
      <c r="H99" s="618"/>
      <c r="I99" s="76">
        <f t="shared" ca="1" si="6"/>
        <v>45049</v>
      </c>
      <c r="J99" s="619">
        <f ca="1">CONST_DIAS_BASE_INTERES + IF(DAY(_Fecha_Pago _Anterior)&gt;=Const_Dia_Corte_Aniversario,MAX(CONST_DIAS_LIMITE-DAY(_Fecha_Pago _Anterior),1))</f>
        <v>30</v>
      </c>
      <c r="K99" s="618"/>
      <c r="L99" s="76">
        <f t="shared" ca="1" si="8"/>
        <v>45046</v>
      </c>
      <c r="M99" s="30">
        <f>_DPP _Mensual_AEN</f>
        <v>30</v>
      </c>
      <c r="N99" s="618"/>
      <c r="O99" s="76">
        <f ca="1">IF(DAY(O98 + 1) &lt;= _DPP _Quincenal,
DATE(YEAR(O98 + 1),MONTH( O98 + 1), _DPP _Quincenal ),
EOMONTH( O98 + 1,0))</f>
        <v>43814</v>
      </c>
      <c r="P99" s="30">
        <f>_DPP _Quincenal</f>
        <v>15</v>
      </c>
      <c r="Q99" s="618"/>
      <c r="R99" s="76">
        <f ca="1">IF(DAY(R98 + 1) &lt;= _DPP _Decenal,
DATE(YEAR(R98 + 1),MONTH(R98 + 1),_DPP _Decenal),
IF(DAY(R98 + 1) &lt;= (_DPP _Decenal*2),
DATE(YEAR(R98 + 1),MONTH(R98 + 1),(_DPP _Decenal*2)),EOMONTH(R98 + 1,0)))</f>
        <v>43404</v>
      </c>
      <c r="S99" s="30">
        <f>_DPP _Decenal</f>
        <v>10</v>
      </c>
      <c r="T99" s="618"/>
      <c r="U99" s="76">
        <f t="shared" ca="1" si="7"/>
        <v>45014</v>
      </c>
      <c r="V99" s="30">
        <f t="shared" ca="1" si="9"/>
        <v>30</v>
      </c>
    </row>
    <row r="100" spans="5:22" x14ac:dyDescent="0.3">
      <c r="E100" s="98">
        <f t="shared" si="5"/>
        <v>30</v>
      </c>
      <c r="F100" s="583">
        <f ca="1">INDEX(_Datos 100:100,,MATCH(_Búsqueda_Fechas_Pago, _Datos _Headers,0))</f>
        <v>45080</v>
      </c>
      <c r="G100" s="619">
        <f ca="1">INDEX(_Datos 100:100,,MATCH(_Búsqueda_Duración, _Datos _Headers,0))</f>
        <v>30</v>
      </c>
      <c r="H100" s="618"/>
      <c r="I100" s="76">
        <f t="shared" ca="1" si="6"/>
        <v>45080</v>
      </c>
      <c r="J100" s="619">
        <f ca="1">CONST_DIAS_BASE_INTERES + IF(DAY(_Fecha_Pago _Anterior)&gt;=Const_Dia_Corte_Aniversario,MAX(CONST_DIAS_LIMITE-DAY(_Fecha_Pago _Anterior),1))</f>
        <v>30</v>
      </c>
      <c r="K100" s="618"/>
      <c r="L100" s="76">
        <f t="shared" ca="1" si="8"/>
        <v>45077</v>
      </c>
      <c r="M100" s="30">
        <f>_DPP _Mensual_AEN</f>
        <v>30</v>
      </c>
      <c r="N100" s="618"/>
      <c r="O100" s="76">
        <f ca="1">IF(DAY(O99 + 1) &lt;= _DPP _Quincenal,
DATE(YEAR(O99 + 1),MONTH( O99 + 1), _DPP _Quincenal ),
EOMONTH( O99 + 1,0))</f>
        <v>43830</v>
      </c>
      <c r="P100" s="30">
        <f>_DPP _Quincenal</f>
        <v>15</v>
      </c>
      <c r="Q100" s="618"/>
      <c r="R100" s="76">
        <f ca="1">IF(DAY(R99 + 1) &lt;= _DPP _Decenal,
DATE(YEAR(R99 + 1),MONTH(R99 + 1),_DPP _Decenal),
IF(DAY(R99 + 1) &lt;= (_DPP _Decenal*2),
DATE(YEAR(R99 + 1),MONTH(R99 + 1),(_DPP _Decenal*2)),EOMONTH(R99 + 1,0)))</f>
        <v>43414</v>
      </c>
      <c r="S100" s="30">
        <f>_DPP _Decenal</f>
        <v>10</v>
      </c>
      <c r="T100" s="618"/>
      <c r="U100" s="76">
        <f t="shared" ca="1" si="7"/>
        <v>45044</v>
      </c>
      <c r="V100" s="30">
        <f t="shared" ca="1" si="9"/>
        <v>30</v>
      </c>
    </row>
    <row r="101" spans="5:22" x14ac:dyDescent="0.3">
      <c r="E101" s="98">
        <f t="shared" si="5"/>
        <v>30</v>
      </c>
      <c r="F101" s="583">
        <f ca="1">INDEX(_Datos 101:101,,MATCH(_Búsqueda_Fechas_Pago, _Datos _Headers,0))</f>
        <v>45110</v>
      </c>
      <c r="G101" s="619">
        <f ca="1">INDEX(_Datos 101:101,,MATCH(_Búsqueda_Duración, _Datos _Headers,0))</f>
        <v>30</v>
      </c>
      <c r="H101" s="618"/>
      <c r="I101" s="76">
        <f t="shared" ca="1" si="6"/>
        <v>45110</v>
      </c>
      <c r="J101" s="619">
        <f ca="1">CONST_DIAS_BASE_INTERES + IF(DAY(_Fecha_Pago _Anterior)&gt;=Const_Dia_Corte_Aniversario,MAX(CONST_DIAS_LIMITE-DAY(_Fecha_Pago _Anterior),1))</f>
        <v>30</v>
      </c>
      <c r="K101" s="618"/>
      <c r="L101" s="76">
        <f t="shared" ca="1" si="8"/>
        <v>45107</v>
      </c>
      <c r="M101" s="30">
        <f>_DPP _Mensual_AEN</f>
        <v>30</v>
      </c>
      <c r="N101" s="618"/>
      <c r="O101" s="76">
        <f ca="1">IF(DAY(O100 + 1) &lt;= _DPP _Quincenal,
DATE(YEAR(O100 + 1),MONTH( O100 + 1), _DPP _Quincenal ),
EOMONTH( O100 + 1,0))</f>
        <v>43845</v>
      </c>
      <c r="P101" s="30">
        <f>_DPP _Quincenal</f>
        <v>15</v>
      </c>
      <c r="Q101" s="618"/>
      <c r="R101" s="76">
        <f ca="1">IF(DAY(R100 + 1) &lt;= _DPP _Decenal,
DATE(YEAR(R100 + 1),MONTH(R100 + 1),_DPP _Decenal),
IF(DAY(R100 + 1) &lt;= (_DPP _Decenal*2),
DATE(YEAR(R100 + 1),MONTH(R100 + 1),(_DPP _Decenal*2)),EOMONTH(R100 + 1,0)))</f>
        <v>43424</v>
      </c>
      <c r="S101" s="30">
        <f>_DPP _Decenal</f>
        <v>10</v>
      </c>
      <c r="T101" s="618"/>
      <c r="U101" s="76">
        <f t="shared" ca="1" si="7"/>
        <v>45074</v>
      </c>
      <c r="V101" s="30">
        <f t="shared" ca="1" si="9"/>
        <v>30</v>
      </c>
    </row>
    <row r="102" spans="5:22" x14ac:dyDescent="0.3">
      <c r="E102" s="98">
        <f t="shared" si="5"/>
        <v>30</v>
      </c>
      <c r="F102" s="583">
        <f ca="1">INDEX(_Datos 102:102,,MATCH(_Búsqueda_Fechas_Pago, _Datos _Headers,0))</f>
        <v>45141</v>
      </c>
      <c r="G102" s="619">
        <f ca="1">INDEX(_Datos 102:102,,MATCH(_Búsqueda_Duración, _Datos _Headers,0))</f>
        <v>30</v>
      </c>
      <c r="H102" s="618"/>
      <c r="I102" s="76">
        <f t="shared" ca="1" si="6"/>
        <v>45141</v>
      </c>
      <c r="J102" s="619">
        <f ca="1">CONST_DIAS_BASE_INTERES + IF(DAY(_Fecha_Pago _Anterior)&gt;=Const_Dia_Corte_Aniversario,MAX(CONST_DIAS_LIMITE-DAY(_Fecha_Pago _Anterior),1))</f>
        <v>30</v>
      </c>
      <c r="K102" s="618"/>
      <c r="L102" s="76">
        <f t="shared" ca="1" si="8"/>
        <v>45138</v>
      </c>
      <c r="M102" s="30">
        <f>_DPP _Mensual_AEN</f>
        <v>30</v>
      </c>
      <c r="N102" s="618"/>
      <c r="O102" s="76">
        <f ca="1">IF(DAY(O101 + 1) &lt;= _DPP _Quincenal,
DATE(YEAR(O101 + 1),MONTH( O101 + 1), _DPP _Quincenal ),
EOMONTH( O101 + 1,0))</f>
        <v>43861</v>
      </c>
      <c r="P102" s="30">
        <f>_DPP _Quincenal</f>
        <v>15</v>
      </c>
      <c r="Q102" s="618"/>
      <c r="R102" s="76">
        <f ca="1">IF(DAY(R101 + 1) &lt;= _DPP _Decenal,
DATE(YEAR(R101 + 1),MONTH(R101 + 1),_DPP _Decenal),
IF(DAY(R101 + 1) &lt;= (_DPP _Decenal*2),
DATE(YEAR(R101 + 1),MONTH(R101 + 1),(_DPP _Decenal*2)),EOMONTH(R101 + 1,0)))</f>
        <v>43434</v>
      </c>
      <c r="S102" s="30">
        <f>_DPP _Decenal</f>
        <v>10</v>
      </c>
      <c r="T102" s="618"/>
      <c r="U102" s="76">
        <f t="shared" ca="1" si="7"/>
        <v>45104</v>
      </c>
      <c r="V102" s="30">
        <f t="shared" ca="1" si="9"/>
        <v>30</v>
      </c>
    </row>
    <row r="103" spans="5:22" x14ac:dyDescent="0.3">
      <c r="E103" s="98">
        <f t="shared" si="5"/>
        <v>30</v>
      </c>
      <c r="F103" s="583">
        <f ca="1">INDEX(_Datos 103:103,,MATCH(_Búsqueda_Fechas_Pago, _Datos _Headers,0))</f>
        <v>45172</v>
      </c>
      <c r="G103" s="619">
        <f ca="1">INDEX(_Datos 103:103,,MATCH(_Búsqueda_Duración, _Datos _Headers,0))</f>
        <v>30</v>
      </c>
      <c r="H103" s="618"/>
      <c r="I103" s="76">
        <f t="shared" ca="1" si="6"/>
        <v>45172</v>
      </c>
      <c r="J103" s="619">
        <f ca="1">CONST_DIAS_BASE_INTERES + IF(DAY(_Fecha_Pago _Anterior)&gt;=Const_Dia_Corte_Aniversario,MAX(CONST_DIAS_LIMITE-DAY(_Fecha_Pago _Anterior),1))</f>
        <v>30</v>
      </c>
      <c r="K103" s="618"/>
      <c r="L103" s="76">
        <f t="shared" ca="1" si="8"/>
        <v>45169</v>
      </c>
      <c r="M103" s="30">
        <f>_DPP _Mensual_AEN</f>
        <v>30</v>
      </c>
      <c r="N103" s="618"/>
      <c r="O103" s="76">
        <f ca="1">IF(DAY(O102 + 1) &lt;= _DPP _Quincenal,
DATE(YEAR(O102 + 1),MONTH( O102 + 1), _DPP _Quincenal ),
EOMONTH( O102 + 1,0))</f>
        <v>43876</v>
      </c>
      <c r="P103" s="30">
        <f>_DPP _Quincenal</f>
        <v>15</v>
      </c>
      <c r="Q103" s="618"/>
      <c r="R103" s="76">
        <f ca="1">IF(DAY(R102 + 1) &lt;= _DPP _Decenal,
DATE(YEAR(R102 + 1),MONTH(R102 + 1),_DPP _Decenal),
IF(DAY(R102 + 1) &lt;= (_DPP _Decenal*2),
DATE(YEAR(R102 + 1),MONTH(R102 + 1),(_DPP _Decenal*2)),EOMONTH(R102 + 1,0)))</f>
        <v>43444</v>
      </c>
      <c r="S103" s="30">
        <f>_DPP _Decenal</f>
        <v>10</v>
      </c>
      <c r="T103" s="618"/>
      <c r="U103" s="76">
        <f t="shared" ca="1" si="7"/>
        <v>45134</v>
      </c>
      <c r="V103" s="30">
        <f t="shared" ca="1" si="9"/>
        <v>30</v>
      </c>
    </row>
    <row r="104" spans="5:22" x14ac:dyDescent="0.3">
      <c r="E104" s="98">
        <f t="shared" si="5"/>
        <v>30</v>
      </c>
      <c r="F104" s="583">
        <f ca="1">INDEX(_Datos 104:104,,MATCH(_Búsqueda_Fechas_Pago, _Datos _Headers,0))</f>
        <v>45202</v>
      </c>
      <c r="G104" s="619">
        <f ca="1">INDEX(_Datos 104:104,,MATCH(_Búsqueda_Duración, _Datos _Headers,0))</f>
        <v>30</v>
      </c>
      <c r="H104" s="618"/>
      <c r="I104" s="76">
        <f t="shared" ca="1" si="6"/>
        <v>45202</v>
      </c>
      <c r="J104" s="619">
        <f ca="1">CONST_DIAS_BASE_INTERES + IF(DAY(_Fecha_Pago _Anterior)&gt;=Const_Dia_Corte_Aniversario,MAX(CONST_DIAS_LIMITE-DAY(_Fecha_Pago _Anterior),1))</f>
        <v>30</v>
      </c>
      <c r="K104" s="618"/>
      <c r="L104" s="76">
        <f t="shared" ca="1" si="8"/>
        <v>45199</v>
      </c>
      <c r="M104" s="30">
        <f>_DPP _Mensual_AEN</f>
        <v>30</v>
      </c>
      <c r="N104" s="618"/>
      <c r="O104" s="76">
        <f ca="1">IF(DAY(O103 + 1) &lt;= _DPP _Quincenal,
DATE(YEAR(O103 + 1),MONTH( O103 + 1), _DPP _Quincenal ),
EOMONTH( O103 + 1,0))</f>
        <v>43890</v>
      </c>
      <c r="P104" s="30">
        <f>_DPP _Quincenal</f>
        <v>15</v>
      </c>
      <c r="Q104" s="618"/>
      <c r="R104" s="76">
        <f ca="1">IF(DAY(R103 + 1) &lt;= _DPP _Decenal,
DATE(YEAR(R103 + 1),MONTH(R103 + 1),_DPP _Decenal),
IF(DAY(R103 + 1) &lt;= (_DPP _Decenal*2),
DATE(YEAR(R103 + 1),MONTH(R103 + 1),(_DPP _Decenal*2)),EOMONTH(R103 + 1,0)))</f>
        <v>43454</v>
      </c>
      <c r="S104" s="30">
        <f>_DPP _Decenal</f>
        <v>10</v>
      </c>
      <c r="T104" s="618"/>
      <c r="U104" s="76">
        <f t="shared" ca="1" si="7"/>
        <v>45164</v>
      </c>
      <c r="V104" s="30">
        <f t="shared" ca="1" si="9"/>
        <v>30</v>
      </c>
    </row>
    <row r="105" spans="5:22" x14ac:dyDescent="0.3">
      <c r="E105" s="98">
        <f t="shared" si="5"/>
        <v>30</v>
      </c>
      <c r="F105" s="583">
        <f ca="1">INDEX(_Datos 105:105,,MATCH(_Búsqueda_Fechas_Pago, _Datos _Headers,0))</f>
        <v>45233</v>
      </c>
      <c r="G105" s="619">
        <f ca="1">INDEX(_Datos 105:105,,MATCH(_Búsqueda_Duración, _Datos _Headers,0))</f>
        <v>30</v>
      </c>
      <c r="H105" s="618"/>
      <c r="I105" s="76">
        <f t="shared" ca="1" si="6"/>
        <v>45233</v>
      </c>
      <c r="J105" s="619">
        <f ca="1">CONST_DIAS_BASE_INTERES + IF(DAY(_Fecha_Pago _Anterior)&gt;=Const_Dia_Corte_Aniversario,MAX(CONST_DIAS_LIMITE-DAY(_Fecha_Pago _Anterior),1))</f>
        <v>30</v>
      </c>
      <c r="K105" s="618"/>
      <c r="L105" s="76">
        <f t="shared" ca="1" si="8"/>
        <v>45230</v>
      </c>
      <c r="M105" s="30">
        <f>_DPP _Mensual_AEN</f>
        <v>30</v>
      </c>
      <c r="N105" s="618"/>
      <c r="O105" s="76">
        <f ca="1">IF(DAY(O104 + 1) &lt;= _DPP _Quincenal,
DATE(YEAR(O104 + 1),MONTH( O104 + 1), _DPP _Quincenal ),
EOMONTH( O104 + 1,0))</f>
        <v>43905</v>
      </c>
      <c r="P105" s="30">
        <f>_DPP _Quincenal</f>
        <v>15</v>
      </c>
      <c r="Q105" s="618"/>
      <c r="R105" s="76">
        <f ca="1">IF(DAY(R104 + 1) &lt;= _DPP _Decenal,
DATE(YEAR(R104 + 1),MONTH(R104 + 1),_DPP _Decenal),
IF(DAY(R104 + 1) &lt;= (_DPP _Decenal*2),
DATE(YEAR(R104 + 1),MONTH(R104 + 1),(_DPP _Decenal*2)),EOMONTH(R104 + 1,0)))</f>
        <v>43465</v>
      </c>
      <c r="S105" s="30">
        <f>_DPP _Decenal</f>
        <v>10</v>
      </c>
      <c r="T105" s="618"/>
      <c r="U105" s="76">
        <f t="shared" ca="1" si="7"/>
        <v>45194</v>
      </c>
      <c r="V105" s="30">
        <f t="shared" ca="1" si="9"/>
        <v>30</v>
      </c>
    </row>
    <row r="106" spans="5:22" x14ac:dyDescent="0.3">
      <c r="E106" s="98">
        <f t="shared" si="5"/>
        <v>30</v>
      </c>
      <c r="F106" s="583">
        <f ca="1">INDEX(_Datos 106:106,,MATCH(_Búsqueda_Fechas_Pago, _Datos _Headers,0))</f>
        <v>45263</v>
      </c>
      <c r="G106" s="619">
        <f ca="1">INDEX(_Datos 106:106,,MATCH(_Búsqueda_Duración, _Datos _Headers,0))</f>
        <v>30</v>
      </c>
      <c r="H106" s="618"/>
      <c r="I106" s="76">
        <f t="shared" ca="1" si="6"/>
        <v>45263</v>
      </c>
      <c r="J106" s="619">
        <f ca="1">CONST_DIAS_BASE_INTERES + IF(DAY(_Fecha_Pago _Anterior)&gt;=Const_Dia_Corte_Aniversario,MAX(CONST_DIAS_LIMITE-DAY(_Fecha_Pago _Anterior),1))</f>
        <v>30</v>
      </c>
      <c r="K106" s="618"/>
      <c r="L106" s="76">
        <f t="shared" ca="1" si="8"/>
        <v>45260</v>
      </c>
      <c r="M106" s="30">
        <f>_DPP _Mensual_AEN</f>
        <v>30</v>
      </c>
      <c r="N106" s="618"/>
      <c r="O106" s="76">
        <f ca="1">IF(DAY(O105 + 1) &lt;= _DPP _Quincenal,
DATE(YEAR(O105 + 1),MONTH( O105 + 1), _DPP _Quincenal ),
EOMONTH( O105 + 1,0))</f>
        <v>43921</v>
      </c>
      <c r="P106" s="30">
        <f>_DPP _Quincenal</f>
        <v>15</v>
      </c>
      <c r="Q106" s="618"/>
      <c r="R106" s="76">
        <f ca="1">IF(DAY(R105 + 1) &lt;= _DPP _Decenal,
DATE(YEAR(R105 + 1),MONTH(R105 + 1),_DPP _Decenal),
IF(DAY(R105 + 1) &lt;= (_DPP _Decenal*2),
DATE(YEAR(R105 + 1),MONTH(R105 + 1),(_DPP _Decenal*2)),EOMONTH(R105 + 1,0)))</f>
        <v>43475</v>
      </c>
      <c r="S106" s="30">
        <f>_DPP _Decenal</f>
        <v>10</v>
      </c>
      <c r="T106" s="618"/>
      <c r="U106" s="76">
        <f t="shared" ca="1" si="7"/>
        <v>45224</v>
      </c>
      <c r="V106" s="30">
        <f t="shared" ca="1" si="9"/>
        <v>30</v>
      </c>
    </row>
    <row r="107" spans="5:22" x14ac:dyDescent="0.3">
      <c r="E107" s="98">
        <f t="shared" si="5"/>
        <v>30</v>
      </c>
      <c r="F107" s="583">
        <f ca="1">INDEX(_Datos 107:107,,MATCH(_Búsqueda_Fechas_Pago, _Datos _Headers,0))</f>
        <v>45294</v>
      </c>
      <c r="G107" s="619">
        <f ca="1">INDEX(_Datos 107:107,,MATCH(_Búsqueda_Duración, _Datos _Headers,0))</f>
        <v>30</v>
      </c>
      <c r="H107" s="618"/>
      <c r="I107" s="76">
        <f t="shared" ca="1" si="6"/>
        <v>45294</v>
      </c>
      <c r="J107" s="619">
        <f ca="1">CONST_DIAS_BASE_INTERES + IF(DAY(_Fecha_Pago _Anterior)&gt;=Const_Dia_Corte_Aniversario,MAX(CONST_DIAS_LIMITE-DAY(_Fecha_Pago _Anterior),1))</f>
        <v>30</v>
      </c>
      <c r="K107" s="618"/>
      <c r="L107" s="76">
        <f t="shared" ca="1" si="8"/>
        <v>45291</v>
      </c>
      <c r="M107" s="30">
        <f>_DPP _Mensual_AEN</f>
        <v>30</v>
      </c>
      <c r="N107" s="618"/>
      <c r="O107" s="76">
        <f ca="1">IF(DAY(O106 + 1) &lt;= _DPP _Quincenal,
DATE(YEAR(O106 + 1),MONTH( O106 + 1), _DPP _Quincenal ),
EOMONTH( O106 + 1,0))</f>
        <v>43936</v>
      </c>
      <c r="P107" s="30">
        <f>_DPP _Quincenal</f>
        <v>15</v>
      </c>
      <c r="Q107" s="618"/>
      <c r="R107" s="76">
        <f ca="1">IF(DAY(R106 + 1) &lt;= _DPP _Decenal,
DATE(YEAR(R106 + 1),MONTH(R106 + 1),_DPP _Decenal),
IF(DAY(R106 + 1) &lt;= (_DPP _Decenal*2),
DATE(YEAR(R106 + 1),MONTH(R106 + 1),(_DPP _Decenal*2)),EOMONTH(R106 + 1,0)))</f>
        <v>43485</v>
      </c>
      <c r="S107" s="30">
        <f>_DPP _Decenal</f>
        <v>10</v>
      </c>
      <c r="T107" s="618"/>
      <c r="U107" s="76">
        <f t="shared" ca="1" si="7"/>
        <v>45254</v>
      </c>
      <c r="V107" s="30">
        <f t="shared" ca="1" si="9"/>
        <v>30</v>
      </c>
    </row>
    <row r="108" spans="5:22" x14ac:dyDescent="0.3">
      <c r="E108" s="98">
        <f t="shared" si="5"/>
        <v>30</v>
      </c>
      <c r="F108" s="583">
        <f ca="1">INDEX(_Datos 108:108,,MATCH(_Búsqueda_Fechas_Pago, _Datos _Headers,0))</f>
        <v>45325</v>
      </c>
      <c r="G108" s="619">
        <f ca="1">INDEX(_Datos 108:108,,MATCH(_Búsqueda_Duración, _Datos _Headers,0))</f>
        <v>30</v>
      </c>
      <c r="H108" s="618"/>
      <c r="I108" s="76">
        <f t="shared" ca="1" si="6"/>
        <v>45325</v>
      </c>
      <c r="J108" s="619">
        <f ca="1">CONST_DIAS_BASE_INTERES + IF(DAY(_Fecha_Pago _Anterior)&gt;=Const_Dia_Corte_Aniversario,MAX(CONST_DIAS_LIMITE-DAY(_Fecha_Pago _Anterior),1))</f>
        <v>30</v>
      </c>
      <c r="K108" s="618"/>
      <c r="L108" s="76">
        <f t="shared" ca="1" si="8"/>
        <v>45322</v>
      </c>
      <c r="M108" s="30">
        <f>_DPP _Mensual_AEN</f>
        <v>30</v>
      </c>
      <c r="N108" s="618"/>
      <c r="O108" s="76">
        <f ca="1">IF(DAY(O107 + 1) &lt;= _DPP _Quincenal,
DATE(YEAR(O107 + 1),MONTH( O107 + 1), _DPP _Quincenal ),
EOMONTH( O107 + 1,0))</f>
        <v>43951</v>
      </c>
      <c r="P108" s="30">
        <f>_DPP _Quincenal</f>
        <v>15</v>
      </c>
      <c r="Q108" s="618"/>
      <c r="R108" s="76">
        <f ca="1">IF(DAY(R107 + 1) &lt;= _DPP _Decenal,
DATE(YEAR(R107 + 1),MONTH(R107 + 1),_DPP _Decenal),
IF(DAY(R107 + 1) &lt;= (_DPP _Decenal*2),
DATE(YEAR(R107 + 1),MONTH(R107 + 1),(_DPP _Decenal*2)),EOMONTH(R107 + 1,0)))</f>
        <v>43496</v>
      </c>
      <c r="S108" s="30">
        <f>_DPP _Decenal</f>
        <v>10</v>
      </c>
      <c r="T108" s="618"/>
      <c r="U108" s="76">
        <f t="shared" ca="1" si="7"/>
        <v>45284</v>
      </c>
      <c r="V108" s="30">
        <f t="shared" ca="1" si="9"/>
        <v>30</v>
      </c>
    </row>
    <row r="109" spans="5:22" x14ac:dyDescent="0.3">
      <c r="E109" s="98">
        <f t="shared" si="5"/>
        <v>30</v>
      </c>
      <c r="F109" s="583">
        <f ca="1">INDEX(_Datos 109:109,,MATCH(_Búsqueda_Fechas_Pago, _Datos _Headers,0))</f>
        <v>45354</v>
      </c>
      <c r="G109" s="619">
        <f ca="1">INDEX(_Datos 109:109,,MATCH(_Búsqueda_Duración, _Datos _Headers,0))</f>
        <v>30</v>
      </c>
      <c r="H109" s="618"/>
      <c r="I109" s="76">
        <f t="shared" ca="1" si="6"/>
        <v>45354</v>
      </c>
      <c r="J109" s="619">
        <f ca="1">CONST_DIAS_BASE_INTERES + IF(DAY(_Fecha_Pago _Anterior)&gt;=Const_Dia_Corte_Aniversario,MAX(CONST_DIAS_LIMITE-DAY(_Fecha_Pago _Anterior),1))</f>
        <v>30</v>
      </c>
      <c r="K109" s="618"/>
      <c r="L109" s="76">
        <f t="shared" ca="1" si="8"/>
        <v>45351</v>
      </c>
      <c r="M109" s="30">
        <f>_DPP _Mensual_AEN</f>
        <v>30</v>
      </c>
      <c r="N109" s="618"/>
      <c r="O109" s="76">
        <f ca="1">IF(DAY(O108 + 1) &lt;= _DPP _Quincenal,
DATE(YEAR(O108 + 1),MONTH( O108 + 1), _DPP _Quincenal ),
EOMONTH( O108 + 1,0))</f>
        <v>43966</v>
      </c>
      <c r="P109" s="30">
        <f>_DPP _Quincenal</f>
        <v>15</v>
      </c>
      <c r="Q109" s="618"/>
      <c r="R109" s="76">
        <f ca="1">IF(DAY(R108 + 1) &lt;= _DPP _Decenal,
DATE(YEAR(R108 + 1),MONTH(R108 + 1),_DPP _Decenal),
IF(DAY(R108 + 1) &lt;= (_DPP _Decenal*2),
DATE(YEAR(R108 + 1),MONTH(R108 + 1),(_DPP _Decenal*2)),EOMONTH(R108 + 1,0)))</f>
        <v>43506</v>
      </c>
      <c r="S109" s="30">
        <f>_DPP _Decenal</f>
        <v>10</v>
      </c>
      <c r="T109" s="618"/>
      <c r="U109" s="76">
        <f t="shared" ca="1" si="7"/>
        <v>45314</v>
      </c>
      <c r="V109" s="30">
        <f t="shared" ca="1" si="9"/>
        <v>30</v>
      </c>
    </row>
    <row r="110" spans="5:22" x14ac:dyDescent="0.3">
      <c r="E110" s="98">
        <f t="shared" si="5"/>
        <v>30</v>
      </c>
      <c r="F110" s="583">
        <f ca="1">INDEX(_Datos 110:110,,MATCH(_Búsqueda_Fechas_Pago, _Datos _Headers,0))</f>
        <v>45385</v>
      </c>
      <c r="G110" s="619">
        <f ca="1">INDEX(_Datos 110:110,,MATCH(_Búsqueda_Duración, _Datos _Headers,0))</f>
        <v>30</v>
      </c>
      <c r="H110" s="618"/>
      <c r="I110" s="76">
        <f t="shared" ca="1" si="6"/>
        <v>45385</v>
      </c>
      <c r="J110" s="619">
        <f ca="1">CONST_DIAS_BASE_INTERES + IF(DAY(_Fecha_Pago _Anterior)&gt;=Const_Dia_Corte_Aniversario,MAX(CONST_DIAS_LIMITE-DAY(_Fecha_Pago _Anterior),1))</f>
        <v>30</v>
      </c>
      <c r="K110" s="618"/>
      <c r="L110" s="76">
        <f t="shared" ca="1" si="8"/>
        <v>45382</v>
      </c>
      <c r="M110" s="30">
        <f>_DPP _Mensual_AEN</f>
        <v>30</v>
      </c>
      <c r="N110" s="618"/>
      <c r="O110" s="76">
        <f ca="1">IF(DAY(O109 + 1) &lt;= _DPP _Quincenal,
DATE(YEAR(O109 + 1),MONTH( O109 + 1), _DPP _Quincenal ),
EOMONTH( O109 + 1,0))</f>
        <v>43982</v>
      </c>
      <c r="P110" s="30">
        <f>_DPP _Quincenal</f>
        <v>15</v>
      </c>
      <c r="Q110" s="618"/>
      <c r="R110" s="76">
        <f ca="1">IF(DAY(R109 + 1) &lt;= _DPP _Decenal,
DATE(YEAR(R109 + 1),MONTH(R109 + 1),_DPP _Decenal),
IF(DAY(R109 + 1) &lt;= (_DPP _Decenal*2),
DATE(YEAR(R109 + 1),MONTH(R109 + 1),(_DPP _Decenal*2)),EOMONTH(R109 + 1,0)))</f>
        <v>43516</v>
      </c>
      <c r="S110" s="30">
        <f>_DPP _Decenal</f>
        <v>10</v>
      </c>
      <c r="T110" s="618"/>
      <c r="U110" s="76">
        <f t="shared" ca="1" si="7"/>
        <v>45344</v>
      </c>
      <c r="V110" s="30">
        <f t="shared" ca="1" si="9"/>
        <v>30</v>
      </c>
    </row>
    <row r="111" spans="5:22" x14ac:dyDescent="0.3">
      <c r="E111" s="98">
        <f t="shared" si="5"/>
        <v>30</v>
      </c>
      <c r="F111" s="583">
        <f ca="1">INDEX(_Datos 111:111,,MATCH(_Búsqueda_Fechas_Pago, _Datos _Headers,0))</f>
        <v>45415</v>
      </c>
      <c r="G111" s="619">
        <f ca="1">INDEX(_Datos 111:111,,MATCH(_Búsqueda_Duración, _Datos _Headers,0))</f>
        <v>30</v>
      </c>
      <c r="H111" s="618"/>
      <c r="I111" s="76">
        <f t="shared" ca="1" si="6"/>
        <v>45415</v>
      </c>
      <c r="J111" s="619">
        <f ca="1">CONST_DIAS_BASE_INTERES + IF(DAY(_Fecha_Pago _Anterior)&gt;=Const_Dia_Corte_Aniversario,MAX(CONST_DIAS_LIMITE-DAY(_Fecha_Pago _Anterior),1))</f>
        <v>30</v>
      </c>
      <c r="K111" s="618"/>
      <c r="L111" s="76">
        <f t="shared" ca="1" si="8"/>
        <v>45412</v>
      </c>
      <c r="M111" s="30">
        <f>_DPP _Mensual_AEN</f>
        <v>30</v>
      </c>
      <c r="N111" s="618"/>
      <c r="O111" s="76">
        <f ca="1">IF(DAY(O110 + 1) &lt;= _DPP _Quincenal,
DATE(YEAR(O110 + 1),MONTH( O110 + 1), _DPP _Quincenal ),
EOMONTH( O110 + 1,0))</f>
        <v>43997</v>
      </c>
      <c r="P111" s="30">
        <f>_DPP _Quincenal</f>
        <v>15</v>
      </c>
      <c r="Q111" s="618"/>
      <c r="R111" s="76">
        <f ca="1">IF(DAY(R110 + 1) &lt;= _DPP _Decenal,
DATE(YEAR(R110 + 1),MONTH(R110 + 1),_DPP _Decenal),
IF(DAY(R110 + 1) &lt;= (_DPP _Decenal*2),
DATE(YEAR(R110 + 1),MONTH(R110 + 1),(_DPP _Decenal*2)),EOMONTH(R110 + 1,0)))</f>
        <v>43524</v>
      </c>
      <c r="S111" s="30">
        <f>_DPP _Decenal</f>
        <v>10</v>
      </c>
      <c r="T111" s="618"/>
      <c r="U111" s="76">
        <f t="shared" ca="1" si="7"/>
        <v>45374</v>
      </c>
      <c r="V111" s="30">
        <f t="shared" ca="1" si="9"/>
        <v>30</v>
      </c>
    </row>
    <row r="112" spans="5:22" x14ac:dyDescent="0.3">
      <c r="E112" s="98">
        <f t="shared" si="5"/>
        <v>30</v>
      </c>
      <c r="F112" s="583">
        <f ca="1">INDEX(_Datos 112:112,,MATCH(_Búsqueda_Fechas_Pago, _Datos _Headers,0))</f>
        <v>45446</v>
      </c>
      <c r="G112" s="619">
        <f ca="1">INDEX(_Datos 112:112,,MATCH(_Búsqueda_Duración, _Datos _Headers,0))</f>
        <v>30</v>
      </c>
      <c r="H112" s="618"/>
      <c r="I112" s="76">
        <f t="shared" ca="1" si="6"/>
        <v>45446</v>
      </c>
      <c r="J112" s="619">
        <f ca="1">CONST_DIAS_BASE_INTERES + IF(DAY(_Fecha_Pago _Anterior)&gt;=Const_Dia_Corte_Aniversario,MAX(CONST_DIAS_LIMITE-DAY(_Fecha_Pago _Anterior),1))</f>
        <v>30</v>
      </c>
      <c r="K112" s="618"/>
      <c r="L112" s="76">
        <f t="shared" ca="1" si="8"/>
        <v>45443</v>
      </c>
      <c r="M112" s="30">
        <f>_DPP _Mensual_AEN</f>
        <v>30</v>
      </c>
      <c r="N112" s="618"/>
      <c r="O112" s="76">
        <f ca="1">IF(DAY(O111 + 1) &lt;= _DPP _Quincenal,
DATE(YEAR(O111 + 1),MONTH( O111 + 1), _DPP _Quincenal ),
EOMONTH( O111 + 1,0))</f>
        <v>44012</v>
      </c>
      <c r="P112" s="30">
        <f>_DPP _Quincenal</f>
        <v>15</v>
      </c>
      <c r="Q112" s="618"/>
      <c r="R112" s="76">
        <f ca="1">IF(DAY(R111 + 1) &lt;= _DPP _Decenal,
DATE(YEAR(R111 + 1),MONTH(R111 + 1),_DPP _Decenal),
IF(DAY(R111 + 1) &lt;= (_DPP _Decenal*2),
DATE(YEAR(R111 + 1),MONTH(R111 + 1),(_DPP _Decenal*2)),EOMONTH(R111 + 1,0)))</f>
        <v>43534</v>
      </c>
      <c r="S112" s="30">
        <f>_DPP _Decenal</f>
        <v>10</v>
      </c>
      <c r="T112" s="618"/>
      <c r="U112" s="76">
        <f t="shared" ca="1" si="7"/>
        <v>45404</v>
      </c>
      <c r="V112" s="30">
        <f t="shared" ca="1" si="9"/>
        <v>30</v>
      </c>
    </row>
    <row r="113" spans="5:22" x14ac:dyDescent="0.3">
      <c r="E113" s="98">
        <f t="shared" si="5"/>
        <v>30</v>
      </c>
      <c r="F113" s="583">
        <f ca="1">INDEX(_Datos 113:113,,MATCH(_Búsqueda_Fechas_Pago, _Datos _Headers,0))</f>
        <v>45476</v>
      </c>
      <c r="G113" s="619">
        <f ca="1">INDEX(_Datos 113:113,,MATCH(_Búsqueda_Duración, _Datos _Headers,0))</f>
        <v>30</v>
      </c>
      <c r="H113" s="618"/>
      <c r="I113" s="76">
        <f t="shared" ca="1" si="6"/>
        <v>45476</v>
      </c>
      <c r="J113" s="619">
        <f ca="1">CONST_DIAS_BASE_INTERES + IF(DAY(_Fecha_Pago _Anterior)&gt;=Const_Dia_Corte_Aniversario,MAX(CONST_DIAS_LIMITE-DAY(_Fecha_Pago _Anterior),1))</f>
        <v>30</v>
      </c>
      <c r="K113" s="618"/>
      <c r="L113" s="76">
        <f t="shared" ca="1" si="8"/>
        <v>45473</v>
      </c>
      <c r="M113" s="30">
        <f>_DPP _Mensual_AEN</f>
        <v>30</v>
      </c>
      <c r="N113" s="618"/>
      <c r="O113" s="76">
        <f ca="1">IF(DAY(O112 + 1) &lt;= _DPP _Quincenal,
DATE(YEAR(O112 + 1),MONTH( O112 + 1), _DPP _Quincenal ),
EOMONTH( O112 + 1,0))</f>
        <v>44027</v>
      </c>
      <c r="P113" s="30">
        <f>_DPP _Quincenal</f>
        <v>15</v>
      </c>
      <c r="Q113" s="618"/>
      <c r="R113" s="76">
        <f ca="1">IF(DAY(R112 + 1) &lt;= _DPP _Decenal,
DATE(YEAR(R112 + 1),MONTH(R112 + 1),_DPP _Decenal),
IF(DAY(R112 + 1) &lt;= (_DPP _Decenal*2),
DATE(YEAR(R112 + 1),MONTH(R112 + 1),(_DPP _Decenal*2)),EOMONTH(R112 + 1,0)))</f>
        <v>43544</v>
      </c>
      <c r="S113" s="30">
        <f>_DPP _Decenal</f>
        <v>10</v>
      </c>
      <c r="T113" s="618"/>
      <c r="U113" s="76">
        <f t="shared" ca="1" si="7"/>
        <v>45434</v>
      </c>
      <c r="V113" s="30">
        <f t="shared" ca="1" si="9"/>
        <v>30</v>
      </c>
    </row>
    <row r="114" spans="5:22" x14ac:dyDescent="0.3">
      <c r="E114" s="98">
        <f t="shared" si="5"/>
        <v>30</v>
      </c>
      <c r="F114" s="583">
        <f ca="1">INDEX(_Datos 114:114,,MATCH(_Búsqueda_Fechas_Pago, _Datos _Headers,0))</f>
        <v>45507</v>
      </c>
      <c r="G114" s="619">
        <f ca="1">INDEX(_Datos 114:114,,MATCH(_Búsqueda_Duración, _Datos _Headers,0))</f>
        <v>30</v>
      </c>
      <c r="H114" s="618"/>
      <c r="I114" s="76">
        <f t="shared" ca="1" si="6"/>
        <v>45507</v>
      </c>
      <c r="J114" s="619">
        <f ca="1">CONST_DIAS_BASE_INTERES + IF(DAY(_Fecha_Pago _Anterior)&gt;=Const_Dia_Corte_Aniversario,MAX(CONST_DIAS_LIMITE-DAY(_Fecha_Pago _Anterior),1))</f>
        <v>30</v>
      </c>
      <c r="K114" s="618"/>
      <c r="L114" s="76">
        <f t="shared" ca="1" si="8"/>
        <v>45504</v>
      </c>
      <c r="M114" s="30">
        <f>_DPP _Mensual_AEN</f>
        <v>30</v>
      </c>
      <c r="N114" s="618"/>
      <c r="O114" s="76">
        <f ca="1">IF(DAY(O113 + 1) &lt;= _DPP _Quincenal,
DATE(YEAR(O113 + 1),MONTH( O113 + 1), _DPP _Quincenal ),
EOMONTH( O113 + 1,0))</f>
        <v>44043</v>
      </c>
      <c r="P114" s="30">
        <f>_DPP _Quincenal</f>
        <v>15</v>
      </c>
      <c r="Q114" s="618"/>
      <c r="R114" s="76">
        <f ca="1">IF(DAY(R113 + 1) &lt;= _DPP _Decenal,
DATE(YEAR(R113 + 1),MONTH(R113 + 1),_DPP _Decenal),
IF(DAY(R113 + 1) &lt;= (_DPP _Decenal*2),
DATE(YEAR(R113 + 1),MONTH(R113 + 1),(_DPP _Decenal*2)),EOMONTH(R113 + 1,0)))</f>
        <v>43555</v>
      </c>
      <c r="S114" s="30">
        <f>_DPP _Decenal</f>
        <v>10</v>
      </c>
      <c r="T114" s="618"/>
      <c r="U114" s="76">
        <f t="shared" ca="1" si="7"/>
        <v>45464</v>
      </c>
      <c r="V114" s="30">
        <f t="shared" ca="1" si="9"/>
        <v>30</v>
      </c>
    </row>
    <row r="115" spans="5:22" x14ac:dyDescent="0.3">
      <c r="E115" s="98">
        <f t="shared" si="5"/>
        <v>30</v>
      </c>
      <c r="F115" s="583">
        <f ca="1">INDEX(_Datos 115:115,,MATCH(_Búsqueda_Fechas_Pago, _Datos _Headers,0))</f>
        <v>45538</v>
      </c>
      <c r="G115" s="619">
        <f ca="1">INDEX(_Datos 115:115,,MATCH(_Búsqueda_Duración, _Datos _Headers,0))</f>
        <v>30</v>
      </c>
      <c r="H115" s="618"/>
      <c r="I115" s="76">
        <f t="shared" ca="1" si="6"/>
        <v>45538</v>
      </c>
      <c r="J115" s="619">
        <f ca="1">CONST_DIAS_BASE_INTERES + IF(DAY(_Fecha_Pago _Anterior)&gt;=Const_Dia_Corte_Aniversario,MAX(CONST_DIAS_LIMITE-DAY(_Fecha_Pago _Anterior),1))</f>
        <v>30</v>
      </c>
      <c r="K115" s="618"/>
      <c r="L115" s="76">
        <f t="shared" ca="1" si="8"/>
        <v>45535</v>
      </c>
      <c r="M115" s="30">
        <f>_DPP _Mensual_AEN</f>
        <v>30</v>
      </c>
      <c r="N115" s="618"/>
      <c r="O115" s="76">
        <f ca="1">IF(DAY(O114 + 1) &lt;= _DPP _Quincenal,
DATE(YEAR(O114 + 1),MONTH( O114 + 1), _DPP _Quincenal ),
EOMONTH( O114 + 1,0))</f>
        <v>44058</v>
      </c>
      <c r="P115" s="30">
        <f>_DPP _Quincenal</f>
        <v>15</v>
      </c>
      <c r="Q115" s="618"/>
      <c r="R115" s="76">
        <f ca="1">IF(DAY(R114 + 1) &lt;= _DPP _Decenal,
DATE(YEAR(R114 + 1),MONTH(R114 + 1),_DPP _Decenal),
IF(DAY(R114 + 1) &lt;= (_DPP _Decenal*2),
DATE(YEAR(R114 + 1),MONTH(R114 + 1),(_DPP _Decenal*2)),EOMONTH(R114 + 1,0)))</f>
        <v>43565</v>
      </c>
      <c r="S115" s="30">
        <f>_DPP _Decenal</f>
        <v>10</v>
      </c>
      <c r="T115" s="618"/>
      <c r="U115" s="76">
        <f t="shared" ca="1" si="7"/>
        <v>45494</v>
      </c>
      <c r="V115" s="30">
        <f t="shared" ca="1" si="9"/>
        <v>30</v>
      </c>
    </row>
    <row r="116" spans="5:22" x14ac:dyDescent="0.3">
      <c r="E116" s="98">
        <f t="shared" si="5"/>
        <v>30</v>
      </c>
      <c r="F116" s="583">
        <f ca="1">INDEX(_Datos 116:116,,MATCH(_Búsqueda_Fechas_Pago, _Datos _Headers,0))</f>
        <v>45568</v>
      </c>
      <c r="G116" s="619">
        <f ca="1">INDEX(_Datos 116:116,,MATCH(_Búsqueda_Duración, _Datos _Headers,0))</f>
        <v>30</v>
      </c>
      <c r="H116" s="618"/>
      <c r="I116" s="76">
        <f t="shared" ca="1" si="6"/>
        <v>45568</v>
      </c>
      <c r="J116" s="619">
        <f ca="1">CONST_DIAS_BASE_INTERES + IF(DAY(_Fecha_Pago _Anterior)&gt;=Const_Dia_Corte_Aniversario,MAX(CONST_DIAS_LIMITE-DAY(_Fecha_Pago _Anterior),1))</f>
        <v>30</v>
      </c>
      <c r="K116" s="618"/>
      <c r="L116" s="76">
        <f t="shared" ca="1" si="8"/>
        <v>45565</v>
      </c>
      <c r="M116" s="30">
        <f>_DPP _Mensual_AEN</f>
        <v>30</v>
      </c>
      <c r="N116" s="618"/>
      <c r="O116" s="76">
        <f ca="1">IF(DAY(O115 + 1) &lt;= _DPP _Quincenal,
DATE(YEAR(O115 + 1),MONTH( O115 + 1), _DPP _Quincenal ),
EOMONTH( O115 + 1,0))</f>
        <v>44074</v>
      </c>
      <c r="P116" s="30">
        <f>_DPP _Quincenal</f>
        <v>15</v>
      </c>
      <c r="Q116" s="618"/>
      <c r="R116" s="76">
        <f ca="1">IF(DAY(R115 + 1) &lt;= _DPP _Decenal,
DATE(YEAR(R115 + 1),MONTH(R115 + 1),_DPP _Decenal),
IF(DAY(R115 + 1) &lt;= (_DPP _Decenal*2),
DATE(YEAR(R115 + 1),MONTH(R115 + 1),(_DPP _Decenal*2)),EOMONTH(R115 + 1,0)))</f>
        <v>43575</v>
      </c>
      <c r="S116" s="30">
        <f>_DPP _Decenal</f>
        <v>10</v>
      </c>
      <c r="T116" s="618"/>
      <c r="U116" s="76">
        <f t="shared" ca="1" si="7"/>
        <v>45524</v>
      </c>
      <c r="V116" s="30">
        <f t="shared" ca="1" si="9"/>
        <v>30</v>
      </c>
    </row>
    <row r="117" spans="5:22" x14ac:dyDescent="0.3">
      <c r="E117" s="98">
        <f t="shared" si="5"/>
        <v>30</v>
      </c>
      <c r="F117" s="583">
        <f ca="1">INDEX(_Datos 117:117,,MATCH(_Búsqueda_Fechas_Pago, _Datos _Headers,0))</f>
        <v>45599</v>
      </c>
      <c r="G117" s="619">
        <f ca="1">INDEX(_Datos 117:117,,MATCH(_Búsqueda_Duración, _Datos _Headers,0))</f>
        <v>30</v>
      </c>
      <c r="H117" s="618"/>
      <c r="I117" s="76">
        <f t="shared" ca="1" si="6"/>
        <v>45599</v>
      </c>
      <c r="J117" s="619">
        <f ca="1">CONST_DIAS_BASE_INTERES + IF(DAY(_Fecha_Pago _Anterior)&gt;=Const_Dia_Corte_Aniversario,MAX(CONST_DIAS_LIMITE-DAY(_Fecha_Pago _Anterior),1))</f>
        <v>30</v>
      </c>
      <c r="K117" s="618"/>
      <c r="L117" s="76">
        <f t="shared" ca="1" si="8"/>
        <v>45596</v>
      </c>
      <c r="M117" s="30">
        <f>_DPP _Mensual_AEN</f>
        <v>30</v>
      </c>
      <c r="N117" s="618"/>
      <c r="O117" s="76">
        <f ca="1">IF(DAY(O116 + 1) &lt;= _DPP _Quincenal,
DATE(YEAR(O116 + 1),MONTH( O116 + 1), _DPP _Quincenal ),
EOMONTH( O116 + 1,0))</f>
        <v>44089</v>
      </c>
      <c r="P117" s="30">
        <f>_DPP _Quincenal</f>
        <v>15</v>
      </c>
      <c r="Q117" s="618"/>
      <c r="R117" s="76">
        <f ca="1">IF(DAY(R116 + 1) &lt;= _DPP _Decenal,
DATE(YEAR(R116 + 1),MONTH(R116 + 1),_DPP _Decenal),
IF(DAY(R116 + 1) &lt;= (_DPP _Decenal*2),
DATE(YEAR(R116 + 1),MONTH(R116 + 1),(_DPP _Decenal*2)),EOMONTH(R116 + 1,0)))</f>
        <v>43585</v>
      </c>
      <c r="S117" s="30">
        <f>_DPP _Decenal</f>
        <v>10</v>
      </c>
      <c r="T117" s="618"/>
      <c r="U117" s="76">
        <f t="shared" ca="1" si="7"/>
        <v>45554</v>
      </c>
      <c r="V117" s="30">
        <f t="shared" ca="1" si="9"/>
        <v>30</v>
      </c>
    </row>
    <row r="118" spans="5:22" x14ac:dyDescent="0.3">
      <c r="E118" s="98">
        <f t="shared" si="5"/>
        <v>30</v>
      </c>
      <c r="F118" s="583">
        <f ca="1">INDEX(_Datos 118:118,,MATCH(_Búsqueda_Fechas_Pago, _Datos _Headers,0))</f>
        <v>45629</v>
      </c>
      <c r="G118" s="619">
        <f ca="1">INDEX(_Datos 118:118,,MATCH(_Búsqueda_Duración, _Datos _Headers,0))</f>
        <v>30</v>
      </c>
      <c r="H118" s="618"/>
      <c r="I118" s="76">
        <f t="shared" ca="1" si="6"/>
        <v>45629</v>
      </c>
      <c r="J118" s="619">
        <f ca="1">CONST_DIAS_BASE_INTERES + IF(DAY(_Fecha_Pago _Anterior)&gt;=Const_Dia_Corte_Aniversario,MAX(CONST_DIAS_LIMITE-DAY(_Fecha_Pago _Anterior),1))</f>
        <v>30</v>
      </c>
      <c r="K118" s="618"/>
      <c r="L118" s="76">
        <f t="shared" ca="1" si="8"/>
        <v>45626</v>
      </c>
      <c r="M118" s="30">
        <f>_DPP _Mensual_AEN</f>
        <v>30</v>
      </c>
      <c r="N118" s="618"/>
      <c r="O118" s="76">
        <f ca="1">IF(DAY(O117 + 1) &lt;= _DPP _Quincenal,
DATE(YEAR(O117 + 1),MONTH( O117 + 1), _DPP _Quincenal ),
EOMONTH( O117 + 1,0))</f>
        <v>44104</v>
      </c>
      <c r="P118" s="30">
        <f>_DPP _Quincenal</f>
        <v>15</v>
      </c>
      <c r="Q118" s="618"/>
      <c r="R118" s="76">
        <f ca="1">IF(DAY(R117 + 1) &lt;= _DPP _Decenal,
DATE(YEAR(R117 + 1),MONTH(R117 + 1),_DPP _Decenal),
IF(DAY(R117 + 1) &lt;= (_DPP _Decenal*2),
DATE(YEAR(R117 + 1),MONTH(R117 + 1),(_DPP _Decenal*2)),EOMONTH(R117 + 1,0)))</f>
        <v>43595</v>
      </c>
      <c r="S118" s="30">
        <f>_DPP _Decenal</f>
        <v>10</v>
      </c>
      <c r="T118" s="618"/>
      <c r="U118" s="76">
        <f t="shared" ca="1" si="7"/>
        <v>45584</v>
      </c>
      <c r="V118" s="30">
        <f t="shared" ca="1" si="9"/>
        <v>30</v>
      </c>
    </row>
    <row r="119" spans="5:22" x14ac:dyDescent="0.3">
      <c r="E119" s="98">
        <f t="shared" si="5"/>
        <v>30</v>
      </c>
      <c r="F119" s="583">
        <f ca="1">INDEX(_Datos 119:119,,MATCH(_Búsqueda_Fechas_Pago, _Datos _Headers,0))</f>
        <v>45660</v>
      </c>
      <c r="G119" s="619">
        <f ca="1">INDEX(_Datos 119:119,,MATCH(_Búsqueda_Duración, _Datos _Headers,0))</f>
        <v>30</v>
      </c>
      <c r="H119" s="618"/>
      <c r="I119" s="76">
        <f t="shared" ca="1" si="6"/>
        <v>45660</v>
      </c>
      <c r="J119" s="619">
        <f ca="1">CONST_DIAS_BASE_INTERES + IF(DAY(_Fecha_Pago _Anterior)&gt;=Const_Dia_Corte_Aniversario,MAX(CONST_DIAS_LIMITE-DAY(_Fecha_Pago _Anterior),1))</f>
        <v>30</v>
      </c>
      <c r="K119" s="618"/>
      <c r="L119" s="76">
        <f t="shared" ca="1" si="8"/>
        <v>45657</v>
      </c>
      <c r="M119" s="30">
        <f>_DPP _Mensual_AEN</f>
        <v>30</v>
      </c>
      <c r="N119" s="618"/>
      <c r="O119" s="76">
        <f ca="1">IF(DAY(O118 + 1) &lt;= _DPP _Quincenal,
DATE(YEAR(O118 + 1),MONTH( O118 + 1), _DPP _Quincenal ),
EOMONTH( O118 + 1,0))</f>
        <v>44119</v>
      </c>
      <c r="P119" s="30">
        <f>_DPP _Quincenal</f>
        <v>15</v>
      </c>
      <c r="Q119" s="618"/>
      <c r="R119" s="76">
        <f ca="1">IF(DAY(R118 + 1) &lt;= _DPP _Decenal,
DATE(YEAR(R118 + 1),MONTH(R118 + 1),_DPP _Decenal),
IF(DAY(R118 + 1) &lt;= (_DPP _Decenal*2),
DATE(YEAR(R118 + 1),MONTH(R118 + 1),(_DPP _Decenal*2)),EOMONTH(R118 + 1,0)))</f>
        <v>43605</v>
      </c>
      <c r="S119" s="30">
        <f>_DPP _Decenal</f>
        <v>10</v>
      </c>
      <c r="T119" s="618"/>
      <c r="U119" s="76">
        <f t="shared" ca="1" si="7"/>
        <v>45614</v>
      </c>
      <c r="V119" s="30">
        <f t="shared" ca="1" si="9"/>
        <v>30</v>
      </c>
    </row>
    <row r="120" spans="5:22" x14ac:dyDescent="0.3">
      <c r="E120" s="98">
        <f t="shared" si="5"/>
        <v>30</v>
      </c>
      <c r="F120" s="583">
        <f ca="1">INDEX(_Datos 120:120,,MATCH(_Búsqueda_Fechas_Pago, _Datos _Headers,0))</f>
        <v>45691</v>
      </c>
      <c r="G120" s="619">
        <f ca="1">INDEX(_Datos 120:120,,MATCH(_Búsqueda_Duración, _Datos _Headers,0))</f>
        <v>30</v>
      </c>
      <c r="H120" s="618"/>
      <c r="I120" s="76">
        <f t="shared" ca="1" si="6"/>
        <v>45691</v>
      </c>
      <c r="J120" s="619">
        <f ca="1">CONST_DIAS_BASE_INTERES + IF(DAY(_Fecha_Pago _Anterior)&gt;=Const_Dia_Corte_Aniversario,MAX(CONST_DIAS_LIMITE-DAY(_Fecha_Pago _Anterior),1))</f>
        <v>30</v>
      </c>
      <c r="K120" s="618"/>
      <c r="L120" s="76">
        <f t="shared" ca="1" si="8"/>
        <v>45688</v>
      </c>
      <c r="M120" s="30">
        <f>_DPP _Mensual_AEN</f>
        <v>30</v>
      </c>
      <c r="N120" s="618"/>
      <c r="O120" s="76">
        <f ca="1">IF(DAY(O119 + 1) &lt;= _DPP _Quincenal,
DATE(YEAR(O119 + 1),MONTH( O119 + 1), _DPP _Quincenal ),
EOMONTH( O119 + 1,0))</f>
        <v>44135</v>
      </c>
      <c r="P120" s="30">
        <f>_DPP _Quincenal</f>
        <v>15</v>
      </c>
      <c r="Q120" s="618"/>
      <c r="R120" s="76">
        <f ca="1">IF(DAY(R119 + 1) &lt;= _DPP _Decenal,
DATE(YEAR(R119 + 1),MONTH(R119 + 1),_DPP _Decenal),
IF(DAY(R119 + 1) &lt;= (_DPP _Decenal*2),
DATE(YEAR(R119 + 1),MONTH(R119 + 1),(_DPP _Decenal*2)),EOMONTH(R119 + 1,0)))</f>
        <v>43616</v>
      </c>
      <c r="S120" s="30">
        <f>_DPP _Decenal</f>
        <v>10</v>
      </c>
      <c r="T120" s="618"/>
      <c r="U120" s="76">
        <f t="shared" ca="1" si="7"/>
        <v>45644</v>
      </c>
      <c r="V120" s="30">
        <f t="shared" ca="1" si="9"/>
        <v>30</v>
      </c>
    </row>
    <row r="121" spans="5:22" x14ac:dyDescent="0.3">
      <c r="E121" s="98">
        <f t="shared" si="5"/>
        <v>30</v>
      </c>
      <c r="F121" s="583">
        <f ca="1">INDEX(_Datos 121:121,,MATCH(_Búsqueda_Fechas_Pago, _Datos _Headers,0))</f>
        <v>45719</v>
      </c>
      <c r="G121" s="619">
        <f ca="1">INDEX(_Datos 121:121,,MATCH(_Búsqueda_Duración, _Datos _Headers,0))</f>
        <v>30</v>
      </c>
      <c r="H121" s="618"/>
      <c r="I121" s="76">
        <f t="shared" ca="1" si="6"/>
        <v>45719</v>
      </c>
      <c r="J121" s="619">
        <f ca="1">CONST_DIAS_BASE_INTERES + IF(DAY(_Fecha_Pago _Anterior)&gt;=Const_Dia_Corte_Aniversario,MAX(CONST_DIAS_LIMITE-DAY(_Fecha_Pago _Anterior),1))</f>
        <v>30</v>
      </c>
      <c r="K121" s="618"/>
      <c r="L121" s="76">
        <f t="shared" ca="1" si="8"/>
        <v>45716</v>
      </c>
      <c r="M121" s="30">
        <f>_DPP _Mensual_AEN</f>
        <v>30</v>
      </c>
      <c r="N121" s="618"/>
      <c r="O121" s="76">
        <f ca="1">IF(DAY(O120 + 1) &lt;= _DPP _Quincenal,
DATE(YEAR(O120 + 1),MONTH( O120 + 1), _DPP _Quincenal ),
EOMONTH( O120 + 1,0))</f>
        <v>44150</v>
      </c>
      <c r="P121" s="30">
        <f>_DPP _Quincenal</f>
        <v>15</v>
      </c>
      <c r="Q121" s="618"/>
      <c r="R121" s="76">
        <f ca="1">IF(DAY(R120 + 1) &lt;= _DPP _Decenal,
DATE(YEAR(R120 + 1),MONTH(R120 + 1),_DPP _Decenal),
IF(DAY(R120 + 1) &lt;= (_DPP _Decenal*2),
DATE(YEAR(R120 + 1),MONTH(R120 + 1),(_DPP _Decenal*2)),EOMONTH(R120 + 1,0)))</f>
        <v>43626</v>
      </c>
      <c r="S121" s="30">
        <f>_DPP _Decenal</f>
        <v>10</v>
      </c>
      <c r="T121" s="618"/>
      <c r="U121" s="76">
        <f t="shared" ca="1" si="7"/>
        <v>45674</v>
      </c>
      <c r="V121" s="30">
        <f t="shared" ca="1" si="9"/>
        <v>30</v>
      </c>
    </row>
    <row r="122" spans="5:22" x14ac:dyDescent="0.3">
      <c r="E122" s="98">
        <f t="shared" si="5"/>
        <v>30</v>
      </c>
      <c r="F122" s="583">
        <f ca="1">INDEX(_Datos 122:122,,MATCH(_Búsqueda_Fechas_Pago, _Datos _Headers,0))</f>
        <v>45750</v>
      </c>
      <c r="G122" s="619">
        <f ca="1">INDEX(_Datos 122:122,,MATCH(_Búsqueda_Duración, _Datos _Headers,0))</f>
        <v>30</v>
      </c>
      <c r="H122" s="618"/>
      <c r="I122" s="76">
        <f t="shared" ca="1" si="6"/>
        <v>45750</v>
      </c>
      <c r="J122" s="619">
        <f ca="1">CONST_DIAS_BASE_INTERES + IF(DAY(_Fecha_Pago _Anterior)&gt;=Const_Dia_Corte_Aniversario,MAX(CONST_DIAS_LIMITE-DAY(_Fecha_Pago _Anterior),1))</f>
        <v>30</v>
      </c>
      <c r="K122" s="618"/>
      <c r="L122" s="76">
        <f t="shared" ca="1" si="8"/>
        <v>45747</v>
      </c>
      <c r="M122" s="30">
        <f>_DPP _Mensual_AEN</f>
        <v>30</v>
      </c>
      <c r="N122" s="618"/>
      <c r="O122" s="76">
        <f ca="1">IF(DAY(O121 + 1) &lt;= _DPP _Quincenal,
DATE(YEAR(O121 + 1),MONTH( O121 + 1), _DPP _Quincenal ),
EOMONTH( O121 + 1,0))</f>
        <v>44165</v>
      </c>
      <c r="P122" s="30">
        <f>_DPP _Quincenal</f>
        <v>15</v>
      </c>
      <c r="Q122" s="618"/>
      <c r="R122" s="76">
        <f ca="1">IF(DAY(R121 + 1) &lt;= _DPP _Decenal,
DATE(YEAR(R121 + 1),MONTH(R121 + 1),_DPP _Decenal),
IF(DAY(R121 + 1) &lt;= (_DPP _Decenal*2),
DATE(YEAR(R121 + 1),MONTH(R121 + 1),(_DPP _Decenal*2)),EOMONTH(R121 + 1,0)))</f>
        <v>43636</v>
      </c>
      <c r="S122" s="30">
        <f>_DPP _Decenal</f>
        <v>10</v>
      </c>
      <c r="T122" s="618"/>
      <c r="U122" s="76">
        <f t="shared" ca="1" si="7"/>
        <v>45704</v>
      </c>
      <c r="V122" s="30">
        <f t="shared" ca="1" si="9"/>
        <v>30</v>
      </c>
    </row>
    <row r="123" spans="5:22" x14ac:dyDescent="0.3">
      <c r="E123" s="98">
        <f t="shared" si="5"/>
        <v>30</v>
      </c>
      <c r="F123" s="583">
        <f ca="1">INDEX(_Datos 123:123,,MATCH(_Búsqueda_Fechas_Pago, _Datos _Headers,0))</f>
        <v>45780</v>
      </c>
      <c r="G123" s="619">
        <f ca="1">INDEX(_Datos 123:123,,MATCH(_Búsqueda_Duración, _Datos _Headers,0))</f>
        <v>30</v>
      </c>
      <c r="H123" s="618"/>
      <c r="I123" s="76">
        <f t="shared" ca="1" si="6"/>
        <v>45780</v>
      </c>
      <c r="J123" s="619">
        <f ca="1">CONST_DIAS_BASE_INTERES + IF(DAY(_Fecha_Pago _Anterior)&gt;=Const_Dia_Corte_Aniversario,MAX(CONST_DIAS_LIMITE-DAY(_Fecha_Pago _Anterior),1))</f>
        <v>30</v>
      </c>
      <c r="K123" s="618"/>
      <c r="L123" s="76">
        <f t="shared" ca="1" si="8"/>
        <v>45777</v>
      </c>
      <c r="M123" s="30">
        <f>_DPP _Mensual_AEN</f>
        <v>30</v>
      </c>
      <c r="N123" s="618"/>
      <c r="O123" s="76">
        <f ca="1">IF(DAY(O122 + 1) &lt;= _DPP _Quincenal,
DATE(YEAR(O122 + 1),MONTH( O122 + 1), _DPP _Quincenal ),
EOMONTH( O122 + 1,0))</f>
        <v>44180</v>
      </c>
      <c r="P123" s="30">
        <f>_DPP _Quincenal</f>
        <v>15</v>
      </c>
      <c r="Q123" s="618"/>
      <c r="R123" s="76">
        <f ca="1">IF(DAY(R122 + 1) &lt;= _DPP _Decenal,
DATE(YEAR(R122 + 1),MONTH(R122 + 1),_DPP _Decenal),
IF(DAY(R122 + 1) &lt;= (_DPP _Decenal*2),
DATE(YEAR(R122 + 1),MONTH(R122 + 1),(_DPP _Decenal*2)),EOMONTH(R122 + 1,0)))</f>
        <v>43646</v>
      </c>
      <c r="S123" s="30">
        <f>_DPP _Decenal</f>
        <v>10</v>
      </c>
      <c r="T123" s="618"/>
      <c r="U123" s="76">
        <f t="shared" ca="1" si="7"/>
        <v>45734</v>
      </c>
      <c r="V123" s="30">
        <f t="shared" ca="1" si="9"/>
        <v>30</v>
      </c>
    </row>
    <row r="124" spans="5:22" x14ac:dyDescent="0.3">
      <c r="E124" s="98">
        <f t="shared" si="5"/>
        <v>30</v>
      </c>
      <c r="F124" s="583">
        <f ca="1">INDEX(_Datos 124:124,,MATCH(_Búsqueda_Fechas_Pago, _Datos _Headers,0))</f>
        <v>45811</v>
      </c>
      <c r="G124" s="619">
        <f ca="1">INDEX(_Datos 124:124,,MATCH(_Búsqueda_Duración, _Datos _Headers,0))</f>
        <v>30</v>
      </c>
      <c r="H124" s="618"/>
      <c r="I124" s="76">
        <f t="shared" ca="1" si="6"/>
        <v>45811</v>
      </c>
      <c r="J124" s="619">
        <f ca="1">CONST_DIAS_BASE_INTERES + IF(DAY(_Fecha_Pago _Anterior)&gt;=Const_Dia_Corte_Aniversario,MAX(CONST_DIAS_LIMITE-DAY(_Fecha_Pago _Anterior),1))</f>
        <v>30</v>
      </c>
      <c r="K124" s="618"/>
      <c r="L124" s="76">
        <f t="shared" ca="1" si="8"/>
        <v>45808</v>
      </c>
      <c r="M124" s="30">
        <f>_DPP _Mensual_AEN</f>
        <v>30</v>
      </c>
      <c r="N124" s="618"/>
      <c r="O124" s="76">
        <f ca="1">IF(DAY(O123 + 1) &lt;= _DPP _Quincenal,
DATE(YEAR(O123 + 1),MONTH( O123 + 1), _DPP _Quincenal ),
EOMONTH( O123 + 1,0))</f>
        <v>44196</v>
      </c>
      <c r="P124" s="30">
        <f>_DPP _Quincenal</f>
        <v>15</v>
      </c>
      <c r="Q124" s="618"/>
      <c r="R124" s="76">
        <f ca="1">IF(DAY(R123 + 1) &lt;= _DPP _Decenal,
DATE(YEAR(R123 + 1),MONTH(R123 + 1),_DPP _Decenal),
IF(DAY(R123 + 1) &lt;= (_DPP _Decenal*2),
DATE(YEAR(R123 + 1),MONTH(R123 + 1),(_DPP _Decenal*2)),EOMONTH(R123 + 1,0)))</f>
        <v>43656</v>
      </c>
      <c r="S124" s="30">
        <f>_DPP _Decenal</f>
        <v>10</v>
      </c>
      <c r="T124" s="618"/>
      <c r="U124" s="76">
        <f t="shared" ca="1" si="7"/>
        <v>45764</v>
      </c>
      <c r="V124" s="30">
        <f t="shared" ca="1" si="9"/>
        <v>30</v>
      </c>
    </row>
    <row r="125" spans="5:22" x14ac:dyDescent="0.3">
      <c r="E125" s="98">
        <f t="shared" si="5"/>
        <v>30</v>
      </c>
      <c r="F125" s="583">
        <f ca="1">INDEX(_Datos 125:125,,MATCH(_Búsqueda_Fechas_Pago, _Datos _Headers,0))</f>
        <v>45841</v>
      </c>
      <c r="G125" s="619">
        <f ca="1">INDEX(_Datos 125:125,,MATCH(_Búsqueda_Duración, _Datos _Headers,0))</f>
        <v>30</v>
      </c>
      <c r="H125" s="618"/>
      <c r="I125" s="76">
        <f t="shared" ca="1" si="6"/>
        <v>45841</v>
      </c>
      <c r="J125" s="619">
        <f ca="1">CONST_DIAS_BASE_INTERES + IF(DAY(_Fecha_Pago _Anterior)&gt;=Const_Dia_Corte_Aniversario,MAX(CONST_DIAS_LIMITE-DAY(_Fecha_Pago _Anterior),1))</f>
        <v>30</v>
      </c>
      <c r="K125" s="618"/>
      <c r="L125" s="76">
        <f t="shared" ca="1" si="8"/>
        <v>45838</v>
      </c>
      <c r="M125" s="30">
        <f>_DPP _Mensual_AEN</f>
        <v>30</v>
      </c>
      <c r="N125" s="618"/>
      <c r="O125" s="76">
        <f ca="1">IF(DAY(O124 + 1) &lt;= _DPP _Quincenal,
DATE(YEAR(O124 + 1),MONTH( O124 + 1), _DPP _Quincenal ),
EOMONTH( O124 + 1,0))</f>
        <v>44211</v>
      </c>
      <c r="P125" s="30">
        <f>_DPP _Quincenal</f>
        <v>15</v>
      </c>
      <c r="Q125" s="618"/>
      <c r="R125" s="76">
        <f ca="1">IF(DAY(R124 + 1) &lt;= _DPP _Decenal,
DATE(YEAR(R124 + 1),MONTH(R124 + 1),_DPP _Decenal),
IF(DAY(R124 + 1) &lt;= (_DPP _Decenal*2),
DATE(YEAR(R124 + 1),MONTH(R124 + 1),(_DPP _Decenal*2)),EOMONTH(R124 + 1,0)))</f>
        <v>43666</v>
      </c>
      <c r="S125" s="30">
        <f>_DPP _Decenal</f>
        <v>10</v>
      </c>
      <c r="T125" s="618"/>
      <c r="U125" s="76">
        <f t="shared" ca="1" si="7"/>
        <v>45794</v>
      </c>
      <c r="V125" s="30">
        <f t="shared" ca="1" si="9"/>
        <v>30</v>
      </c>
    </row>
    <row r="126" spans="5:22" x14ac:dyDescent="0.3">
      <c r="E126" s="98">
        <f t="shared" si="5"/>
        <v>30</v>
      </c>
      <c r="F126" s="583">
        <f ca="1">INDEX(_Datos 126:126,,MATCH(_Búsqueda_Fechas_Pago, _Datos _Headers,0))</f>
        <v>45872</v>
      </c>
      <c r="G126" s="619">
        <f ca="1">INDEX(_Datos 126:126,,MATCH(_Búsqueda_Duración, _Datos _Headers,0))</f>
        <v>30</v>
      </c>
      <c r="H126" s="618"/>
      <c r="I126" s="76">
        <f t="shared" ca="1" si="6"/>
        <v>45872</v>
      </c>
      <c r="J126" s="619">
        <f ca="1">CONST_DIAS_BASE_INTERES + IF(DAY(_Fecha_Pago _Anterior)&gt;=Const_Dia_Corte_Aniversario,MAX(CONST_DIAS_LIMITE-DAY(_Fecha_Pago _Anterior),1))</f>
        <v>30</v>
      </c>
      <c r="K126" s="618"/>
      <c r="L126" s="76">
        <f t="shared" ca="1" si="8"/>
        <v>45869</v>
      </c>
      <c r="M126" s="30">
        <f>_DPP _Mensual_AEN</f>
        <v>30</v>
      </c>
      <c r="N126" s="618"/>
      <c r="O126" s="76">
        <f ca="1">IF(DAY(O125 + 1) &lt;= _DPP _Quincenal,
DATE(YEAR(O125 + 1),MONTH( O125 + 1), _DPP _Quincenal ),
EOMONTH( O125 + 1,0))</f>
        <v>44227</v>
      </c>
      <c r="P126" s="30">
        <f>_DPP _Quincenal</f>
        <v>15</v>
      </c>
      <c r="Q126" s="618"/>
      <c r="R126" s="76">
        <f ca="1">IF(DAY(R125 + 1) &lt;= _DPP _Decenal,
DATE(YEAR(R125 + 1),MONTH(R125 + 1),_DPP _Decenal),
IF(DAY(R125 + 1) &lt;= (_DPP _Decenal*2),
DATE(YEAR(R125 + 1),MONTH(R125 + 1),(_DPP _Decenal*2)),EOMONTH(R125 + 1,0)))</f>
        <v>43677</v>
      </c>
      <c r="S126" s="30">
        <f>_DPP _Decenal</f>
        <v>10</v>
      </c>
      <c r="T126" s="618"/>
      <c r="U126" s="76">
        <f t="shared" ca="1" si="7"/>
        <v>45824</v>
      </c>
      <c r="V126" s="30">
        <f t="shared" ca="1" si="9"/>
        <v>30</v>
      </c>
    </row>
    <row r="127" spans="5:22" x14ac:dyDescent="0.3">
      <c r="E127" s="98">
        <f t="shared" si="5"/>
        <v>30</v>
      </c>
      <c r="F127" s="583">
        <f ca="1">INDEX(_Datos 127:127,,MATCH(_Búsqueda_Fechas_Pago, _Datos _Headers,0))</f>
        <v>45903</v>
      </c>
      <c r="G127" s="619">
        <f ca="1">INDEX(_Datos 127:127,,MATCH(_Búsqueda_Duración, _Datos _Headers,0))</f>
        <v>30</v>
      </c>
      <c r="H127" s="618"/>
      <c r="I127" s="76">
        <f t="shared" ca="1" si="6"/>
        <v>45903</v>
      </c>
      <c r="J127" s="619">
        <f ca="1">CONST_DIAS_BASE_INTERES + IF(DAY(_Fecha_Pago _Anterior)&gt;=Const_Dia_Corte_Aniversario,MAX(CONST_DIAS_LIMITE-DAY(_Fecha_Pago _Anterior),1))</f>
        <v>30</v>
      </c>
      <c r="K127" s="618"/>
      <c r="L127" s="76">
        <f t="shared" ca="1" si="8"/>
        <v>45900</v>
      </c>
      <c r="M127" s="30">
        <f>_DPP _Mensual_AEN</f>
        <v>30</v>
      </c>
      <c r="N127" s="618"/>
      <c r="O127" s="76">
        <f ca="1">IF(DAY(O126 + 1) &lt;= _DPP _Quincenal,
DATE(YEAR(O126 + 1),MONTH( O126 + 1), _DPP _Quincenal ),
EOMONTH( O126 + 1,0))</f>
        <v>44242</v>
      </c>
      <c r="P127" s="30">
        <f>_DPP _Quincenal</f>
        <v>15</v>
      </c>
      <c r="Q127" s="618"/>
      <c r="R127" s="76">
        <f ca="1">IF(DAY(R126 + 1) &lt;= _DPP _Decenal,
DATE(YEAR(R126 + 1),MONTH(R126 + 1),_DPP _Decenal),
IF(DAY(R126 + 1) &lt;= (_DPP _Decenal*2),
DATE(YEAR(R126 + 1),MONTH(R126 + 1),(_DPP _Decenal*2)),EOMONTH(R126 + 1,0)))</f>
        <v>43687</v>
      </c>
      <c r="S127" s="30">
        <f>_DPP _Decenal</f>
        <v>10</v>
      </c>
      <c r="T127" s="618"/>
      <c r="U127" s="76">
        <f t="shared" ca="1" si="7"/>
        <v>45854</v>
      </c>
      <c r="V127" s="30">
        <f t="shared" ca="1" si="9"/>
        <v>30</v>
      </c>
    </row>
    <row r="128" spans="5:22" x14ac:dyDescent="0.3">
      <c r="E128" s="98">
        <f t="shared" si="5"/>
        <v>30</v>
      </c>
      <c r="F128" s="583">
        <f ca="1">INDEX(_Datos 128:128,,MATCH(_Búsqueda_Fechas_Pago, _Datos _Headers,0))</f>
        <v>45933</v>
      </c>
      <c r="G128" s="619">
        <f ca="1">INDEX(_Datos 128:128,,MATCH(_Búsqueda_Duración, _Datos _Headers,0))</f>
        <v>30</v>
      </c>
      <c r="H128" s="618"/>
      <c r="I128" s="76">
        <f t="shared" ca="1" si="6"/>
        <v>45933</v>
      </c>
      <c r="J128" s="619">
        <f ca="1">CONST_DIAS_BASE_INTERES + IF(DAY(_Fecha_Pago _Anterior)&gt;=Const_Dia_Corte_Aniversario,MAX(CONST_DIAS_LIMITE-DAY(_Fecha_Pago _Anterior),1))</f>
        <v>30</v>
      </c>
      <c r="K128" s="618"/>
      <c r="L128" s="76">
        <f t="shared" ca="1" si="8"/>
        <v>45930</v>
      </c>
      <c r="M128" s="30">
        <f>_DPP _Mensual_AEN</f>
        <v>30</v>
      </c>
      <c r="N128" s="618"/>
      <c r="O128" s="76">
        <f ca="1">IF(DAY(O127 + 1) &lt;= _DPP _Quincenal,
DATE(YEAR(O127 + 1),MONTH( O127 + 1), _DPP _Quincenal ),
EOMONTH( O127 + 1,0))</f>
        <v>44255</v>
      </c>
      <c r="P128" s="30">
        <f>_DPP _Quincenal</f>
        <v>15</v>
      </c>
      <c r="Q128" s="618"/>
      <c r="R128" s="76">
        <f ca="1">IF(DAY(R127 + 1) &lt;= _DPP _Decenal,
DATE(YEAR(R127 + 1),MONTH(R127 + 1),_DPP _Decenal),
IF(DAY(R127 + 1) &lt;= (_DPP _Decenal*2),
DATE(YEAR(R127 + 1),MONTH(R127 + 1),(_DPP _Decenal*2)),EOMONTH(R127 + 1,0)))</f>
        <v>43697</v>
      </c>
      <c r="S128" s="30">
        <f>_DPP _Decenal</f>
        <v>10</v>
      </c>
      <c r="T128" s="618"/>
      <c r="U128" s="76">
        <f t="shared" ca="1" si="7"/>
        <v>45884</v>
      </c>
      <c r="V128" s="30">
        <f t="shared" ca="1" si="9"/>
        <v>30</v>
      </c>
    </row>
    <row r="129" spans="5:22" x14ac:dyDescent="0.3">
      <c r="E129" s="98">
        <f t="shared" si="5"/>
        <v>30</v>
      </c>
      <c r="F129" s="583">
        <f ca="1">INDEX(_Datos 129:129,,MATCH(_Búsqueda_Fechas_Pago, _Datos _Headers,0))</f>
        <v>45964</v>
      </c>
      <c r="G129" s="619">
        <f ca="1">INDEX(_Datos 129:129,,MATCH(_Búsqueda_Duración, _Datos _Headers,0))</f>
        <v>30</v>
      </c>
      <c r="H129" s="618"/>
      <c r="I129" s="76">
        <f t="shared" ca="1" si="6"/>
        <v>45964</v>
      </c>
      <c r="J129" s="619">
        <f ca="1">CONST_DIAS_BASE_INTERES + IF(DAY(_Fecha_Pago _Anterior)&gt;=Const_Dia_Corte_Aniversario,MAX(CONST_DIAS_LIMITE-DAY(_Fecha_Pago _Anterior),1))</f>
        <v>30</v>
      </c>
      <c r="K129" s="618"/>
      <c r="L129" s="76">
        <f t="shared" ca="1" si="8"/>
        <v>45961</v>
      </c>
      <c r="M129" s="30">
        <f>_DPP _Mensual_AEN</f>
        <v>30</v>
      </c>
      <c r="N129" s="618"/>
      <c r="O129" s="76">
        <f ca="1">IF(DAY(O128 + 1) &lt;= _DPP _Quincenal,
DATE(YEAR(O128 + 1),MONTH( O128 + 1), _DPP _Quincenal ),
EOMONTH( O128 + 1,0))</f>
        <v>44270</v>
      </c>
      <c r="P129" s="30">
        <f>_DPP _Quincenal</f>
        <v>15</v>
      </c>
      <c r="Q129" s="618"/>
      <c r="R129" s="76">
        <f ca="1">IF(DAY(R128 + 1) &lt;= _DPP _Decenal,
DATE(YEAR(R128 + 1),MONTH(R128 + 1),_DPP _Decenal),
IF(DAY(R128 + 1) &lt;= (_DPP _Decenal*2),
DATE(YEAR(R128 + 1),MONTH(R128 + 1),(_DPP _Decenal*2)),EOMONTH(R128 + 1,0)))</f>
        <v>43708</v>
      </c>
      <c r="S129" s="30">
        <f>_DPP _Decenal</f>
        <v>10</v>
      </c>
      <c r="T129" s="618"/>
      <c r="U129" s="76">
        <f t="shared" ca="1" si="7"/>
        <v>45914</v>
      </c>
      <c r="V129" s="30">
        <f t="shared" ca="1" si="9"/>
        <v>30</v>
      </c>
    </row>
    <row r="130" spans="5:22" x14ac:dyDescent="0.3">
      <c r="E130" s="98">
        <f t="shared" si="5"/>
        <v>30</v>
      </c>
      <c r="F130" s="583">
        <f ca="1">INDEX(_Datos 130:130,,MATCH(_Búsqueda_Fechas_Pago, _Datos _Headers,0))</f>
        <v>45994</v>
      </c>
      <c r="G130" s="619">
        <f ca="1">INDEX(_Datos 130:130,,MATCH(_Búsqueda_Duración, _Datos _Headers,0))</f>
        <v>30</v>
      </c>
      <c r="H130" s="618"/>
      <c r="I130" s="76">
        <f t="shared" ca="1" si="6"/>
        <v>45994</v>
      </c>
      <c r="J130" s="619">
        <f ca="1">CONST_DIAS_BASE_INTERES + IF(DAY(_Fecha_Pago _Anterior)&gt;=Const_Dia_Corte_Aniversario,MAX(CONST_DIAS_LIMITE-DAY(_Fecha_Pago _Anterior),1))</f>
        <v>30</v>
      </c>
      <c r="K130" s="618"/>
      <c r="L130" s="76">
        <f t="shared" ca="1" si="8"/>
        <v>45991</v>
      </c>
      <c r="M130" s="30">
        <f>_DPP _Mensual_AEN</f>
        <v>30</v>
      </c>
      <c r="N130" s="618"/>
      <c r="O130" s="76">
        <f ca="1">IF(DAY(O129 + 1) &lt;= _DPP _Quincenal,
DATE(YEAR(O129 + 1),MONTH( O129 + 1), _DPP _Quincenal ),
EOMONTH( O129 + 1,0))</f>
        <v>44286</v>
      </c>
      <c r="P130" s="30">
        <f>_DPP _Quincenal</f>
        <v>15</v>
      </c>
      <c r="Q130" s="618"/>
      <c r="R130" s="76">
        <f ca="1">IF(DAY(R129 + 1) &lt;= _DPP _Decenal,
DATE(YEAR(R129 + 1),MONTH(R129 + 1),_DPP _Decenal),
IF(DAY(R129 + 1) &lt;= (_DPP _Decenal*2),
DATE(YEAR(R129 + 1),MONTH(R129 + 1),(_DPP _Decenal*2)),EOMONTH(R129 + 1,0)))</f>
        <v>43718</v>
      </c>
      <c r="S130" s="30">
        <f>_DPP _Decenal</f>
        <v>10</v>
      </c>
      <c r="T130" s="618"/>
      <c r="U130" s="76">
        <f t="shared" ca="1" si="7"/>
        <v>45944</v>
      </c>
      <c r="V130" s="30">
        <f t="shared" ca="1" si="9"/>
        <v>30</v>
      </c>
    </row>
    <row r="131" spans="5:22" x14ac:dyDescent="0.3">
      <c r="E131" s="98">
        <f t="shared" si="5"/>
        <v>30</v>
      </c>
      <c r="F131" s="583">
        <f ca="1">INDEX(_Datos 131:131,,MATCH(_Búsqueda_Fechas_Pago, _Datos _Headers,0))</f>
        <v>46025</v>
      </c>
      <c r="G131" s="619">
        <f ca="1">INDEX(_Datos 131:131,,MATCH(_Búsqueda_Duración, _Datos _Headers,0))</f>
        <v>30</v>
      </c>
      <c r="H131" s="618"/>
      <c r="I131" s="76">
        <f t="shared" ca="1" si="6"/>
        <v>46025</v>
      </c>
      <c r="J131" s="619">
        <f ca="1">CONST_DIAS_BASE_INTERES + IF(DAY(_Fecha_Pago _Anterior)&gt;=Const_Dia_Corte_Aniversario,MAX(CONST_DIAS_LIMITE-DAY(_Fecha_Pago _Anterior),1))</f>
        <v>30</v>
      </c>
      <c r="K131" s="618"/>
      <c r="L131" s="76">
        <f t="shared" ca="1" si="8"/>
        <v>46022</v>
      </c>
      <c r="M131" s="30">
        <f>_DPP _Mensual_AEN</f>
        <v>30</v>
      </c>
      <c r="N131" s="618"/>
      <c r="O131" s="76">
        <f ca="1">IF(DAY(O130 + 1) &lt;= _DPP _Quincenal,
DATE(YEAR(O130 + 1),MONTH( O130 + 1), _DPP _Quincenal ),
EOMONTH( O130 + 1,0))</f>
        <v>44301</v>
      </c>
      <c r="P131" s="30">
        <f>_DPP _Quincenal</f>
        <v>15</v>
      </c>
      <c r="Q131" s="618"/>
      <c r="R131" s="76">
        <f ca="1">IF(DAY(R130 + 1) &lt;= _DPP _Decenal,
DATE(YEAR(R130 + 1),MONTH(R130 + 1),_DPP _Decenal),
IF(DAY(R130 + 1) &lt;= (_DPP _Decenal*2),
DATE(YEAR(R130 + 1),MONTH(R130 + 1),(_DPP _Decenal*2)),EOMONTH(R130 + 1,0)))</f>
        <v>43728</v>
      </c>
      <c r="S131" s="30">
        <f>_DPP _Decenal</f>
        <v>10</v>
      </c>
      <c r="T131" s="618"/>
      <c r="U131" s="76">
        <f t="shared" ca="1" si="7"/>
        <v>45974</v>
      </c>
      <c r="V131" s="30">
        <f t="shared" ca="1" si="9"/>
        <v>30</v>
      </c>
    </row>
    <row r="132" spans="5:22" x14ac:dyDescent="0.3">
      <c r="E132" s="98">
        <f t="shared" si="5"/>
        <v>30</v>
      </c>
      <c r="F132" s="583">
        <f ca="1">INDEX(_Datos 132:132,,MATCH(_Búsqueda_Fechas_Pago, _Datos _Headers,0))</f>
        <v>46056</v>
      </c>
      <c r="G132" s="619">
        <f ca="1">INDEX(_Datos 132:132,,MATCH(_Búsqueda_Duración, _Datos _Headers,0))</f>
        <v>30</v>
      </c>
      <c r="H132" s="618"/>
      <c r="I132" s="76">
        <f t="shared" ca="1" si="6"/>
        <v>46056</v>
      </c>
      <c r="J132" s="619">
        <f ca="1">CONST_DIAS_BASE_INTERES + IF(DAY(_Fecha_Pago _Anterior)&gt;=Const_Dia_Corte_Aniversario,MAX(CONST_DIAS_LIMITE-DAY(_Fecha_Pago _Anterior),1))</f>
        <v>30</v>
      </c>
      <c r="K132" s="618"/>
      <c r="L132" s="76">
        <f t="shared" ca="1" si="8"/>
        <v>46053</v>
      </c>
      <c r="M132" s="30">
        <f>_DPP _Mensual_AEN</f>
        <v>30</v>
      </c>
      <c r="N132" s="618"/>
      <c r="O132" s="76">
        <f ca="1">IF(DAY(O131 + 1) &lt;= _DPP _Quincenal,
DATE(YEAR(O131 + 1),MONTH( O131 + 1), _DPP _Quincenal ),
EOMONTH( O131 + 1,0))</f>
        <v>44316</v>
      </c>
      <c r="P132" s="30">
        <f>_DPP _Quincenal</f>
        <v>15</v>
      </c>
      <c r="Q132" s="618"/>
      <c r="R132" s="76">
        <f ca="1">IF(DAY(R131 + 1) &lt;= _DPP _Decenal,
DATE(YEAR(R131 + 1),MONTH(R131 + 1),_DPP _Decenal),
IF(DAY(R131 + 1) &lt;= (_DPP _Decenal*2),
DATE(YEAR(R131 + 1),MONTH(R131 + 1),(_DPP _Decenal*2)),EOMONTH(R131 + 1,0)))</f>
        <v>43738</v>
      </c>
      <c r="S132" s="30">
        <f>_DPP _Decenal</f>
        <v>10</v>
      </c>
      <c r="T132" s="618"/>
      <c r="U132" s="76">
        <f t="shared" ca="1" si="7"/>
        <v>46004</v>
      </c>
      <c r="V132" s="30">
        <f t="shared" ca="1" si="9"/>
        <v>30</v>
      </c>
    </row>
    <row r="133" spans="5:22" x14ac:dyDescent="0.3">
      <c r="E133" s="98">
        <f t="shared" si="5"/>
        <v>30</v>
      </c>
      <c r="F133" s="583">
        <f ca="1">INDEX(_Datos 133:133,,MATCH(_Búsqueda_Fechas_Pago, _Datos _Headers,0))</f>
        <v>46084</v>
      </c>
      <c r="G133" s="619">
        <f ca="1">INDEX(_Datos 133:133,,MATCH(_Búsqueda_Duración, _Datos _Headers,0))</f>
        <v>30</v>
      </c>
      <c r="H133" s="618"/>
      <c r="I133" s="76">
        <f t="shared" ca="1" si="6"/>
        <v>46084</v>
      </c>
      <c r="J133" s="619">
        <f ca="1">CONST_DIAS_BASE_INTERES + IF(DAY(_Fecha_Pago _Anterior)&gt;=Const_Dia_Corte_Aniversario,MAX(CONST_DIAS_LIMITE-DAY(_Fecha_Pago _Anterior),1))</f>
        <v>30</v>
      </c>
      <c r="K133" s="618"/>
      <c r="L133" s="76">
        <f t="shared" ca="1" si="8"/>
        <v>46081</v>
      </c>
      <c r="M133" s="30">
        <f>_DPP _Mensual_AEN</f>
        <v>30</v>
      </c>
      <c r="N133" s="618"/>
      <c r="O133" s="76">
        <f ca="1">IF(DAY(O132 + 1) &lt;= _DPP _Quincenal,
DATE(YEAR(O132 + 1),MONTH( O132 + 1), _DPP _Quincenal ),
EOMONTH( O132 + 1,0))</f>
        <v>44331</v>
      </c>
      <c r="P133" s="30">
        <f>_DPP _Quincenal</f>
        <v>15</v>
      </c>
      <c r="Q133" s="618"/>
      <c r="R133" s="76">
        <f ca="1">IF(DAY(R132 + 1) &lt;= _DPP _Decenal,
DATE(YEAR(R132 + 1),MONTH(R132 + 1),_DPP _Decenal),
IF(DAY(R132 + 1) &lt;= (_DPP _Decenal*2),
DATE(YEAR(R132 + 1),MONTH(R132 + 1),(_DPP _Decenal*2)),EOMONTH(R132 + 1,0)))</f>
        <v>43748</v>
      </c>
      <c r="S133" s="30">
        <f>_DPP _Decenal</f>
        <v>10</v>
      </c>
      <c r="T133" s="618"/>
      <c r="U133" s="76">
        <f t="shared" ca="1" si="7"/>
        <v>46034</v>
      </c>
      <c r="V133" s="30">
        <f t="shared" ca="1" si="9"/>
        <v>30</v>
      </c>
    </row>
    <row r="134" spans="5:22" x14ac:dyDescent="0.3">
      <c r="E134" s="98">
        <f t="shared" si="5"/>
        <v>30</v>
      </c>
      <c r="F134" s="583">
        <f ca="1">INDEX(_Datos 134:134,,MATCH(_Búsqueda_Fechas_Pago, _Datos _Headers,0))</f>
        <v>46115</v>
      </c>
      <c r="G134" s="619">
        <f ca="1">INDEX(_Datos 134:134,,MATCH(_Búsqueda_Duración, _Datos _Headers,0))</f>
        <v>30</v>
      </c>
      <c r="H134" s="618"/>
      <c r="I134" s="76">
        <f t="shared" ca="1" si="6"/>
        <v>46115</v>
      </c>
      <c r="J134" s="619">
        <f ca="1">CONST_DIAS_BASE_INTERES + IF(DAY(_Fecha_Pago _Anterior)&gt;=Const_Dia_Corte_Aniversario,MAX(CONST_DIAS_LIMITE-DAY(_Fecha_Pago _Anterior),1))</f>
        <v>30</v>
      </c>
      <c r="K134" s="618"/>
      <c r="L134" s="76">
        <f t="shared" ca="1" si="8"/>
        <v>46112</v>
      </c>
      <c r="M134" s="30">
        <f>_DPP _Mensual_AEN</f>
        <v>30</v>
      </c>
      <c r="N134" s="618"/>
      <c r="O134" s="76">
        <f ca="1">IF(DAY(O133 + 1) &lt;= _DPP _Quincenal,
DATE(YEAR(O133 + 1),MONTH( O133 + 1), _DPP _Quincenal ),
EOMONTH( O133 + 1,0))</f>
        <v>44347</v>
      </c>
      <c r="P134" s="30">
        <f>_DPP _Quincenal</f>
        <v>15</v>
      </c>
      <c r="Q134" s="618"/>
      <c r="R134" s="76">
        <f ca="1">IF(DAY(R133 + 1) &lt;= _DPP _Decenal,
DATE(YEAR(R133 + 1),MONTH(R133 + 1),_DPP _Decenal),
IF(DAY(R133 + 1) &lt;= (_DPP _Decenal*2),
DATE(YEAR(R133 + 1),MONTH(R133 + 1),(_DPP _Decenal*2)),EOMONTH(R133 + 1,0)))</f>
        <v>43758</v>
      </c>
      <c r="S134" s="30">
        <f>_DPP _Decenal</f>
        <v>10</v>
      </c>
      <c r="T134" s="618"/>
      <c r="U134" s="76">
        <f t="shared" ca="1" si="7"/>
        <v>46064</v>
      </c>
      <c r="V134" s="30">
        <f t="shared" ca="1" si="9"/>
        <v>30</v>
      </c>
    </row>
    <row r="135" spans="5:22" x14ac:dyDescent="0.3">
      <c r="E135" s="98">
        <f t="shared" si="5"/>
        <v>30</v>
      </c>
      <c r="F135" s="583">
        <f ca="1">INDEX(_Datos 135:135,,MATCH(_Búsqueda_Fechas_Pago, _Datos _Headers,0))</f>
        <v>46145</v>
      </c>
      <c r="G135" s="619">
        <f ca="1">INDEX(_Datos 135:135,,MATCH(_Búsqueda_Duración, _Datos _Headers,0))</f>
        <v>30</v>
      </c>
      <c r="H135" s="618"/>
      <c r="I135" s="76">
        <f t="shared" ca="1" si="6"/>
        <v>46145</v>
      </c>
      <c r="J135" s="619">
        <f ca="1">CONST_DIAS_BASE_INTERES + IF(DAY(_Fecha_Pago _Anterior)&gt;=Const_Dia_Corte_Aniversario,MAX(CONST_DIAS_LIMITE-DAY(_Fecha_Pago _Anterior),1))</f>
        <v>30</v>
      </c>
      <c r="K135" s="618"/>
      <c r="L135" s="76">
        <f t="shared" ca="1" si="8"/>
        <v>46142</v>
      </c>
      <c r="M135" s="30">
        <f>_DPP _Mensual_AEN</f>
        <v>30</v>
      </c>
      <c r="N135" s="618"/>
      <c r="O135" s="76">
        <f ca="1">IF(DAY(O134 + 1) &lt;= _DPP _Quincenal,
DATE(YEAR(O134 + 1),MONTH( O134 + 1), _DPP _Quincenal ),
EOMONTH( O134 + 1,0))</f>
        <v>44362</v>
      </c>
      <c r="P135" s="30">
        <f>_DPP _Quincenal</f>
        <v>15</v>
      </c>
      <c r="Q135" s="618"/>
      <c r="R135" s="76">
        <f ca="1">IF(DAY(R134 + 1) &lt;= _DPP _Decenal,
DATE(YEAR(R134 + 1),MONTH(R134 + 1),_DPP _Decenal),
IF(DAY(R134 + 1) &lt;= (_DPP _Decenal*2),
DATE(YEAR(R134 + 1),MONTH(R134 + 1),(_DPP _Decenal*2)),EOMONTH(R134 + 1,0)))</f>
        <v>43769</v>
      </c>
      <c r="S135" s="30">
        <f>_DPP _Decenal</f>
        <v>10</v>
      </c>
      <c r="T135" s="618"/>
      <c r="U135" s="76">
        <f t="shared" ca="1" si="7"/>
        <v>46094</v>
      </c>
      <c r="V135" s="30">
        <f t="shared" ca="1" si="9"/>
        <v>30</v>
      </c>
    </row>
    <row r="136" spans="5:22" x14ac:dyDescent="0.3">
      <c r="E136" s="98">
        <f t="shared" si="5"/>
        <v>30</v>
      </c>
      <c r="F136" s="583">
        <f ca="1">INDEX(_Datos 136:136,,MATCH(_Búsqueda_Fechas_Pago, _Datos _Headers,0))</f>
        <v>46176</v>
      </c>
      <c r="G136" s="619">
        <f ca="1">INDEX(_Datos 136:136,,MATCH(_Búsqueda_Duración, _Datos _Headers,0))</f>
        <v>30</v>
      </c>
      <c r="H136" s="618"/>
      <c r="I136" s="76">
        <f t="shared" ca="1" si="6"/>
        <v>46176</v>
      </c>
      <c r="J136" s="619">
        <f ca="1">CONST_DIAS_BASE_INTERES + IF(DAY(_Fecha_Pago _Anterior)&gt;=Const_Dia_Corte_Aniversario,MAX(CONST_DIAS_LIMITE-DAY(_Fecha_Pago _Anterior),1))</f>
        <v>30</v>
      </c>
      <c r="K136" s="618"/>
      <c r="L136" s="76">
        <f t="shared" ca="1" si="8"/>
        <v>46173</v>
      </c>
      <c r="M136" s="30">
        <f>_DPP _Mensual_AEN</f>
        <v>30</v>
      </c>
      <c r="N136" s="618"/>
      <c r="O136" s="76">
        <f ca="1">IF(DAY(O135 + 1) &lt;= _DPP _Quincenal,
DATE(YEAR(O135 + 1),MONTH( O135 + 1), _DPP _Quincenal ),
EOMONTH( O135 + 1,0))</f>
        <v>44377</v>
      </c>
      <c r="P136" s="30">
        <f>_DPP _Quincenal</f>
        <v>15</v>
      </c>
      <c r="Q136" s="618"/>
      <c r="R136" s="76">
        <f ca="1">IF(DAY(R135 + 1) &lt;= _DPP _Decenal,
DATE(YEAR(R135 + 1),MONTH(R135 + 1),_DPP _Decenal),
IF(DAY(R135 + 1) &lt;= (_DPP _Decenal*2),
DATE(YEAR(R135 + 1),MONTH(R135 + 1),(_DPP _Decenal*2)),EOMONTH(R135 + 1,0)))</f>
        <v>43779</v>
      </c>
      <c r="S136" s="30">
        <f>_DPP _Decenal</f>
        <v>10</v>
      </c>
      <c r="T136" s="618"/>
      <c r="U136" s="76">
        <f t="shared" ca="1" si="7"/>
        <v>46124</v>
      </c>
      <c r="V136" s="30">
        <f t="shared" ca="1" si="9"/>
        <v>30</v>
      </c>
    </row>
    <row r="137" spans="5:22" x14ac:dyDescent="0.3">
      <c r="E137" s="98">
        <f t="shared" si="5"/>
        <v>30</v>
      </c>
      <c r="F137" s="583">
        <f ca="1">INDEX(_Datos 137:137,,MATCH(_Búsqueda_Fechas_Pago, _Datos _Headers,0))</f>
        <v>46206</v>
      </c>
      <c r="G137" s="619">
        <f ca="1">INDEX(_Datos 137:137,,MATCH(_Búsqueda_Duración, _Datos _Headers,0))</f>
        <v>30</v>
      </c>
      <c r="H137" s="618"/>
      <c r="I137" s="76">
        <f t="shared" ca="1" si="6"/>
        <v>46206</v>
      </c>
      <c r="J137" s="619">
        <f ca="1">CONST_DIAS_BASE_INTERES + IF(DAY(_Fecha_Pago _Anterior)&gt;=Const_Dia_Corte_Aniversario,MAX(CONST_DIAS_LIMITE-DAY(_Fecha_Pago _Anterior),1))</f>
        <v>30</v>
      </c>
      <c r="K137" s="618"/>
      <c r="L137" s="76">
        <f t="shared" ca="1" si="8"/>
        <v>46203</v>
      </c>
      <c r="M137" s="30">
        <f>_DPP _Mensual_AEN</f>
        <v>30</v>
      </c>
      <c r="N137" s="618"/>
      <c r="O137" s="76">
        <f ca="1">IF(DAY(O136 + 1) &lt;= _DPP _Quincenal,
DATE(YEAR(O136 + 1),MONTH( O136 + 1), _DPP _Quincenal ),
EOMONTH( O136 + 1,0))</f>
        <v>44392</v>
      </c>
      <c r="P137" s="30">
        <f>_DPP _Quincenal</f>
        <v>15</v>
      </c>
      <c r="Q137" s="618"/>
      <c r="R137" s="76">
        <f ca="1">IF(DAY(R136 + 1) &lt;= _DPP _Decenal,
DATE(YEAR(R136 + 1),MONTH(R136 + 1),_DPP _Decenal),
IF(DAY(R136 + 1) &lt;= (_DPP _Decenal*2),
DATE(YEAR(R136 + 1),MONTH(R136 + 1),(_DPP _Decenal*2)),EOMONTH(R136 + 1,0)))</f>
        <v>43789</v>
      </c>
      <c r="S137" s="30">
        <f>_DPP _Decenal</f>
        <v>10</v>
      </c>
      <c r="T137" s="618"/>
      <c r="U137" s="76">
        <f t="shared" ca="1" si="7"/>
        <v>46154</v>
      </c>
      <c r="V137" s="30">
        <f t="shared" ca="1" si="9"/>
        <v>30</v>
      </c>
    </row>
    <row r="138" spans="5:22" x14ac:dyDescent="0.3">
      <c r="E138" s="98">
        <f t="shared" si="5"/>
        <v>30</v>
      </c>
      <c r="F138" s="583">
        <f ca="1">INDEX(_Datos 138:138,,MATCH(_Búsqueda_Fechas_Pago, _Datos _Headers,0))</f>
        <v>46237</v>
      </c>
      <c r="G138" s="619">
        <f ca="1">INDEX(_Datos 138:138,,MATCH(_Búsqueda_Duración, _Datos _Headers,0))</f>
        <v>30</v>
      </c>
      <c r="H138" s="618"/>
      <c r="I138" s="76">
        <f t="shared" ca="1" si="6"/>
        <v>46237</v>
      </c>
      <c r="J138" s="619">
        <f ca="1">CONST_DIAS_BASE_INTERES + IF(DAY(_Fecha_Pago _Anterior)&gt;=Const_Dia_Corte_Aniversario,MAX(CONST_DIAS_LIMITE-DAY(_Fecha_Pago _Anterior),1))</f>
        <v>30</v>
      </c>
      <c r="K138" s="618"/>
      <c r="L138" s="76">
        <f t="shared" ca="1" si="8"/>
        <v>46234</v>
      </c>
      <c r="M138" s="30">
        <f>_DPP _Mensual_AEN</f>
        <v>30</v>
      </c>
      <c r="N138" s="618"/>
      <c r="O138" s="76">
        <f ca="1">IF(DAY(O137 + 1) &lt;= _DPP _Quincenal,
DATE(YEAR(O137 + 1),MONTH( O137 + 1), _DPP _Quincenal ),
EOMONTH( O137 + 1,0))</f>
        <v>44408</v>
      </c>
      <c r="P138" s="30">
        <f>_DPP _Quincenal</f>
        <v>15</v>
      </c>
      <c r="Q138" s="618"/>
      <c r="R138" s="76">
        <f ca="1">IF(DAY(R137 + 1) &lt;= _DPP _Decenal,
DATE(YEAR(R137 + 1),MONTH(R137 + 1),_DPP _Decenal),
IF(DAY(R137 + 1) &lt;= (_DPP _Decenal*2),
DATE(YEAR(R137 + 1),MONTH(R137 + 1),(_DPP _Decenal*2)),EOMONTH(R137 + 1,0)))</f>
        <v>43799</v>
      </c>
      <c r="S138" s="30">
        <f>_DPP _Decenal</f>
        <v>10</v>
      </c>
      <c r="T138" s="618"/>
      <c r="U138" s="76">
        <f t="shared" ca="1" si="7"/>
        <v>46184</v>
      </c>
      <c r="V138" s="30">
        <f t="shared" ca="1" si="9"/>
        <v>30</v>
      </c>
    </row>
    <row r="139" spans="5:22" x14ac:dyDescent="0.3">
      <c r="E139" s="98">
        <f t="shared" si="5"/>
        <v>30</v>
      </c>
      <c r="F139" s="583">
        <f ca="1">INDEX(_Datos 139:139,,MATCH(_Búsqueda_Fechas_Pago, _Datos _Headers,0))</f>
        <v>46268</v>
      </c>
      <c r="G139" s="619">
        <f ca="1">INDEX(_Datos 139:139,,MATCH(_Búsqueda_Duración, _Datos _Headers,0))</f>
        <v>30</v>
      </c>
      <c r="H139" s="618"/>
      <c r="I139" s="76">
        <f t="shared" ca="1" si="6"/>
        <v>46268</v>
      </c>
      <c r="J139" s="619">
        <f ca="1">CONST_DIAS_BASE_INTERES + IF(DAY(_Fecha_Pago _Anterior)&gt;=Const_Dia_Corte_Aniversario,MAX(CONST_DIAS_LIMITE-DAY(_Fecha_Pago _Anterior),1))</f>
        <v>30</v>
      </c>
      <c r="K139" s="618"/>
      <c r="L139" s="76">
        <f t="shared" ca="1" si="8"/>
        <v>46265</v>
      </c>
      <c r="M139" s="30">
        <f>_DPP _Mensual_AEN</f>
        <v>30</v>
      </c>
      <c r="N139" s="618"/>
      <c r="O139" s="76">
        <f ca="1">IF(DAY(O138 + 1) &lt;= _DPP _Quincenal,
DATE(YEAR(O138 + 1),MONTH( O138 + 1), _DPP _Quincenal ),
EOMONTH( O138 + 1,0))</f>
        <v>44423</v>
      </c>
      <c r="P139" s="30">
        <f>_DPP _Quincenal</f>
        <v>15</v>
      </c>
      <c r="Q139" s="618"/>
      <c r="R139" s="76">
        <f ca="1">IF(DAY(R138 + 1) &lt;= _DPP _Decenal,
DATE(YEAR(R138 + 1),MONTH(R138 + 1),_DPP _Decenal),
IF(DAY(R138 + 1) &lt;= (_DPP _Decenal*2),
DATE(YEAR(R138 + 1),MONTH(R138 + 1),(_DPP _Decenal*2)),EOMONTH(R138 + 1,0)))</f>
        <v>43809</v>
      </c>
      <c r="S139" s="30">
        <f>_DPP _Decenal</f>
        <v>10</v>
      </c>
      <c r="T139" s="618"/>
      <c r="U139" s="76">
        <f t="shared" ca="1" si="7"/>
        <v>46214</v>
      </c>
      <c r="V139" s="30">
        <f t="shared" ca="1" si="9"/>
        <v>30</v>
      </c>
    </row>
    <row r="140" spans="5:22" x14ac:dyDescent="0.3">
      <c r="E140" s="98">
        <f t="shared" si="5"/>
        <v>30</v>
      </c>
      <c r="F140" s="583">
        <f ca="1">INDEX(_Datos 140:140,,MATCH(_Búsqueda_Fechas_Pago, _Datos _Headers,0))</f>
        <v>46298</v>
      </c>
      <c r="G140" s="619">
        <f ca="1">INDEX(_Datos 140:140,,MATCH(_Búsqueda_Duración, _Datos _Headers,0))</f>
        <v>30</v>
      </c>
      <c r="H140" s="618"/>
      <c r="I140" s="76">
        <f t="shared" ca="1" si="6"/>
        <v>46298</v>
      </c>
      <c r="J140" s="619">
        <f ca="1">CONST_DIAS_BASE_INTERES + IF(DAY(_Fecha_Pago _Anterior)&gt;=Const_Dia_Corte_Aniversario,MAX(CONST_DIAS_LIMITE-DAY(_Fecha_Pago _Anterior),1))</f>
        <v>30</v>
      </c>
      <c r="K140" s="618"/>
      <c r="L140" s="76">
        <f t="shared" ca="1" si="8"/>
        <v>46295</v>
      </c>
      <c r="M140" s="30">
        <f>_DPP _Mensual_AEN</f>
        <v>30</v>
      </c>
      <c r="N140" s="618"/>
      <c r="O140" s="76">
        <f ca="1">IF(DAY(O139 + 1) &lt;= _DPP _Quincenal,
DATE(YEAR(O139 + 1),MONTH( O139 + 1), _DPP _Quincenal ),
EOMONTH( O139 + 1,0))</f>
        <v>44439</v>
      </c>
      <c r="P140" s="30">
        <f>_DPP _Quincenal</f>
        <v>15</v>
      </c>
      <c r="Q140" s="618"/>
      <c r="R140" s="76">
        <f ca="1">IF(DAY(R139 + 1) &lt;= _DPP _Decenal,
DATE(YEAR(R139 + 1),MONTH(R139 + 1),_DPP _Decenal),
IF(DAY(R139 + 1) &lt;= (_DPP _Decenal*2),
DATE(YEAR(R139 + 1),MONTH(R139 + 1),(_DPP _Decenal*2)),EOMONTH(R139 + 1,0)))</f>
        <v>43819</v>
      </c>
      <c r="S140" s="30">
        <f>_DPP _Decenal</f>
        <v>10</v>
      </c>
      <c r="T140" s="618"/>
      <c r="U140" s="76">
        <f t="shared" ca="1" si="7"/>
        <v>46244</v>
      </c>
      <c r="V140" s="30">
        <f t="shared" ca="1" si="9"/>
        <v>30</v>
      </c>
    </row>
    <row r="141" spans="5:22" x14ac:dyDescent="0.3">
      <c r="E141" s="98">
        <f t="shared" si="5"/>
        <v>30</v>
      </c>
      <c r="F141" s="583">
        <f ca="1">INDEX(_Datos 141:141,,MATCH(_Búsqueda_Fechas_Pago, _Datos _Headers,0))</f>
        <v>46329</v>
      </c>
      <c r="G141" s="619">
        <f ca="1">INDEX(_Datos 141:141,,MATCH(_Búsqueda_Duración, _Datos _Headers,0))</f>
        <v>30</v>
      </c>
      <c r="H141" s="618"/>
      <c r="I141" s="76">
        <f t="shared" ca="1" si="6"/>
        <v>46329</v>
      </c>
      <c r="J141" s="619">
        <f ca="1">CONST_DIAS_BASE_INTERES + IF(DAY(_Fecha_Pago _Anterior)&gt;=Const_Dia_Corte_Aniversario,MAX(CONST_DIAS_LIMITE-DAY(_Fecha_Pago _Anterior),1))</f>
        <v>30</v>
      </c>
      <c r="K141" s="618"/>
      <c r="L141" s="76">
        <f t="shared" ca="1" si="8"/>
        <v>46326</v>
      </c>
      <c r="M141" s="30">
        <f>_DPP _Mensual_AEN</f>
        <v>30</v>
      </c>
      <c r="N141" s="618"/>
      <c r="O141" s="76">
        <f ca="1">IF(DAY(O140 + 1) &lt;= _DPP _Quincenal,
DATE(YEAR(O140 + 1),MONTH( O140 + 1), _DPP _Quincenal ),
EOMONTH( O140 + 1,0))</f>
        <v>44454</v>
      </c>
      <c r="P141" s="30">
        <f>_DPP _Quincenal</f>
        <v>15</v>
      </c>
      <c r="Q141" s="618"/>
      <c r="R141" s="76">
        <f ca="1">IF(DAY(R140 + 1) &lt;= _DPP _Decenal,
DATE(YEAR(R140 + 1),MONTH(R140 + 1),_DPP _Decenal),
IF(DAY(R140 + 1) &lt;= (_DPP _Decenal*2),
DATE(YEAR(R140 + 1),MONTH(R140 + 1),(_DPP _Decenal*2)),EOMONTH(R140 + 1,0)))</f>
        <v>43830</v>
      </c>
      <c r="S141" s="30">
        <f>_DPP _Decenal</f>
        <v>10</v>
      </c>
      <c r="T141" s="618"/>
      <c r="U141" s="76">
        <f t="shared" ca="1" si="7"/>
        <v>46274</v>
      </c>
      <c r="V141" s="30">
        <f t="shared" ca="1" si="9"/>
        <v>30</v>
      </c>
    </row>
    <row r="142" spans="5:22" x14ac:dyDescent="0.3">
      <c r="E142" s="98">
        <f t="shared" si="5"/>
        <v>30</v>
      </c>
      <c r="F142" s="583">
        <f ca="1">INDEX(_Datos 142:142,,MATCH(_Búsqueda_Fechas_Pago, _Datos _Headers,0))</f>
        <v>46359</v>
      </c>
      <c r="G142" s="619">
        <f ca="1">INDEX(_Datos 142:142,,MATCH(_Búsqueda_Duración, _Datos _Headers,0))</f>
        <v>30</v>
      </c>
      <c r="H142" s="618"/>
      <c r="I142" s="76">
        <f t="shared" ca="1" si="6"/>
        <v>46359</v>
      </c>
      <c r="J142" s="619">
        <f ca="1">CONST_DIAS_BASE_INTERES + IF(DAY(_Fecha_Pago _Anterior)&gt;=Const_Dia_Corte_Aniversario,MAX(CONST_DIAS_LIMITE-DAY(_Fecha_Pago _Anterior),1))</f>
        <v>30</v>
      </c>
      <c r="K142" s="618"/>
      <c r="L142" s="76">
        <f t="shared" ca="1" si="8"/>
        <v>46356</v>
      </c>
      <c r="M142" s="30">
        <f>_DPP _Mensual_AEN</f>
        <v>30</v>
      </c>
      <c r="N142" s="618"/>
      <c r="O142" s="76">
        <f ca="1">IF(DAY(O141 + 1) &lt;= _DPP _Quincenal,
DATE(YEAR(O141 + 1),MONTH( O141 + 1), _DPP _Quincenal ),
EOMONTH( O141 + 1,0))</f>
        <v>44469</v>
      </c>
      <c r="P142" s="30">
        <f>_DPP _Quincenal</f>
        <v>15</v>
      </c>
      <c r="Q142" s="618"/>
      <c r="R142" s="76">
        <f ca="1">IF(DAY(R141 + 1) &lt;= _DPP _Decenal,
DATE(YEAR(R141 + 1),MONTH(R141 + 1),_DPP _Decenal),
IF(DAY(R141 + 1) &lt;= (_DPP _Decenal*2),
DATE(YEAR(R141 + 1),MONTH(R141 + 1),(_DPP _Decenal*2)),EOMONTH(R141 + 1,0)))</f>
        <v>43840</v>
      </c>
      <c r="S142" s="30">
        <f>_DPP _Decenal</f>
        <v>10</v>
      </c>
      <c r="T142" s="618"/>
      <c r="U142" s="76">
        <f t="shared" ca="1" si="7"/>
        <v>46304</v>
      </c>
      <c r="V142" s="30">
        <f t="shared" ca="1" si="9"/>
        <v>30</v>
      </c>
    </row>
    <row r="143" spans="5:22" x14ac:dyDescent="0.3">
      <c r="E143" s="98">
        <f t="shared" si="5"/>
        <v>30</v>
      </c>
      <c r="F143" s="583">
        <f ca="1">INDEX(_Datos 143:143,,MATCH(_Búsqueda_Fechas_Pago, _Datos _Headers,0))</f>
        <v>46390</v>
      </c>
      <c r="G143" s="619">
        <f ca="1">INDEX(_Datos 143:143,,MATCH(_Búsqueda_Duración, _Datos _Headers,0))</f>
        <v>30</v>
      </c>
      <c r="H143" s="618"/>
      <c r="I143" s="76">
        <f t="shared" ca="1" si="6"/>
        <v>46390</v>
      </c>
      <c r="J143" s="619">
        <f ca="1">CONST_DIAS_BASE_INTERES + IF(DAY(_Fecha_Pago _Anterior)&gt;=Const_Dia_Corte_Aniversario,MAX(CONST_DIAS_LIMITE-DAY(_Fecha_Pago _Anterior),1))</f>
        <v>30</v>
      </c>
      <c r="K143" s="618"/>
      <c r="L143" s="76">
        <f t="shared" ca="1" si="8"/>
        <v>46387</v>
      </c>
      <c r="M143" s="30">
        <f>_DPP _Mensual_AEN</f>
        <v>30</v>
      </c>
      <c r="N143" s="618"/>
      <c r="O143" s="76">
        <f ca="1">IF(DAY(O142 + 1) &lt;= _DPP _Quincenal,
DATE(YEAR(O142 + 1),MONTH( O142 + 1), _DPP _Quincenal ),
EOMONTH( O142 + 1,0))</f>
        <v>44484</v>
      </c>
      <c r="P143" s="30">
        <f>_DPP _Quincenal</f>
        <v>15</v>
      </c>
      <c r="Q143" s="618"/>
      <c r="R143" s="76">
        <f ca="1">IF(DAY(R142 + 1) &lt;= _DPP _Decenal,
DATE(YEAR(R142 + 1),MONTH(R142 + 1),_DPP _Decenal),
IF(DAY(R142 + 1) &lt;= (_DPP _Decenal*2),
DATE(YEAR(R142 + 1),MONTH(R142 + 1),(_DPP _Decenal*2)),EOMONTH(R142 + 1,0)))</f>
        <v>43850</v>
      </c>
      <c r="S143" s="30">
        <f>_DPP _Decenal</f>
        <v>10</v>
      </c>
      <c r="T143" s="618"/>
      <c r="U143" s="76">
        <f t="shared" ca="1" si="7"/>
        <v>46334</v>
      </c>
      <c r="V143" s="30">
        <f t="shared" ca="1" si="9"/>
        <v>30</v>
      </c>
    </row>
    <row r="144" spans="5:22" x14ac:dyDescent="0.3">
      <c r="E144" s="98">
        <f t="shared" si="5"/>
        <v>30</v>
      </c>
      <c r="F144" s="583">
        <f ca="1">INDEX(_Datos 144:144,,MATCH(_Búsqueda_Fechas_Pago, _Datos _Headers,0))</f>
        <v>46421</v>
      </c>
      <c r="G144" s="619">
        <f ca="1">INDEX(_Datos 144:144,,MATCH(_Búsqueda_Duración, _Datos _Headers,0))</f>
        <v>30</v>
      </c>
      <c r="H144" s="618"/>
      <c r="I144" s="76">
        <f t="shared" ca="1" si="6"/>
        <v>46421</v>
      </c>
      <c r="J144" s="619">
        <f ca="1">CONST_DIAS_BASE_INTERES + IF(DAY(_Fecha_Pago _Anterior)&gt;=Const_Dia_Corte_Aniversario,MAX(CONST_DIAS_LIMITE-DAY(_Fecha_Pago _Anterior),1))</f>
        <v>30</v>
      </c>
      <c r="K144" s="618"/>
      <c r="L144" s="76">
        <f t="shared" ca="1" si="8"/>
        <v>46418</v>
      </c>
      <c r="M144" s="30">
        <f>_DPP _Mensual_AEN</f>
        <v>30</v>
      </c>
      <c r="N144" s="618"/>
      <c r="O144" s="76">
        <f ca="1">IF(DAY(O143 + 1) &lt;= _DPP _Quincenal,
DATE(YEAR(O143 + 1),MONTH( O143 + 1), _DPP _Quincenal ),
EOMONTH( O143 + 1,0))</f>
        <v>44500</v>
      </c>
      <c r="P144" s="30">
        <f>_DPP _Quincenal</f>
        <v>15</v>
      </c>
      <c r="Q144" s="618"/>
      <c r="R144" s="76">
        <f ca="1">IF(DAY(R143 + 1) &lt;= _DPP _Decenal,
DATE(YEAR(R143 + 1),MONTH(R143 + 1),_DPP _Decenal),
IF(DAY(R143 + 1) &lt;= (_DPP _Decenal*2),
DATE(YEAR(R143 + 1),MONTH(R143 + 1),(_DPP _Decenal*2)),EOMONTH(R143 + 1,0)))</f>
        <v>43861</v>
      </c>
      <c r="S144" s="30">
        <f>_DPP _Decenal</f>
        <v>10</v>
      </c>
      <c r="T144" s="618"/>
      <c r="U144" s="76">
        <f t="shared" ca="1" si="7"/>
        <v>46364</v>
      </c>
      <c r="V144" s="30">
        <f t="shared" ca="1" si="9"/>
        <v>30</v>
      </c>
    </row>
    <row r="145" spans="5:22" x14ac:dyDescent="0.3">
      <c r="E145" s="98">
        <f t="shared" si="5"/>
        <v>30</v>
      </c>
      <c r="F145" s="583">
        <f ca="1">INDEX(_Datos 145:145,,MATCH(_Búsqueda_Fechas_Pago, _Datos _Headers,0))</f>
        <v>46449</v>
      </c>
      <c r="G145" s="619">
        <f ca="1">INDEX(_Datos 145:145,,MATCH(_Búsqueda_Duración, _Datos _Headers,0))</f>
        <v>30</v>
      </c>
      <c r="H145" s="618"/>
      <c r="I145" s="76">
        <f t="shared" ca="1" si="6"/>
        <v>46449</v>
      </c>
      <c r="J145" s="619">
        <f ca="1">CONST_DIAS_BASE_INTERES + IF(DAY(_Fecha_Pago _Anterior)&gt;=Const_Dia_Corte_Aniversario,MAX(CONST_DIAS_LIMITE-DAY(_Fecha_Pago _Anterior),1))</f>
        <v>30</v>
      </c>
      <c r="K145" s="618"/>
      <c r="L145" s="76">
        <f t="shared" ca="1" si="8"/>
        <v>46446</v>
      </c>
      <c r="M145" s="30">
        <f>_DPP _Mensual_AEN</f>
        <v>30</v>
      </c>
      <c r="N145" s="618"/>
      <c r="O145" s="76">
        <f ca="1">IF(DAY(O144 + 1) &lt;= _DPP _Quincenal,
DATE(YEAR(O144 + 1),MONTH( O144 + 1), _DPP _Quincenal ),
EOMONTH( O144 + 1,0))</f>
        <v>44515</v>
      </c>
      <c r="P145" s="30">
        <f>_DPP _Quincenal</f>
        <v>15</v>
      </c>
      <c r="Q145" s="618"/>
      <c r="R145" s="76">
        <f ca="1">IF(DAY(R144 + 1) &lt;= _DPP _Decenal,
DATE(YEAR(R144 + 1),MONTH(R144 + 1),_DPP _Decenal),
IF(DAY(R144 + 1) &lt;= (_DPP _Decenal*2),
DATE(YEAR(R144 + 1),MONTH(R144 + 1),(_DPP _Decenal*2)),EOMONTH(R144 + 1,0)))</f>
        <v>43871</v>
      </c>
      <c r="S145" s="30">
        <f>_DPP _Decenal</f>
        <v>10</v>
      </c>
      <c r="T145" s="618"/>
      <c r="U145" s="76">
        <f t="shared" ca="1" si="7"/>
        <v>46394</v>
      </c>
      <c r="V145" s="30">
        <f t="shared" ca="1" si="9"/>
        <v>30</v>
      </c>
    </row>
    <row r="146" spans="5:22" x14ac:dyDescent="0.3">
      <c r="E146" s="98">
        <f t="shared" si="5"/>
        <v>30</v>
      </c>
      <c r="F146" s="583">
        <f ca="1">INDEX(_Datos 146:146,,MATCH(_Búsqueda_Fechas_Pago, _Datos _Headers,0))</f>
        <v>46480</v>
      </c>
      <c r="G146" s="619">
        <f ca="1">INDEX(_Datos 146:146,,MATCH(_Búsqueda_Duración, _Datos _Headers,0))</f>
        <v>30</v>
      </c>
      <c r="H146" s="618"/>
      <c r="I146" s="76">
        <f t="shared" ca="1" si="6"/>
        <v>46480</v>
      </c>
      <c r="J146" s="619">
        <f ca="1">CONST_DIAS_BASE_INTERES + IF(DAY(_Fecha_Pago _Anterior)&gt;=Const_Dia_Corte_Aniversario,MAX(CONST_DIAS_LIMITE-DAY(_Fecha_Pago _Anterior),1))</f>
        <v>30</v>
      </c>
      <c r="K146" s="618"/>
      <c r="L146" s="76">
        <f t="shared" ca="1" si="8"/>
        <v>46477</v>
      </c>
      <c r="M146" s="30">
        <f>_DPP _Mensual_AEN</f>
        <v>30</v>
      </c>
      <c r="N146" s="618"/>
      <c r="O146" s="76">
        <f ca="1">IF(DAY(O145 + 1) &lt;= _DPP _Quincenal,
DATE(YEAR(O145 + 1),MONTH( O145 + 1), _DPP _Quincenal ),
EOMONTH( O145 + 1,0))</f>
        <v>44530</v>
      </c>
      <c r="P146" s="30">
        <f>_DPP _Quincenal</f>
        <v>15</v>
      </c>
      <c r="Q146" s="618"/>
      <c r="R146" s="76">
        <f ca="1">IF(DAY(R145 + 1) &lt;= _DPP _Decenal,
DATE(YEAR(R145 + 1),MONTH(R145 + 1),_DPP _Decenal),
IF(DAY(R145 + 1) &lt;= (_DPP _Decenal*2),
DATE(YEAR(R145 + 1),MONTH(R145 + 1),(_DPP _Decenal*2)),EOMONTH(R145 + 1,0)))</f>
        <v>43881</v>
      </c>
      <c r="S146" s="30">
        <f>_DPP _Decenal</f>
        <v>10</v>
      </c>
      <c r="T146" s="618"/>
      <c r="U146" s="76">
        <f t="shared" ca="1" si="7"/>
        <v>46424</v>
      </c>
      <c r="V146" s="30">
        <f t="shared" ca="1" si="9"/>
        <v>30</v>
      </c>
    </row>
    <row r="147" spans="5:22" x14ac:dyDescent="0.3">
      <c r="E147" s="98">
        <f t="shared" ref="E147:E210" si="10">_Días_por_Periodo</f>
        <v>30</v>
      </c>
      <c r="F147" s="583">
        <f ca="1">INDEX(_Datos 147:147,,MATCH(_Búsqueda_Fechas_Pago, _Datos _Headers,0))</f>
        <v>46510</v>
      </c>
      <c r="G147" s="619">
        <f ca="1">INDEX(_Datos 147:147,,MATCH(_Búsqueda_Duración, _Datos _Headers,0))</f>
        <v>30</v>
      </c>
      <c r="H147" s="618"/>
      <c r="I147" s="76">
        <f t="shared" ca="1" si="6"/>
        <v>46510</v>
      </c>
      <c r="J147" s="619">
        <f ca="1">CONST_DIAS_BASE_INTERES + IF(DAY(_Fecha_Pago _Anterior)&gt;=Const_Dia_Corte_Aniversario,MAX(CONST_DIAS_LIMITE-DAY(_Fecha_Pago _Anterior),1))</f>
        <v>30</v>
      </c>
      <c r="K147" s="618"/>
      <c r="L147" s="76">
        <f t="shared" ca="1" si="8"/>
        <v>46507</v>
      </c>
      <c r="M147" s="30">
        <f>_DPP _Mensual_AEN</f>
        <v>30</v>
      </c>
      <c r="N147" s="618"/>
      <c r="O147" s="76">
        <f ca="1">IF(DAY(O146 + 1) &lt;= _DPP _Quincenal,
DATE(YEAR(O146 + 1),MONTH( O146 + 1), _DPP _Quincenal ),
EOMONTH( O146 + 1,0))</f>
        <v>44545</v>
      </c>
      <c r="P147" s="30">
        <f>_DPP _Quincenal</f>
        <v>15</v>
      </c>
      <c r="Q147" s="618"/>
      <c r="R147" s="76">
        <f ca="1">IF(DAY(R146 + 1) &lt;= _DPP _Decenal,
DATE(YEAR(R146 + 1),MONTH(R146 + 1),_DPP _Decenal),
IF(DAY(R146 + 1) &lt;= (_DPP _Decenal*2),
DATE(YEAR(R146 + 1),MONTH(R146 + 1),(_DPP _Decenal*2)),EOMONTH(R146 + 1,0)))</f>
        <v>43890</v>
      </c>
      <c r="S147" s="30">
        <f>_DPP _Decenal</f>
        <v>10</v>
      </c>
      <c r="T147" s="618"/>
      <c r="U147" s="76">
        <f t="shared" ca="1" si="7"/>
        <v>46454</v>
      </c>
      <c r="V147" s="30">
        <f t="shared" ca="1" si="9"/>
        <v>30</v>
      </c>
    </row>
    <row r="148" spans="5:22" x14ac:dyDescent="0.3">
      <c r="E148" s="98">
        <f t="shared" si="10"/>
        <v>30</v>
      </c>
      <c r="F148" s="583">
        <f ca="1">INDEX(_Datos 148:148,,MATCH(_Búsqueda_Fechas_Pago, _Datos _Headers,0))</f>
        <v>46541</v>
      </c>
      <c r="G148" s="619">
        <f ca="1">INDEX(_Datos 148:148,,MATCH(_Búsqueda_Duración, _Datos _Headers,0))</f>
        <v>30</v>
      </c>
      <c r="H148" s="618"/>
      <c r="I148" s="76">
        <f t="shared" ref="I148:I211" ca="1" si="11">IF(DAY(I147)&gt;=Const_Dia_Corte_Aniversario,EOMONTH(I147,1)+1,EOMONTH(I147,0)+DAY(I147))</f>
        <v>46541</v>
      </c>
      <c r="J148" s="619">
        <f ca="1">CONST_DIAS_BASE_INTERES + IF(DAY(_Fecha_Pago _Anterior)&gt;=Const_Dia_Corte_Aniversario,MAX(CONST_DIAS_LIMITE-DAY(_Fecha_Pago _Anterior),1))</f>
        <v>30</v>
      </c>
      <c r="K148" s="618"/>
      <c r="L148" s="76">
        <f t="shared" ca="1" si="8"/>
        <v>46538</v>
      </c>
      <c r="M148" s="30">
        <f>_DPP _Mensual_AEN</f>
        <v>30</v>
      </c>
      <c r="N148" s="618"/>
      <c r="O148" s="76">
        <f ca="1">IF(DAY(O147 + 1) &lt;= _DPP _Quincenal,
DATE(YEAR(O147 + 1),MONTH( O147 + 1), _DPP _Quincenal ),
EOMONTH( O147 + 1,0))</f>
        <v>44561</v>
      </c>
      <c r="P148" s="30">
        <f>_DPP _Quincenal</f>
        <v>15</v>
      </c>
      <c r="Q148" s="618"/>
      <c r="R148" s="76">
        <f ca="1">IF(DAY(R147 + 1) &lt;= _DPP _Decenal,
DATE(YEAR(R147 + 1),MONTH(R147 + 1),_DPP _Decenal),
IF(DAY(R147 + 1) &lt;= (_DPP _Decenal*2),
DATE(YEAR(R147 + 1),MONTH(R147 + 1),(_DPP _Decenal*2)),EOMONTH(R147 + 1,0)))</f>
        <v>43900</v>
      </c>
      <c r="S148" s="30">
        <f>_DPP _Decenal</f>
        <v>10</v>
      </c>
      <c r="T148" s="618"/>
      <c r="U148" s="76">
        <f t="shared" ref="U148:U211" ca="1" si="12">U147 + _Días_por_Periodo</f>
        <v>46484</v>
      </c>
      <c r="V148" s="30">
        <f t="shared" ca="1" si="9"/>
        <v>30</v>
      </c>
    </row>
    <row r="149" spans="5:22" x14ac:dyDescent="0.3">
      <c r="E149" s="98">
        <f t="shared" si="10"/>
        <v>30</v>
      </c>
      <c r="F149" s="583">
        <f ca="1">INDEX(_Datos 149:149,,MATCH(_Búsqueda_Fechas_Pago, _Datos _Headers,0))</f>
        <v>46571</v>
      </c>
      <c r="G149" s="619">
        <f ca="1">INDEX(_Datos 149:149,,MATCH(_Búsqueda_Duración, _Datos _Headers,0))</f>
        <v>30</v>
      </c>
      <c r="H149" s="618"/>
      <c r="I149" s="76">
        <f t="shared" ca="1" si="11"/>
        <v>46571</v>
      </c>
      <c r="J149" s="619">
        <f ca="1">CONST_DIAS_BASE_INTERES + IF(DAY(_Fecha_Pago _Anterior)&gt;=Const_Dia_Corte_Aniversario,MAX(CONST_DIAS_LIMITE-DAY(_Fecha_Pago _Anterior),1))</f>
        <v>30</v>
      </c>
      <c r="K149" s="618"/>
      <c r="L149" s="76">
        <f t="shared" ref="L149:L212" ca="1" si="13">EOMONTH(L148 + 1,0)</f>
        <v>46568</v>
      </c>
      <c r="M149" s="30">
        <f>_DPP _Mensual_AEN</f>
        <v>30</v>
      </c>
      <c r="N149" s="618"/>
      <c r="O149" s="76">
        <f ca="1">IF(DAY(O148 + 1) &lt;= _DPP _Quincenal,
DATE(YEAR(O148 + 1),MONTH( O148 + 1), _DPP _Quincenal ),
EOMONTH( O148 + 1,0))</f>
        <v>44576</v>
      </c>
      <c r="P149" s="30">
        <f>_DPP _Quincenal</f>
        <v>15</v>
      </c>
      <c r="Q149" s="618"/>
      <c r="R149" s="76">
        <f ca="1">IF(DAY(R148 + 1) &lt;= _DPP _Decenal,
DATE(YEAR(R148 + 1),MONTH(R148 + 1),_DPP _Decenal),
IF(DAY(R148 + 1) &lt;= (_DPP _Decenal*2),
DATE(YEAR(R148 + 1),MONTH(R148 + 1),(_DPP _Decenal*2)),EOMONTH(R148 + 1,0)))</f>
        <v>43910</v>
      </c>
      <c r="S149" s="30">
        <f>_DPP _Decenal</f>
        <v>10</v>
      </c>
      <c r="T149" s="618"/>
      <c r="U149" s="76">
        <f t="shared" ca="1" si="12"/>
        <v>46514</v>
      </c>
      <c r="V149" s="30">
        <f t="shared" ref="V149:V212" ca="1" si="14">U149 - U148</f>
        <v>30</v>
      </c>
    </row>
    <row r="150" spans="5:22" x14ac:dyDescent="0.3">
      <c r="E150" s="98">
        <f t="shared" si="10"/>
        <v>30</v>
      </c>
      <c r="F150" s="583">
        <f ca="1">INDEX(_Datos 150:150,,MATCH(_Búsqueda_Fechas_Pago, _Datos _Headers,0))</f>
        <v>46602</v>
      </c>
      <c r="G150" s="619">
        <f ca="1">INDEX(_Datos 150:150,,MATCH(_Búsqueda_Duración, _Datos _Headers,0))</f>
        <v>30</v>
      </c>
      <c r="H150" s="618"/>
      <c r="I150" s="76">
        <f t="shared" ca="1" si="11"/>
        <v>46602</v>
      </c>
      <c r="J150" s="619">
        <f ca="1">CONST_DIAS_BASE_INTERES + IF(DAY(_Fecha_Pago _Anterior)&gt;=Const_Dia_Corte_Aniversario,MAX(CONST_DIAS_LIMITE-DAY(_Fecha_Pago _Anterior),1))</f>
        <v>30</v>
      </c>
      <c r="K150" s="618"/>
      <c r="L150" s="76">
        <f t="shared" ca="1" si="13"/>
        <v>46599</v>
      </c>
      <c r="M150" s="30">
        <f>_DPP _Mensual_AEN</f>
        <v>30</v>
      </c>
      <c r="N150" s="618"/>
      <c r="O150" s="76">
        <f ca="1">IF(DAY(O149 + 1) &lt;= _DPP _Quincenal,
DATE(YEAR(O149 + 1),MONTH( O149 + 1), _DPP _Quincenal ),
EOMONTH( O149 + 1,0))</f>
        <v>44592</v>
      </c>
      <c r="P150" s="30">
        <f>_DPP _Quincenal</f>
        <v>15</v>
      </c>
      <c r="Q150" s="618"/>
      <c r="R150" s="76">
        <f ca="1">IF(DAY(R149 + 1) &lt;= _DPP _Decenal,
DATE(YEAR(R149 + 1),MONTH(R149 + 1),_DPP _Decenal),
IF(DAY(R149 + 1) &lt;= (_DPP _Decenal*2),
DATE(YEAR(R149 + 1),MONTH(R149 + 1),(_DPP _Decenal*2)),EOMONTH(R149 + 1,0)))</f>
        <v>43921</v>
      </c>
      <c r="S150" s="30">
        <f>_DPP _Decenal</f>
        <v>10</v>
      </c>
      <c r="T150" s="618"/>
      <c r="U150" s="76">
        <f t="shared" ca="1" si="12"/>
        <v>46544</v>
      </c>
      <c r="V150" s="30">
        <f t="shared" ca="1" si="14"/>
        <v>30</v>
      </c>
    </row>
    <row r="151" spans="5:22" x14ac:dyDescent="0.3">
      <c r="E151" s="98">
        <f t="shared" si="10"/>
        <v>30</v>
      </c>
      <c r="F151" s="583">
        <f ca="1">INDEX(_Datos 151:151,,MATCH(_Búsqueda_Fechas_Pago, _Datos _Headers,0))</f>
        <v>46633</v>
      </c>
      <c r="G151" s="619">
        <f ca="1">INDEX(_Datos 151:151,,MATCH(_Búsqueda_Duración, _Datos _Headers,0))</f>
        <v>30</v>
      </c>
      <c r="H151" s="618"/>
      <c r="I151" s="76">
        <f t="shared" ca="1" si="11"/>
        <v>46633</v>
      </c>
      <c r="J151" s="619">
        <f ca="1">CONST_DIAS_BASE_INTERES + IF(DAY(_Fecha_Pago _Anterior)&gt;=Const_Dia_Corte_Aniversario,MAX(CONST_DIAS_LIMITE-DAY(_Fecha_Pago _Anterior),1))</f>
        <v>30</v>
      </c>
      <c r="K151" s="618"/>
      <c r="L151" s="76">
        <f t="shared" ca="1" si="13"/>
        <v>46630</v>
      </c>
      <c r="M151" s="30">
        <f>_DPP _Mensual_AEN</f>
        <v>30</v>
      </c>
      <c r="N151" s="618"/>
      <c r="O151" s="76">
        <f ca="1">IF(DAY(O150 + 1) &lt;= _DPP _Quincenal,
DATE(YEAR(O150 + 1),MONTH( O150 + 1), _DPP _Quincenal ),
EOMONTH( O150 + 1,0))</f>
        <v>44607</v>
      </c>
      <c r="P151" s="30">
        <f>_DPP _Quincenal</f>
        <v>15</v>
      </c>
      <c r="Q151" s="618"/>
      <c r="R151" s="76">
        <f ca="1">IF(DAY(R150 + 1) &lt;= _DPP _Decenal,
DATE(YEAR(R150 + 1),MONTH(R150 + 1),_DPP _Decenal),
IF(DAY(R150 + 1) &lt;= (_DPP _Decenal*2),
DATE(YEAR(R150 + 1),MONTH(R150 + 1),(_DPP _Decenal*2)),EOMONTH(R150 + 1,0)))</f>
        <v>43931</v>
      </c>
      <c r="S151" s="30">
        <f>_DPP _Decenal</f>
        <v>10</v>
      </c>
      <c r="T151" s="618"/>
      <c r="U151" s="76">
        <f t="shared" ca="1" si="12"/>
        <v>46574</v>
      </c>
      <c r="V151" s="30">
        <f t="shared" ca="1" si="14"/>
        <v>30</v>
      </c>
    </row>
    <row r="152" spans="5:22" x14ac:dyDescent="0.3">
      <c r="E152" s="98">
        <f t="shared" si="10"/>
        <v>30</v>
      </c>
      <c r="F152" s="583">
        <f ca="1">INDEX(_Datos 152:152,,MATCH(_Búsqueda_Fechas_Pago, _Datos _Headers,0))</f>
        <v>46663</v>
      </c>
      <c r="G152" s="619">
        <f ca="1">INDEX(_Datos 152:152,,MATCH(_Búsqueda_Duración, _Datos _Headers,0))</f>
        <v>30</v>
      </c>
      <c r="H152" s="618"/>
      <c r="I152" s="76">
        <f t="shared" ca="1" si="11"/>
        <v>46663</v>
      </c>
      <c r="J152" s="619">
        <f ca="1">CONST_DIAS_BASE_INTERES + IF(DAY(_Fecha_Pago _Anterior)&gt;=Const_Dia_Corte_Aniversario,MAX(CONST_DIAS_LIMITE-DAY(_Fecha_Pago _Anterior),1))</f>
        <v>30</v>
      </c>
      <c r="K152" s="618"/>
      <c r="L152" s="76">
        <f t="shared" ca="1" si="13"/>
        <v>46660</v>
      </c>
      <c r="M152" s="30">
        <f>_DPP _Mensual_AEN</f>
        <v>30</v>
      </c>
      <c r="N152" s="618"/>
      <c r="O152" s="76">
        <f ca="1">IF(DAY(O151 + 1) &lt;= _DPP _Quincenal,
DATE(YEAR(O151 + 1),MONTH( O151 + 1), _DPP _Quincenal ),
EOMONTH( O151 + 1,0))</f>
        <v>44620</v>
      </c>
      <c r="P152" s="30">
        <f>_DPP _Quincenal</f>
        <v>15</v>
      </c>
      <c r="Q152" s="618"/>
      <c r="R152" s="76">
        <f ca="1">IF(DAY(R151 + 1) &lt;= _DPP _Decenal,
DATE(YEAR(R151 + 1),MONTH(R151 + 1),_DPP _Decenal),
IF(DAY(R151 + 1) &lt;= (_DPP _Decenal*2),
DATE(YEAR(R151 + 1),MONTH(R151 + 1),(_DPP _Decenal*2)),EOMONTH(R151 + 1,0)))</f>
        <v>43941</v>
      </c>
      <c r="S152" s="30">
        <f>_DPP _Decenal</f>
        <v>10</v>
      </c>
      <c r="T152" s="618"/>
      <c r="U152" s="76">
        <f t="shared" ca="1" si="12"/>
        <v>46604</v>
      </c>
      <c r="V152" s="30">
        <f t="shared" ca="1" si="14"/>
        <v>30</v>
      </c>
    </row>
    <row r="153" spans="5:22" x14ac:dyDescent="0.3">
      <c r="E153" s="98">
        <f t="shared" si="10"/>
        <v>30</v>
      </c>
      <c r="F153" s="583">
        <f ca="1">INDEX(_Datos 153:153,,MATCH(_Búsqueda_Fechas_Pago, _Datos _Headers,0))</f>
        <v>46694</v>
      </c>
      <c r="G153" s="619">
        <f ca="1">INDEX(_Datos 153:153,,MATCH(_Búsqueda_Duración, _Datos _Headers,0))</f>
        <v>30</v>
      </c>
      <c r="H153" s="618"/>
      <c r="I153" s="76">
        <f t="shared" ca="1" si="11"/>
        <v>46694</v>
      </c>
      <c r="J153" s="619">
        <f ca="1">CONST_DIAS_BASE_INTERES + IF(DAY(_Fecha_Pago _Anterior)&gt;=Const_Dia_Corte_Aniversario,MAX(CONST_DIAS_LIMITE-DAY(_Fecha_Pago _Anterior),1))</f>
        <v>30</v>
      </c>
      <c r="K153" s="618"/>
      <c r="L153" s="76">
        <f t="shared" ca="1" si="13"/>
        <v>46691</v>
      </c>
      <c r="M153" s="30">
        <f>_DPP _Mensual_AEN</f>
        <v>30</v>
      </c>
      <c r="N153" s="618"/>
      <c r="O153" s="76">
        <f ca="1">IF(DAY(O152 + 1) &lt;= _DPP _Quincenal,
DATE(YEAR(O152 + 1),MONTH( O152 + 1), _DPP _Quincenal ),
EOMONTH( O152 + 1,0))</f>
        <v>44635</v>
      </c>
      <c r="P153" s="30">
        <f>_DPP _Quincenal</f>
        <v>15</v>
      </c>
      <c r="Q153" s="618"/>
      <c r="R153" s="76">
        <f ca="1">IF(DAY(R152 + 1) &lt;= _DPP _Decenal,
DATE(YEAR(R152 + 1),MONTH(R152 + 1),_DPP _Decenal),
IF(DAY(R152 + 1) &lt;= (_DPP _Decenal*2),
DATE(YEAR(R152 + 1),MONTH(R152 + 1),(_DPP _Decenal*2)),EOMONTH(R152 + 1,0)))</f>
        <v>43951</v>
      </c>
      <c r="S153" s="30">
        <f>_DPP _Decenal</f>
        <v>10</v>
      </c>
      <c r="T153" s="618"/>
      <c r="U153" s="76">
        <f t="shared" ca="1" si="12"/>
        <v>46634</v>
      </c>
      <c r="V153" s="30">
        <f t="shared" ca="1" si="14"/>
        <v>30</v>
      </c>
    </row>
    <row r="154" spans="5:22" x14ac:dyDescent="0.3">
      <c r="E154" s="98">
        <f t="shared" si="10"/>
        <v>30</v>
      </c>
      <c r="F154" s="583">
        <f ca="1">INDEX(_Datos 154:154,,MATCH(_Búsqueda_Fechas_Pago, _Datos _Headers,0))</f>
        <v>46724</v>
      </c>
      <c r="G154" s="619">
        <f ca="1">INDEX(_Datos 154:154,,MATCH(_Búsqueda_Duración, _Datos _Headers,0))</f>
        <v>30</v>
      </c>
      <c r="H154" s="618"/>
      <c r="I154" s="76">
        <f t="shared" ca="1" si="11"/>
        <v>46724</v>
      </c>
      <c r="J154" s="619">
        <f ca="1">CONST_DIAS_BASE_INTERES + IF(DAY(_Fecha_Pago _Anterior)&gt;=Const_Dia_Corte_Aniversario,MAX(CONST_DIAS_LIMITE-DAY(_Fecha_Pago _Anterior),1))</f>
        <v>30</v>
      </c>
      <c r="K154" s="618"/>
      <c r="L154" s="76">
        <f t="shared" ca="1" si="13"/>
        <v>46721</v>
      </c>
      <c r="M154" s="30">
        <f>_DPP _Mensual_AEN</f>
        <v>30</v>
      </c>
      <c r="N154" s="618"/>
      <c r="O154" s="76">
        <f ca="1">IF(DAY(O153 + 1) &lt;= _DPP _Quincenal,
DATE(YEAR(O153 + 1),MONTH( O153 + 1), _DPP _Quincenal ),
EOMONTH( O153 + 1,0))</f>
        <v>44651</v>
      </c>
      <c r="P154" s="30">
        <f>_DPP _Quincenal</f>
        <v>15</v>
      </c>
      <c r="Q154" s="618"/>
      <c r="R154" s="76">
        <f ca="1">IF(DAY(R153 + 1) &lt;= _DPP _Decenal,
DATE(YEAR(R153 + 1),MONTH(R153 + 1),_DPP _Decenal),
IF(DAY(R153 + 1) &lt;= (_DPP _Decenal*2),
DATE(YEAR(R153 + 1),MONTH(R153 + 1),(_DPP _Decenal*2)),EOMONTH(R153 + 1,0)))</f>
        <v>43961</v>
      </c>
      <c r="S154" s="30">
        <f>_DPP _Decenal</f>
        <v>10</v>
      </c>
      <c r="T154" s="618"/>
      <c r="U154" s="76">
        <f t="shared" ca="1" si="12"/>
        <v>46664</v>
      </c>
      <c r="V154" s="30">
        <f t="shared" ca="1" si="14"/>
        <v>30</v>
      </c>
    </row>
    <row r="155" spans="5:22" x14ac:dyDescent="0.3">
      <c r="E155" s="98">
        <f t="shared" si="10"/>
        <v>30</v>
      </c>
      <c r="F155" s="583">
        <f ca="1">INDEX(_Datos 155:155,,MATCH(_Búsqueda_Fechas_Pago, _Datos _Headers,0))</f>
        <v>46755</v>
      </c>
      <c r="G155" s="619">
        <f ca="1">INDEX(_Datos 155:155,,MATCH(_Búsqueda_Duración, _Datos _Headers,0))</f>
        <v>30</v>
      </c>
      <c r="H155" s="618"/>
      <c r="I155" s="76">
        <f t="shared" ca="1" si="11"/>
        <v>46755</v>
      </c>
      <c r="J155" s="619">
        <f ca="1">CONST_DIAS_BASE_INTERES + IF(DAY(_Fecha_Pago _Anterior)&gt;=Const_Dia_Corte_Aniversario,MAX(CONST_DIAS_LIMITE-DAY(_Fecha_Pago _Anterior),1))</f>
        <v>30</v>
      </c>
      <c r="K155" s="618"/>
      <c r="L155" s="76">
        <f t="shared" ca="1" si="13"/>
        <v>46752</v>
      </c>
      <c r="M155" s="30">
        <f>_DPP _Mensual_AEN</f>
        <v>30</v>
      </c>
      <c r="N155" s="618"/>
      <c r="O155" s="76">
        <f ca="1">IF(DAY(O154 + 1) &lt;= _DPP _Quincenal,
DATE(YEAR(O154 + 1),MONTH( O154 + 1), _DPP _Quincenal ),
EOMONTH( O154 + 1,0))</f>
        <v>44666</v>
      </c>
      <c r="P155" s="30">
        <f>_DPP _Quincenal</f>
        <v>15</v>
      </c>
      <c r="Q155" s="618"/>
      <c r="R155" s="76">
        <f ca="1">IF(DAY(R154 + 1) &lt;= _DPP _Decenal,
DATE(YEAR(R154 + 1),MONTH(R154 + 1),_DPP _Decenal),
IF(DAY(R154 + 1) &lt;= (_DPP _Decenal*2),
DATE(YEAR(R154 + 1),MONTH(R154 + 1),(_DPP _Decenal*2)),EOMONTH(R154 + 1,0)))</f>
        <v>43971</v>
      </c>
      <c r="S155" s="30">
        <f>_DPP _Decenal</f>
        <v>10</v>
      </c>
      <c r="T155" s="618"/>
      <c r="U155" s="76">
        <f t="shared" ca="1" si="12"/>
        <v>46694</v>
      </c>
      <c r="V155" s="30">
        <f t="shared" ca="1" si="14"/>
        <v>30</v>
      </c>
    </row>
    <row r="156" spans="5:22" x14ac:dyDescent="0.3">
      <c r="E156" s="98">
        <f t="shared" si="10"/>
        <v>30</v>
      </c>
      <c r="F156" s="583">
        <f ca="1">INDEX(_Datos 156:156,,MATCH(_Búsqueda_Fechas_Pago, _Datos _Headers,0))</f>
        <v>46786</v>
      </c>
      <c r="G156" s="619">
        <f ca="1">INDEX(_Datos 156:156,,MATCH(_Búsqueda_Duración, _Datos _Headers,0))</f>
        <v>30</v>
      </c>
      <c r="H156" s="618"/>
      <c r="I156" s="76">
        <f t="shared" ca="1" si="11"/>
        <v>46786</v>
      </c>
      <c r="J156" s="619">
        <f ca="1">CONST_DIAS_BASE_INTERES + IF(DAY(_Fecha_Pago _Anterior)&gt;=Const_Dia_Corte_Aniversario,MAX(CONST_DIAS_LIMITE-DAY(_Fecha_Pago _Anterior),1))</f>
        <v>30</v>
      </c>
      <c r="K156" s="618"/>
      <c r="L156" s="76">
        <f t="shared" ca="1" si="13"/>
        <v>46783</v>
      </c>
      <c r="M156" s="30">
        <f>_DPP _Mensual_AEN</f>
        <v>30</v>
      </c>
      <c r="N156" s="618"/>
      <c r="O156" s="76">
        <f ca="1">IF(DAY(O155 + 1) &lt;= _DPP _Quincenal,
DATE(YEAR(O155 + 1),MONTH( O155 + 1), _DPP _Quincenal ),
EOMONTH( O155 + 1,0))</f>
        <v>44681</v>
      </c>
      <c r="P156" s="30">
        <f>_DPP _Quincenal</f>
        <v>15</v>
      </c>
      <c r="Q156" s="618"/>
      <c r="R156" s="76">
        <f ca="1">IF(DAY(R155 + 1) &lt;= _DPP _Decenal,
DATE(YEAR(R155 + 1),MONTH(R155 + 1),_DPP _Decenal),
IF(DAY(R155 + 1) &lt;= (_DPP _Decenal*2),
DATE(YEAR(R155 + 1),MONTH(R155 + 1),(_DPP _Decenal*2)),EOMONTH(R155 + 1,0)))</f>
        <v>43982</v>
      </c>
      <c r="S156" s="30">
        <f>_DPP _Decenal</f>
        <v>10</v>
      </c>
      <c r="T156" s="618"/>
      <c r="U156" s="76">
        <f t="shared" ca="1" si="12"/>
        <v>46724</v>
      </c>
      <c r="V156" s="30">
        <f t="shared" ca="1" si="14"/>
        <v>30</v>
      </c>
    </row>
    <row r="157" spans="5:22" x14ac:dyDescent="0.3">
      <c r="E157" s="98">
        <f t="shared" si="10"/>
        <v>30</v>
      </c>
      <c r="F157" s="583">
        <f ca="1">INDEX(_Datos 157:157,,MATCH(_Búsqueda_Fechas_Pago, _Datos _Headers,0))</f>
        <v>46815</v>
      </c>
      <c r="G157" s="619">
        <f ca="1">INDEX(_Datos 157:157,,MATCH(_Búsqueda_Duración, _Datos _Headers,0))</f>
        <v>30</v>
      </c>
      <c r="H157" s="618"/>
      <c r="I157" s="76">
        <f t="shared" ca="1" si="11"/>
        <v>46815</v>
      </c>
      <c r="J157" s="619">
        <f ca="1">CONST_DIAS_BASE_INTERES + IF(DAY(_Fecha_Pago _Anterior)&gt;=Const_Dia_Corte_Aniversario,MAX(CONST_DIAS_LIMITE-DAY(_Fecha_Pago _Anterior),1))</f>
        <v>30</v>
      </c>
      <c r="K157" s="618"/>
      <c r="L157" s="76">
        <f t="shared" ca="1" si="13"/>
        <v>46812</v>
      </c>
      <c r="M157" s="30">
        <f>_DPP _Mensual_AEN</f>
        <v>30</v>
      </c>
      <c r="N157" s="618"/>
      <c r="O157" s="76">
        <f ca="1">IF(DAY(O156 + 1) &lt;= _DPP _Quincenal,
DATE(YEAR(O156 + 1),MONTH( O156 + 1), _DPP _Quincenal ),
EOMONTH( O156 + 1,0))</f>
        <v>44696</v>
      </c>
      <c r="P157" s="30">
        <f>_DPP _Quincenal</f>
        <v>15</v>
      </c>
      <c r="Q157" s="618"/>
      <c r="R157" s="76">
        <f ca="1">IF(DAY(R156 + 1) &lt;= _DPP _Decenal,
DATE(YEAR(R156 + 1),MONTH(R156 + 1),_DPP _Decenal),
IF(DAY(R156 + 1) &lt;= (_DPP _Decenal*2),
DATE(YEAR(R156 + 1),MONTH(R156 + 1),(_DPP _Decenal*2)),EOMONTH(R156 + 1,0)))</f>
        <v>43992</v>
      </c>
      <c r="S157" s="30">
        <f>_DPP _Decenal</f>
        <v>10</v>
      </c>
      <c r="T157" s="618"/>
      <c r="U157" s="76">
        <f t="shared" ca="1" si="12"/>
        <v>46754</v>
      </c>
      <c r="V157" s="30">
        <f t="shared" ca="1" si="14"/>
        <v>30</v>
      </c>
    </row>
    <row r="158" spans="5:22" x14ac:dyDescent="0.3">
      <c r="E158" s="98">
        <f t="shared" si="10"/>
        <v>30</v>
      </c>
      <c r="F158" s="583">
        <f ca="1">INDEX(_Datos 158:158,,MATCH(_Búsqueda_Fechas_Pago, _Datos _Headers,0))</f>
        <v>46846</v>
      </c>
      <c r="G158" s="619">
        <f ca="1">INDEX(_Datos 158:158,,MATCH(_Búsqueda_Duración, _Datos _Headers,0))</f>
        <v>30</v>
      </c>
      <c r="H158" s="618"/>
      <c r="I158" s="76">
        <f t="shared" ca="1" si="11"/>
        <v>46846</v>
      </c>
      <c r="J158" s="619">
        <f ca="1">CONST_DIAS_BASE_INTERES + IF(DAY(_Fecha_Pago _Anterior)&gt;=Const_Dia_Corte_Aniversario,MAX(CONST_DIAS_LIMITE-DAY(_Fecha_Pago _Anterior),1))</f>
        <v>30</v>
      </c>
      <c r="K158" s="618"/>
      <c r="L158" s="76">
        <f t="shared" ca="1" si="13"/>
        <v>46843</v>
      </c>
      <c r="M158" s="30">
        <f>_DPP _Mensual_AEN</f>
        <v>30</v>
      </c>
      <c r="N158" s="618"/>
      <c r="O158" s="76">
        <f ca="1">IF(DAY(O157 + 1) &lt;= _DPP _Quincenal,
DATE(YEAR(O157 + 1),MONTH( O157 + 1), _DPP _Quincenal ),
EOMONTH( O157 + 1,0))</f>
        <v>44712</v>
      </c>
      <c r="P158" s="30">
        <f>_DPP _Quincenal</f>
        <v>15</v>
      </c>
      <c r="Q158" s="618"/>
      <c r="R158" s="76">
        <f ca="1">IF(DAY(R157 + 1) &lt;= _DPP _Decenal,
DATE(YEAR(R157 + 1),MONTH(R157 + 1),_DPP _Decenal),
IF(DAY(R157 + 1) &lt;= (_DPP _Decenal*2),
DATE(YEAR(R157 + 1),MONTH(R157 + 1),(_DPP _Decenal*2)),EOMONTH(R157 + 1,0)))</f>
        <v>44002</v>
      </c>
      <c r="S158" s="30">
        <f>_DPP _Decenal</f>
        <v>10</v>
      </c>
      <c r="T158" s="618"/>
      <c r="U158" s="76">
        <f t="shared" ca="1" si="12"/>
        <v>46784</v>
      </c>
      <c r="V158" s="30">
        <f t="shared" ca="1" si="14"/>
        <v>30</v>
      </c>
    </row>
    <row r="159" spans="5:22" x14ac:dyDescent="0.3">
      <c r="E159" s="98">
        <f t="shared" si="10"/>
        <v>30</v>
      </c>
      <c r="F159" s="583">
        <f ca="1">INDEX(_Datos 159:159,,MATCH(_Búsqueda_Fechas_Pago, _Datos _Headers,0))</f>
        <v>46876</v>
      </c>
      <c r="G159" s="619">
        <f ca="1">INDEX(_Datos 159:159,,MATCH(_Búsqueda_Duración, _Datos _Headers,0))</f>
        <v>30</v>
      </c>
      <c r="H159" s="618"/>
      <c r="I159" s="76">
        <f t="shared" ca="1" si="11"/>
        <v>46876</v>
      </c>
      <c r="J159" s="619">
        <f ca="1">CONST_DIAS_BASE_INTERES + IF(DAY(_Fecha_Pago _Anterior)&gt;=Const_Dia_Corte_Aniversario,MAX(CONST_DIAS_LIMITE-DAY(_Fecha_Pago _Anterior),1))</f>
        <v>30</v>
      </c>
      <c r="K159" s="618"/>
      <c r="L159" s="76">
        <f t="shared" ca="1" si="13"/>
        <v>46873</v>
      </c>
      <c r="M159" s="30">
        <f>_DPP _Mensual_AEN</f>
        <v>30</v>
      </c>
      <c r="N159" s="618"/>
      <c r="O159" s="76">
        <f ca="1">IF(DAY(O158 + 1) &lt;= _DPP _Quincenal,
DATE(YEAR(O158 + 1),MONTH( O158 + 1), _DPP _Quincenal ),
EOMONTH( O158 + 1,0))</f>
        <v>44727</v>
      </c>
      <c r="P159" s="30">
        <f>_DPP _Quincenal</f>
        <v>15</v>
      </c>
      <c r="Q159" s="618"/>
      <c r="R159" s="76">
        <f ca="1">IF(DAY(R158 + 1) &lt;= _DPP _Decenal,
DATE(YEAR(R158 + 1),MONTH(R158 + 1),_DPP _Decenal),
IF(DAY(R158 + 1) &lt;= (_DPP _Decenal*2),
DATE(YEAR(R158 + 1),MONTH(R158 + 1),(_DPP _Decenal*2)),EOMONTH(R158 + 1,0)))</f>
        <v>44012</v>
      </c>
      <c r="S159" s="30">
        <f>_DPP _Decenal</f>
        <v>10</v>
      </c>
      <c r="T159" s="618"/>
      <c r="U159" s="76">
        <f t="shared" ca="1" si="12"/>
        <v>46814</v>
      </c>
      <c r="V159" s="30">
        <f t="shared" ca="1" si="14"/>
        <v>30</v>
      </c>
    </row>
    <row r="160" spans="5:22" x14ac:dyDescent="0.3">
      <c r="E160" s="98">
        <f t="shared" si="10"/>
        <v>30</v>
      </c>
      <c r="F160" s="583">
        <f ca="1">INDEX(_Datos 160:160,,MATCH(_Búsqueda_Fechas_Pago, _Datos _Headers,0))</f>
        <v>46907</v>
      </c>
      <c r="G160" s="619">
        <f ca="1">INDEX(_Datos 160:160,,MATCH(_Búsqueda_Duración, _Datos _Headers,0))</f>
        <v>30</v>
      </c>
      <c r="H160" s="618"/>
      <c r="I160" s="76">
        <f t="shared" ca="1" si="11"/>
        <v>46907</v>
      </c>
      <c r="J160" s="619">
        <f ca="1">CONST_DIAS_BASE_INTERES + IF(DAY(_Fecha_Pago _Anterior)&gt;=Const_Dia_Corte_Aniversario,MAX(CONST_DIAS_LIMITE-DAY(_Fecha_Pago _Anterior),1))</f>
        <v>30</v>
      </c>
      <c r="K160" s="618"/>
      <c r="L160" s="76">
        <f t="shared" ca="1" si="13"/>
        <v>46904</v>
      </c>
      <c r="M160" s="30">
        <f>_DPP _Mensual_AEN</f>
        <v>30</v>
      </c>
      <c r="N160" s="618"/>
      <c r="O160" s="76">
        <f ca="1">IF(DAY(O159 + 1) &lt;= _DPP _Quincenal,
DATE(YEAR(O159 + 1),MONTH( O159 + 1), _DPP _Quincenal ),
EOMONTH( O159 + 1,0))</f>
        <v>44742</v>
      </c>
      <c r="P160" s="30">
        <f>_DPP _Quincenal</f>
        <v>15</v>
      </c>
      <c r="Q160" s="618"/>
      <c r="R160" s="76">
        <f ca="1">IF(DAY(R159 + 1) &lt;= _DPP _Decenal,
DATE(YEAR(R159 + 1),MONTH(R159 + 1),_DPP _Decenal),
IF(DAY(R159 + 1) &lt;= (_DPP _Decenal*2),
DATE(YEAR(R159 + 1),MONTH(R159 + 1),(_DPP _Decenal*2)),EOMONTH(R159 + 1,0)))</f>
        <v>44022</v>
      </c>
      <c r="S160" s="30">
        <f>_DPP _Decenal</f>
        <v>10</v>
      </c>
      <c r="T160" s="618"/>
      <c r="U160" s="76">
        <f t="shared" ca="1" si="12"/>
        <v>46844</v>
      </c>
      <c r="V160" s="30">
        <f t="shared" ca="1" si="14"/>
        <v>30</v>
      </c>
    </row>
    <row r="161" spans="5:22" x14ac:dyDescent="0.3">
      <c r="E161" s="98">
        <f t="shared" si="10"/>
        <v>30</v>
      </c>
      <c r="F161" s="583">
        <f ca="1">INDEX(_Datos 161:161,,MATCH(_Búsqueda_Fechas_Pago, _Datos _Headers,0))</f>
        <v>46937</v>
      </c>
      <c r="G161" s="619">
        <f ca="1">INDEX(_Datos 161:161,,MATCH(_Búsqueda_Duración, _Datos _Headers,0))</f>
        <v>30</v>
      </c>
      <c r="H161" s="618"/>
      <c r="I161" s="76">
        <f t="shared" ca="1" si="11"/>
        <v>46937</v>
      </c>
      <c r="J161" s="619">
        <f ca="1">CONST_DIAS_BASE_INTERES + IF(DAY(_Fecha_Pago _Anterior)&gt;=Const_Dia_Corte_Aniversario,MAX(CONST_DIAS_LIMITE-DAY(_Fecha_Pago _Anterior),1))</f>
        <v>30</v>
      </c>
      <c r="K161" s="618"/>
      <c r="L161" s="76">
        <f t="shared" ca="1" si="13"/>
        <v>46934</v>
      </c>
      <c r="M161" s="30">
        <f>_DPP _Mensual_AEN</f>
        <v>30</v>
      </c>
      <c r="N161" s="618"/>
      <c r="O161" s="76">
        <f ca="1">IF(DAY(O160 + 1) &lt;= _DPP _Quincenal,
DATE(YEAR(O160 + 1),MONTH( O160 + 1), _DPP _Quincenal ),
EOMONTH( O160 + 1,0))</f>
        <v>44757</v>
      </c>
      <c r="P161" s="30">
        <f>_DPP _Quincenal</f>
        <v>15</v>
      </c>
      <c r="Q161" s="618"/>
      <c r="R161" s="76">
        <f ca="1">IF(DAY(R160 + 1) &lt;= _DPP _Decenal,
DATE(YEAR(R160 + 1),MONTH(R160 + 1),_DPP _Decenal),
IF(DAY(R160 + 1) &lt;= (_DPP _Decenal*2),
DATE(YEAR(R160 + 1),MONTH(R160 + 1),(_DPP _Decenal*2)),EOMONTH(R160 + 1,0)))</f>
        <v>44032</v>
      </c>
      <c r="S161" s="30">
        <f>_DPP _Decenal</f>
        <v>10</v>
      </c>
      <c r="T161" s="618"/>
      <c r="U161" s="76">
        <f t="shared" ca="1" si="12"/>
        <v>46874</v>
      </c>
      <c r="V161" s="30">
        <f t="shared" ca="1" si="14"/>
        <v>30</v>
      </c>
    </row>
    <row r="162" spans="5:22" x14ac:dyDescent="0.3">
      <c r="E162" s="98">
        <f t="shared" si="10"/>
        <v>30</v>
      </c>
      <c r="F162" s="583">
        <f ca="1">INDEX(_Datos 162:162,,MATCH(_Búsqueda_Fechas_Pago, _Datos _Headers,0))</f>
        <v>46968</v>
      </c>
      <c r="G162" s="619">
        <f ca="1">INDEX(_Datos 162:162,,MATCH(_Búsqueda_Duración, _Datos _Headers,0))</f>
        <v>30</v>
      </c>
      <c r="H162" s="618"/>
      <c r="I162" s="76">
        <f t="shared" ca="1" si="11"/>
        <v>46968</v>
      </c>
      <c r="J162" s="619">
        <f ca="1">CONST_DIAS_BASE_INTERES + IF(DAY(_Fecha_Pago _Anterior)&gt;=Const_Dia_Corte_Aniversario,MAX(CONST_DIAS_LIMITE-DAY(_Fecha_Pago _Anterior),1))</f>
        <v>30</v>
      </c>
      <c r="K162" s="618"/>
      <c r="L162" s="76">
        <f t="shared" ca="1" si="13"/>
        <v>46965</v>
      </c>
      <c r="M162" s="30">
        <f>_DPP _Mensual_AEN</f>
        <v>30</v>
      </c>
      <c r="N162" s="618"/>
      <c r="O162" s="76">
        <f ca="1">IF(DAY(O161 + 1) &lt;= _DPP _Quincenal,
DATE(YEAR(O161 + 1),MONTH( O161 + 1), _DPP _Quincenal ),
EOMONTH( O161 + 1,0))</f>
        <v>44773</v>
      </c>
      <c r="P162" s="30">
        <f>_DPP _Quincenal</f>
        <v>15</v>
      </c>
      <c r="Q162" s="618"/>
      <c r="R162" s="76">
        <f ca="1">IF(DAY(R161 + 1) &lt;= _DPP _Decenal,
DATE(YEAR(R161 + 1),MONTH(R161 + 1),_DPP _Decenal),
IF(DAY(R161 + 1) &lt;= (_DPP _Decenal*2),
DATE(YEAR(R161 + 1),MONTH(R161 + 1),(_DPP _Decenal*2)),EOMONTH(R161 + 1,0)))</f>
        <v>44043</v>
      </c>
      <c r="S162" s="30">
        <f>_DPP _Decenal</f>
        <v>10</v>
      </c>
      <c r="T162" s="618"/>
      <c r="U162" s="76">
        <f t="shared" ca="1" si="12"/>
        <v>46904</v>
      </c>
      <c r="V162" s="30">
        <f t="shared" ca="1" si="14"/>
        <v>30</v>
      </c>
    </row>
    <row r="163" spans="5:22" x14ac:dyDescent="0.3">
      <c r="E163" s="98">
        <f t="shared" si="10"/>
        <v>30</v>
      </c>
      <c r="F163" s="583">
        <f ca="1">INDEX(_Datos 163:163,,MATCH(_Búsqueda_Fechas_Pago, _Datos _Headers,0))</f>
        <v>46999</v>
      </c>
      <c r="G163" s="619">
        <f ca="1">INDEX(_Datos 163:163,,MATCH(_Búsqueda_Duración, _Datos _Headers,0))</f>
        <v>30</v>
      </c>
      <c r="H163" s="618"/>
      <c r="I163" s="76">
        <f t="shared" ca="1" si="11"/>
        <v>46999</v>
      </c>
      <c r="J163" s="619">
        <f ca="1">CONST_DIAS_BASE_INTERES + IF(DAY(_Fecha_Pago _Anterior)&gt;=Const_Dia_Corte_Aniversario,MAX(CONST_DIAS_LIMITE-DAY(_Fecha_Pago _Anterior),1))</f>
        <v>30</v>
      </c>
      <c r="K163" s="618"/>
      <c r="L163" s="76">
        <f t="shared" ca="1" si="13"/>
        <v>46996</v>
      </c>
      <c r="M163" s="30">
        <f>_DPP _Mensual_AEN</f>
        <v>30</v>
      </c>
      <c r="N163" s="618"/>
      <c r="O163" s="76">
        <f ca="1">IF(DAY(O162 + 1) &lt;= _DPP _Quincenal,
DATE(YEAR(O162 + 1),MONTH( O162 + 1), _DPP _Quincenal ),
EOMONTH( O162 + 1,0))</f>
        <v>44788</v>
      </c>
      <c r="P163" s="30">
        <f>_DPP _Quincenal</f>
        <v>15</v>
      </c>
      <c r="Q163" s="618"/>
      <c r="R163" s="76">
        <f ca="1">IF(DAY(R162 + 1) &lt;= _DPP _Decenal,
DATE(YEAR(R162 + 1),MONTH(R162 + 1),_DPP _Decenal),
IF(DAY(R162 + 1) &lt;= (_DPP _Decenal*2),
DATE(YEAR(R162 + 1),MONTH(R162 + 1),(_DPP _Decenal*2)),EOMONTH(R162 + 1,0)))</f>
        <v>44053</v>
      </c>
      <c r="S163" s="30">
        <f>_DPP _Decenal</f>
        <v>10</v>
      </c>
      <c r="T163" s="618"/>
      <c r="U163" s="76">
        <f t="shared" ca="1" si="12"/>
        <v>46934</v>
      </c>
      <c r="V163" s="30">
        <f t="shared" ca="1" si="14"/>
        <v>30</v>
      </c>
    </row>
    <row r="164" spans="5:22" x14ac:dyDescent="0.3">
      <c r="E164" s="98">
        <f t="shared" si="10"/>
        <v>30</v>
      </c>
      <c r="F164" s="583">
        <f ca="1">INDEX(_Datos 164:164,,MATCH(_Búsqueda_Fechas_Pago, _Datos _Headers,0))</f>
        <v>47029</v>
      </c>
      <c r="G164" s="619">
        <f ca="1">INDEX(_Datos 164:164,,MATCH(_Búsqueda_Duración, _Datos _Headers,0))</f>
        <v>30</v>
      </c>
      <c r="H164" s="618"/>
      <c r="I164" s="76">
        <f t="shared" ca="1" si="11"/>
        <v>47029</v>
      </c>
      <c r="J164" s="619">
        <f ca="1">CONST_DIAS_BASE_INTERES + IF(DAY(_Fecha_Pago _Anterior)&gt;=Const_Dia_Corte_Aniversario,MAX(CONST_DIAS_LIMITE-DAY(_Fecha_Pago _Anterior),1))</f>
        <v>30</v>
      </c>
      <c r="K164" s="618"/>
      <c r="L164" s="76">
        <f t="shared" ca="1" si="13"/>
        <v>47026</v>
      </c>
      <c r="M164" s="30">
        <f>_DPP _Mensual_AEN</f>
        <v>30</v>
      </c>
      <c r="N164" s="618"/>
      <c r="O164" s="76">
        <f ca="1">IF(DAY(O163 + 1) &lt;= _DPP _Quincenal,
DATE(YEAR(O163 + 1),MONTH( O163 + 1), _DPP _Quincenal ),
EOMONTH( O163 + 1,0))</f>
        <v>44804</v>
      </c>
      <c r="P164" s="30">
        <f>_DPP _Quincenal</f>
        <v>15</v>
      </c>
      <c r="Q164" s="618"/>
      <c r="R164" s="76">
        <f ca="1">IF(DAY(R163 + 1) &lt;= _DPP _Decenal,
DATE(YEAR(R163 + 1),MONTH(R163 + 1),_DPP _Decenal),
IF(DAY(R163 + 1) &lt;= (_DPP _Decenal*2),
DATE(YEAR(R163 + 1),MONTH(R163 + 1),(_DPP _Decenal*2)),EOMONTH(R163 + 1,0)))</f>
        <v>44063</v>
      </c>
      <c r="S164" s="30">
        <f>_DPP _Decenal</f>
        <v>10</v>
      </c>
      <c r="T164" s="618"/>
      <c r="U164" s="76">
        <f t="shared" ca="1" si="12"/>
        <v>46964</v>
      </c>
      <c r="V164" s="30">
        <f t="shared" ca="1" si="14"/>
        <v>30</v>
      </c>
    </row>
    <row r="165" spans="5:22" x14ac:dyDescent="0.3">
      <c r="E165" s="98">
        <f t="shared" si="10"/>
        <v>30</v>
      </c>
      <c r="F165" s="583">
        <f ca="1">INDEX(_Datos 165:165,,MATCH(_Búsqueda_Fechas_Pago, _Datos _Headers,0))</f>
        <v>47060</v>
      </c>
      <c r="G165" s="619">
        <f ca="1">INDEX(_Datos 165:165,,MATCH(_Búsqueda_Duración, _Datos _Headers,0))</f>
        <v>30</v>
      </c>
      <c r="H165" s="618"/>
      <c r="I165" s="76">
        <f t="shared" ca="1" si="11"/>
        <v>47060</v>
      </c>
      <c r="J165" s="619">
        <f ca="1">CONST_DIAS_BASE_INTERES + IF(DAY(_Fecha_Pago _Anterior)&gt;=Const_Dia_Corte_Aniversario,MAX(CONST_DIAS_LIMITE-DAY(_Fecha_Pago _Anterior),1))</f>
        <v>30</v>
      </c>
      <c r="K165" s="618"/>
      <c r="L165" s="76">
        <f t="shared" ca="1" si="13"/>
        <v>47057</v>
      </c>
      <c r="M165" s="30">
        <f>_DPP _Mensual_AEN</f>
        <v>30</v>
      </c>
      <c r="N165" s="618"/>
      <c r="O165" s="76">
        <f ca="1">IF(DAY(O164 + 1) &lt;= _DPP _Quincenal,
DATE(YEAR(O164 + 1),MONTH( O164 + 1), _DPP _Quincenal ),
EOMONTH( O164 + 1,0))</f>
        <v>44819</v>
      </c>
      <c r="P165" s="30">
        <f>_DPP _Quincenal</f>
        <v>15</v>
      </c>
      <c r="Q165" s="618"/>
      <c r="R165" s="76">
        <f ca="1">IF(DAY(R164 + 1) &lt;= _DPP _Decenal,
DATE(YEAR(R164 + 1),MONTH(R164 + 1),_DPP _Decenal),
IF(DAY(R164 + 1) &lt;= (_DPP _Decenal*2),
DATE(YEAR(R164 + 1),MONTH(R164 + 1),(_DPP _Decenal*2)),EOMONTH(R164 + 1,0)))</f>
        <v>44074</v>
      </c>
      <c r="S165" s="30">
        <f>_DPP _Decenal</f>
        <v>10</v>
      </c>
      <c r="T165" s="618"/>
      <c r="U165" s="76">
        <f t="shared" ca="1" si="12"/>
        <v>46994</v>
      </c>
      <c r="V165" s="30">
        <f t="shared" ca="1" si="14"/>
        <v>30</v>
      </c>
    </row>
    <row r="166" spans="5:22" x14ac:dyDescent="0.3">
      <c r="E166" s="98">
        <f t="shared" si="10"/>
        <v>30</v>
      </c>
      <c r="F166" s="583">
        <f ca="1">INDEX(_Datos 166:166,,MATCH(_Búsqueda_Fechas_Pago, _Datos _Headers,0))</f>
        <v>47090</v>
      </c>
      <c r="G166" s="619">
        <f ca="1">INDEX(_Datos 166:166,,MATCH(_Búsqueda_Duración, _Datos _Headers,0))</f>
        <v>30</v>
      </c>
      <c r="H166" s="618"/>
      <c r="I166" s="76">
        <f t="shared" ca="1" si="11"/>
        <v>47090</v>
      </c>
      <c r="J166" s="619">
        <f ca="1">CONST_DIAS_BASE_INTERES + IF(DAY(_Fecha_Pago _Anterior)&gt;=Const_Dia_Corte_Aniversario,MAX(CONST_DIAS_LIMITE-DAY(_Fecha_Pago _Anterior),1))</f>
        <v>30</v>
      </c>
      <c r="K166" s="618"/>
      <c r="L166" s="76">
        <f t="shared" ca="1" si="13"/>
        <v>47087</v>
      </c>
      <c r="M166" s="30">
        <f>_DPP _Mensual_AEN</f>
        <v>30</v>
      </c>
      <c r="N166" s="618"/>
      <c r="O166" s="76">
        <f ca="1">IF(DAY(O165 + 1) &lt;= _DPP _Quincenal,
DATE(YEAR(O165 + 1),MONTH( O165 + 1), _DPP _Quincenal ),
EOMONTH( O165 + 1,0))</f>
        <v>44834</v>
      </c>
      <c r="P166" s="30">
        <f>_DPP _Quincenal</f>
        <v>15</v>
      </c>
      <c r="Q166" s="618"/>
      <c r="R166" s="76">
        <f ca="1">IF(DAY(R165 + 1) &lt;= _DPP _Decenal,
DATE(YEAR(R165 + 1),MONTH(R165 + 1),_DPP _Decenal),
IF(DAY(R165 + 1) &lt;= (_DPP _Decenal*2),
DATE(YEAR(R165 + 1),MONTH(R165 + 1),(_DPP _Decenal*2)),EOMONTH(R165 + 1,0)))</f>
        <v>44084</v>
      </c>
      <c r="S166" s="30">
        <f>_DPP _Decenal</f>
        <v>10</v>
      </c>
      <c r="T166" s="618"/>
      <c r="U166" s="76">
        <f t="shared" ca="1" si="12"/>
        <v>47024</v>
      </c>
      <c r="V166" s="30">
        <f t="shared" ca="1" si="14"/>
        <v>30</v>
      </c>
    </row>
    <row r="167" spans="5:22" x14ac:dyDescent="0.3">
      <c r="E167" s="98">
        <f t="shared" si="10"/>
        <v>30</v>
      </c>
      <c r="F167" s="583">
        <f ca="1">INDEX(_Datos 167:167,,MATCH(_Búsqueda_Fechas_Pago, _Datos _Headers,0))</f>
        <v>47121</v>
      </c>
      <c r="G167" s="619">
        <f ca="1">INDEX(_Datos 167:167,,MATCH(_Búsqueda_Duración, _Datos _Headers,0))</f>
        <v>30</v>
      </c>
      <c r="H167" s="618"/>
      <c r="I167" s="76">
        <f t="shared" ca="1" si="11"/>
        <v>47121</v>
      </c>
      <c r="J167" s="619">
        <f ca="1">CONST_DIAS_BASE_INTERES + IF(DAY(_Fecha_Pago _Anterior)&gt;=Const_Dia_Corte_Aniversario,MAX(CONST_DIAS_LIMITE-DAY(_Fecha_Pago _Anterior),1))</f>
        <v>30</v>
      </c>
      <c r="K167" s="618"/>
      <c r="L167" s="76">
        <f t="shared" ca="1" si="13"/>
        <v>47118</v>
      </c>
      <c r="M167" s="30">
        <f>_DPP _Mensual_AEN</f>
        <v>30</v>
      </c>
      <c r="N167" s="618"/>
      <c r="O167" s="76">
        <f ca="1">IF(DAY(O166 + 1) &lt;= _DPP _Quincenal,
DATE(YEAR(O166 + 1),MONTH( O166 + 1), _DPP _Quincenal ),
EOMONTH( O166 + 1,0))</f>
        <v>44849</v>
      </c>
      <c r="P167" s="30">
        <f>_DPP _Quincenal</f>
        <v>15</v>
      </c>
      <c r="Q167" s="618"/>
      <c r="R167" s="76">
        <f ca="1">IF(DAY(R166 + 1) &lt;= _DPP _Decenal,
DATE(YEAR(R166 + 1),MONTH(R166 + 1),_DPP _Decenal),
IF(DAY(R166 + 1) &lt;= (_DPP _Decenal*2),
DATE(YEAR(R166 + 1),MONTH(R166 + 1),(_DPP _Decenal*2)),EOMONTH(R166 + 1,0)))</f>
        <v>44094</v>
      </c>
      <c r="S167" s="30">
        <f>_DPP _Decenal</f>
        <v>10</v>
      </c>
      <c r="T167" s="618"/>
      <c r="U167" s="76">
        <f t="shared" ca="1" si="12"/>
        <v>47054</v>
      </c>
      <c r="V167" s="30">
        <f t="shared" ca="1" si="14"/>
        <v>30</v>
      </c>
    </row>
    <row r="168" spans="5:22" x14ac:dyDescent="0.3">
      <c r="E168" s="98">
        <f t="shared" si="10"/>
        <v>30</v>
      </c>
      <c r="F168" s="583">
        <f ca="1">INDEX(_Datos 168:168,,MATCH(_Búsqueda_Fechas_Pago, _Datos _Headers,0))</f>
        <v>47152</v>
      </c>
      <c r="G168" s="619">
        <f ca="1">INDEX(_Datos 168:168,,MATCH(_Búsqueda_Duración, _Datos _Headers,0))</f>
        <v>30</v>
      </c>
      <c r="H168" s="618"/>
      <c r="I168" s="76">
        <f t="shared" ca="1" si="11"/>
        <v>47152</v>
      </c>
      <c r="J168" s="619">
        <f ca="1">CONST_DIAS_BASE_INTERES + IF(DAY(_Fecha_Pago _Anterior)&gt;=Const_Dia_Corte_Aniversario,MAX(CONST_DIAS_LIMITE-DAY(_Fecha_Pago _Anterior),1))</f>
        <v>30</v>
      </c>
      <c r="K168" s="618"/>
      <c r="L168" s="76">
        <f t="shared" ca="1" si="13"/>
        <v>47149</v>
      </c>
      <c r="M168" s="30">
        <f>_DPP _Mensual_AEN</f>
        <v>30</v>
      </c>
      <c r="N168" s="618"/>
      <c r="O168" s="76">
        <f ca="1">IF(DAY(O167 + 1) &lt;= _DPP _Quincenal,
DATE(YEAR(O167 + 1),MONTH( O167 + 1), _DPP _Quincenal ),
EOMONTH( O167 + 1,0))</f>
        <v>44865</v>
      </c>
      <c r="P168" s="30">
        <f>_DPP _Quincenal</f>
        <v>15</v>
      </c>
      <c r="Q168" s="618"/>
      <c r="R168" s="76">
        <f ca="1">IF(DAY(R167 + 1) &lt;= _DPP _Decenal,
DATE(YEAR(R167 + 1),MONTH(R167 + 1),_DPP _Decenal),
IF(DAY(R167 + 1) &lt;= (_DPP _Decenal*2),
DATE(YEAR(R167 + 1),MONTH(R167 + 1),(_DPP _Decenal*2)),EOMONTH(R167 + 1,0)))</f>
        <v>44104</v>
      </c>
      <c r="S168" s="30">
        <f>_DPP _Decenal</f>
        <v>10</v>
      </c>
      <c r="T168" s="618"/>
      <c r="U168" s="76">
        <f t="shared" ca="1" si="12"/>
        <v>47084</v>
      </c>
      <c r="V168" s="30">
        <f t="shared" ca="1" si="14"/>
        <v>30</v>
      </c>
    </row>
    <row r="169" spans="5:22" x14ac:dyDescent="0.3">
      <c r="E169" s="98">
        <f t="shared" si="10"/>
        <v>30</v>
      </c>
      <c r="F169" s="583">
        <f ca="1">INDEX(_Datos 169:169,,MATCH(_Búsqueda_Fechas_Pago, _Datos _Headers,0))</f>
        <v>47180</v>
      </c>
      <c r="G169" s="619">
        <f ca="1">INDEX(_Datos 169:169,,MATCH(_Búsqueda_Duración, _Datos _Headers,0))</f>
        <v>30</v>
      </c>
      <c r="H169" s="618"/>
      <c r="I169" s="76">
        <f t="shared" ca="1" si="11"/>
        <v>47180</v>
      </c>
      <c r="J169" s="619">
        <f ca="1">CONST_DIAS_BASE_INTERES + IF(DAY(_Fecha_Pago _Anterior)&gt;=Const_Dia_Corte_Aniversario,MAX(CONST_DIAS_LIMITE-DAY(_Fecha_Pago _Anterior),1))</f>
        <v>30</v>
      </c>
      <c r="K169" s="618"/>
      <c r="L169" s="76">
        <f t="shared" ca="1" si="13"/>
        <v>47177</v>
      </c>
      <c r="M169" s="30">
        <f>_DPP _Mensual_AEN</f>
        <v>30</v>
      </c>
      <c r="N169" s="618"/>
      <c r="O169" s="76">
        <f ca="1">IF(DAY(O168 + 1) &lt;= _DPP _Quincenal,
DATE(YEAR(O168 + 1),MONTH( O168 + 1), _DPP _Quincenal ),
EOMONTH( O168 + 1,0))</f>
        <v>44880</v>
      </c>
      <c r="P169" s="30">
        <f>_DPP _Quincenal</f>
        <v>15</v>
      </c>
      <c r="Q169" s="618"/>
      <c r="R169" s="76">
        <f ca="1">IF(DAY(R168 + 1) &lt;= _DPP _Decenal,
DATE(YEAR(R168 + 1),MONTH(R168 + 1),_DPP _Decenal),
IF(DAY(R168 + 1) &lt;= (_DPP _Decenal*2),
DATE(YEAR(R168 + 1),MONTH(R168 + 1),(_DPP _Decenal*2)),EOMONTH(R168 + 1,0)))</f>
        <v>44114</v>
      </c>
      <c r="S169" s="30">
        <f>_DPP _Decenal</f>
        <v>10</v>
      </c>
      <c r="T169" s="618"/>
      <c r="U169" s="76">
        <f t="shared" ca="1" si="12"/>
        <v>47114</v>
      </c>
      <c r="V169" s="30">
        <f t="shared" ca="1" si="14"/>
        <v>30</v>
      </c>
    </row>
    <row r="170" spans="5:22" x14ac:dyDescent="0.3">
      <c r="E170" s="98">
        <f t="shared" si="10"/>
        <v>30</v>
      </c>
      <c r="F170" s="583">
        <f ca="1">INDEX(_Datos 170:170,,MATCH(_Búsqueda_Fechas_Pago, _Datos _Headers,0))</f>
        <v>47211</v>
      </c>
      <c r="G170" s="619">
        <f ca="1">INDEX(_Datos 170:170,,MATCH(_Búsqueda_Duración, _Datos _Headers,0))</f>
        <v>30</v>
      </c>
      <c r="H170" s="618"/>
      <c r="I170" s="76">
        <f t="shared" ca="1" si="11"/>
        <v>47211</v>
      </c>
      <c r="J170" s="619">
        <f ca="1">CONST_DIAS_BASE_INTERES + IF(DAY(_Fecha_Pago _Anterior)&gt;=Const_Dia_Corte_Aniversario,MAX(CONST_DIAS_LIMITE-DAY(_Fecha_Pago _Anterior),1))</f>
        <v>30</v>
      </c>
      <c r="K170" s="618"/>
      <c r="L170" s="76">
        <f t="shared" ca="1" si="13"/>
        <v>47208</v>
      </c>
      <c r="M170" s="30">
        <f>_DPP _Mensual_AEN</f>
        <v>30</v>
      </c>
      <c r="N170" s="618"/>
      <c r="O170" s="76">
        <f ca="1">IF(DAY(O169 + 1) &lt;= _DPP _Quincenal,
DATE(YEAR(O169 + 1),MONTH( O169 + 1), _DPP _Quincenal ),
EOMONTH( O169 + 1,0))</f>
        <v>44895</v>
      </c>
      <c r="P170" s="30">
        <f>_DPP _Quincenal</f>
        <v>15</v>
      </c>
      <c r="Q170" s="618"/>
      <c r="R170" s="76">
        <f ca="1">IF(DAY(R169 + 1) &lt;= _DPP _Decenal,
DATE(YEAR(R169 + 1),MONTH(R169 + 1),_DPP _Decenal),
IF(DAY(R169 + 1) &lt;= (_DPP _Decenal*2),
DATE(YEAR(R169 + 1),MONTH(R169 + 1),(_DPP _Decenal*2)),EOMONTH(R169 + 1,0)))</f>
        <v>44124</v>
      </c>
      <c r="S170" s="30">
        <f>_DPP _Decenal</f>
        <v>10</v>
      </c>
      <c r="T170" s="618"/>
      <c r="U170" s="76">
        <f t="shared" ca="1" si="12"/>
        <v>47144</v>
      </c>
      <c r="V170" s="30">
        <f t="shared" ca="1" si="14"/>
        <v>30</v>
      </c>
    </row>
    <row r="171" spans="5:22" x14ac:dyDescent="0.3">
      <c r="E171" s="98">
        <f t="shared" si="10"/>
        <v>30</v>
      </c>
      <c r="F171" s="583">
        <f ca="1">INDEX(_Datos 171:171,,MATCH(_Búsqueda_Fechas_Pago, _Datos _Headers,0))</f>
        <v>47241</v>
      </c>
      <c r="G171" s="619">
        <f ca="1">INDEX(_Datos 171:171,,MATCH(_Búsqueda_Duración, _Datos _Headers,0))</f>
        <v>30</v>
      </c>
      <c r="H171" s="618"/>
      <c r="I171" s="76">
        <f t="shared" ca="1" si="11"/>
        <v>47241</v>
      </c>
      <c r="J171" s="619">
        <f ca="1">CONST_DIAS_BASE_INTERES + IF(DAY(_Fecha_Pago _Anterior)&gt;=Const_Dia_Corte_Aniversario,MAX(CONST_DIAS_LIMITE-DAY(_Fecha_Pago _Anterior),1))</f>
        <v>30</v>
      </c>
      <c r="K171" s="618"/>
      <c r="L171" s="76">
        <f t="shared" ca="1" si="13"/>
        <v>47238</v>
      </c>
      <c r="M171" s="30">
        <f>_DPP _Mensual_AEN</f>
        <v>30</v>
      </c>
      <c r="N171" s="618"/>
      <c r="O171" s="76">
        <f ca="1">IF(DAY(O170 + 1) &lt;= _DPP _Quincenal,
DATE(YEAR(O170 + 1),MONTH( O170 + 1), _DPP _Quincenal ),
EOMONTH( O170 + 1,0))</f>
        <v>44910</v>
      </c>
      <c r="P171" s="30">
        <f>_DPP _Quincenal</f>
        <v>15</v>
      </c>
      <c r="Q171" s="618"/>
      <c r="R171" s="76">
        <f ca="1">IF(DAY(R170 + 1) &lt;= _DPP _Decenal,
DATE(YEAR(R170 + 1),MONTH(R170 + 1),_DPP _Decenal),
IF(DAY(R170 + 1) &lt;= (_DPP _Decenal*2),
DATE(YEAR(R170 + 1),MONTH(R170 + 1),(_DPP _Decenal*2)),EOMONTH(R170 + 1,0)))</f>
        <v>44135</v>
      </c>
      <c r="S171" s="30">
        <f>_DPP _Decenal</f>
        <v>10</v>
      </c>
      <c r="T171" s="618"/>
      <c r="U171" s="76">
        <f t="shared" ca="1" si="12"/>
        <v>47174</v>
      </c>
      <c r="V171" s="30">
        <f t="shared" ca="1" si="14"/>
        <v>30</v>
      </c>
    </row>
    <row r="172" spans="5:22" x14ac:dyDescent="0.3">
      <c r="E172" s="98">
        <f t="shared" si="10"/>
        <v>30</v>
      </c>
      <c r="F172" s="583">
        <f ca="1">INDEX(_Datos 172:172,,MATCH(_Búsqueda_Fechas_Pago, _Datos _Headers,0))</f>
        <v>47272</v>
      </c>
      <c r="G172" s="619">
        <f ca="1">INDEX(_Datos 172:172,,MATCH(_Búsqueda_Duración, _Datos _Headers,0))</f>
        <v>30</v>
      </c>
      <c r="H172" s="618"/>
      <c r="I172" s="76">
        <f t="shared" ca="1" si="11"/>
        <v>47272</v>
      </c>
      <c r="J172" s="619">
        <f ca="1">CONST_DIAS_BASE_INTERES + IF(DAY(_Fecha_Pago _Anterior)&gt;=Const_Dia_Corte_Aniversario,MAX(CONST_DIAS_LIMITE-DAY(_Fecha_Pago _Anterior),1))</f>
        <v>30</v>
      </c>
      <c r="K172" s="618"/>
      <c r="L172" s="76">
        <f t="shared" ca="1" si="13"/>
        <v>47269</v>
      </c>
      <c r="M172" s="30">
        <f>_DPP _Mensual_AEN</f>
        <v>30</v>
      </c>
      <c r="N172" s="618"/>
      <c r="O172" s="76">
        <f ca="1">IF(DAY(O171 + 1) &lt;= _DPP _Quincenal,
DATE(YEAR(O171 + 1),MONTH( O171 + 1), _DPP _Quincenal ),
EOMONTH( O171 + 1,0))</f>
        <v>44926</v>
      </c>
      <c r="P172" s="30">
        <f>_DPP _Quincenal</f>
        <v>15</v>
      </c>
      <c r="Q172" s="618"/>
      <c r="R172" s="76">
        <f ca="1">IF(DAY(R171 + 1) &lt;= _DPP _Decenal,
DATE(YEAR(R171 + 1),MONTH(R171 + 1),_DPP _Decenal),
IF(DAY(R171 + 1) &lt;= (_DPP _Decenal*2),
DATE(YEAR(R171 + 1),MONTH(R171 + 1),(_DPP _Decenal*2)),EOMONTH(R171 + 1,0)))</f>
        <v>44145</v>
      </c>
      <c r="S172" s="30">
        <f>_DPP _Decenal</f>
        <v>10</v>
      </c>
      <c r="T172" s="618"/>
      <c r="U172" s="76">
        <f t="shared" ca="1" si="12"/>
        <v>47204</v>
      </c>
      <c r="V172" s="30">
        <f t="shared" ca="1" si="14"/>
        <v>30</v>
      </c>
    </row>
    <row r="173" spans="5:22" x14ac:dyDescent="0.3">
      <c r="E173" s="98">
        <f t="shared" si="10"/>
        <v>30</v>
      </c>
      <c r="F173" s="583">
        <f ca="1">INDEX(_Datos 173:173,,MATCH(_Búsqueda_Fechas_Pago, _Datos _Headers,0))</f>
        <v>47302</v>
      </c>
      <c r="G173" s="619">
        <f ca="1">INDEX(_Datos 173:173,,MATCH(_Búsqueda_Duración, _Datos _Headers,0))</f>
        <v>30</v>
      </c>
      <c r="H173" s="618"/>
      <c r="I173" s="76">
        <f t="shared" ca="1" si="11"/>
        <v>47302</v>
      </c>
      <c r="J173" s="619">
        <f ca="1">CONST_DIAS_BASE_INTERES + IF(DAY(_Fecha_Pago _Anterior)&gt;=Const_Dia_Corte_Aniversario,MAX(CONST_DIAS_LIMITE-DAY(_Fecha_Pago _Anterior),1))</f>
        <v>30</v>
      </c>
      <c r="K173" s="618"/>
      <c r="L173" s="76">
        <f t="shared" ca="1" si="13"/>
        <v>47299</v>
      </c>
      <c r="M173" s="30">
        <f>_DPP _Mensual_AEN</f>
        <v>30</v>
      </c>
      <c r="N173" s="618"/>
      <c r="O173" s="76">
        <f ca="1">IF(DAY(O172 + 1) &lt;= _DPP _Quincenal,
DATE(YEAR(O172 + 1),MONTH( O172 + 1), _DPP _Quincenal ),
EOMONTH( O172 + 1,0))</f>
        <v>44941</v>
      </c>
      <c r="P173" s="30">
        <f>_DPP _Quincenal</f>
        <v>15</v>
      </c>
      <c r="Q173" s="618"/>
      <c r="R173" s="76">
        <f ca="1">IF(DAY(R172 + 1) &lt;= _DPP _Decenal,
DATE(YEAR(R172 + 1),MONTH(R172 + 1),_DPP _Decenal),
IF(DAY(R172 + 1) &lt;= (_DPP _Decenal*2),
DATE(YEAR(R172 + 1),MONTH(R172 + 1),(_DPP _Decenal*2)),EOMONTH(R172 + 1,0)))</f>
        <v>44155</v>
      </c>
      <c r="S173" s="30">
        <f>_DPP _Decenal</f>
        <v>10</v>
      </c>
      <c r="T173" s="618"/>
      <c r="U173" s="76">
        <f t="shared" ca="1" si="12"/>
        <v>47234</v>
      </c>
      <c r="V173" s="30">
        <f t="shared" ca="1" si="14"/>
        <v>30</v>
      </c>
    </row>
    <row r="174" spans="5:22" x14ac:dyDescent="0.3">
      <c r="E174" s="98">
        <f t="shared" si="10"/>
        <v>30</v>
      </c>
      <c r="F174" s="583">
        <f ca="1">INDEX(_Datos 174:174,,MATCH(_Búsqueda_Fechas_Pago, _Datos _Headers,0))</f>
        <v>47333</v>
      </c>
      <c r="G174" s="619">
        <f ca="1">INDEX(_Datos 174:174,,MATCH(_Búsqueda_Duración, _Datos _Headers,0))</f>
        <v>30</v>
      </c>
      <c r="H174" s="618"/>
      <c r="I174" s="76">
        <f t="shared" ca="1" si="11"/>
        <v>47333</v>
      </c>
      <c r="J174" s="619">
        <f ca="1">CONST_DIAS_BASE_INTERES + IF(DAY(_Fecha_Pago _Anterior)&gt;=Const_Dia_Corte_Aniversario,MAX(CONST_DIAS_LIMITE-DAY(_Fecha_Pago _Anterior),1))</f>
        <v>30</v>
      </c>
      <c r="K174" s="618"/>
      <c r="L174" s="76">
        <f t="shared" ca="1" si="13"/>
        <v>47330</v>
      </c>
      <c r="M174" s="30">
        <f>_DPP _Mensual_AEN</f>
        <v>30</v>
      </c>
      <c r="N174" s="618"/>
      <c r="O174" s="76">
        <f ca="1">IF(DAY(O173 + 1) &lt;= _DPP _Quincenal,
DATE(YEAR(O173 + 1),MONTH( O173 + 1), _DPP _Quincenal ),
EOMONTH( O173 + 1,0))</f>
        <v>44957</v>
      </c>
      <c r="P174" s="30">
        <f>_DPP _Quincenal</f>
        <v>15</v>
      </c>
      <c r="Q174" s="618"/>
      <c r="R174" s="76">
        <f ca="1">IF(DAY(R173 + 1) &lt;= _DPP _Decenal,
DATE(YEAR(R173 + 1),MONTH(R173 + 1),_DPP _Decenal),
IF(DAY(R173 + 1) &lt;= (_DPP _Decenal*2),
DATE(YEAR(R173 + 1),MONTH(R173 + 1),(_DPP _Decenal*2)),EOMONTH(R173 + 1,0)))</f>
        <v>44165</v>
      </c>
      <c r="S174" s="30">
        <f>_DPP _Decenal</f>
        <v>10</v>
      </c>
      <c r="T174" s="618"/>
      <c r="U174" s="76">
        <f t="shared" ca="1" si="12"/>
        <v>47264</v>
      </c>
      <c r="V174" s="30">
        <f t="shared" ca="1" si="14"/>
        <v>30</v>
      </c>
    </row>
    <row r="175" spans="5:22" x14ac:dyDescent="0.3">
      <c r="E175" s="98">
        <f t="shared" si="10"/>
        <v>30</v>
      </c>
      <c r="F175" s="583">
        <f ca="1">INDEX(_Datos 175:175,,MATCH(_Búsqueda_Fechas_Pago, _Datos _Headers,0))</f>
        <v>47364</v>
      </c>
      <c r="G175" s="619">
        <f ca="1">INDEX(_Datos 175:175,,MATCH(_Búsqueda_Duración, _Datos _Headers,0))</f>
        <v>30</v>
      </c>
      <c r="H175" s="618"/>
      <c r="I175" s="76">
        <f t="shared" ca="1" si="11"/>
        <v>47364</v>
      </c>
      <c r="J175" s="619">
        <f ca="1">CONST_DIAS_BASE_INTERES + IF(DAY(_Fecha_Pago _Anterior)&gt;=Const_Dia_Corte_Aniversario,MAX(CONST_DIAS_LIMITE-DAY(_Fecha_Pago _Anterior),1))</f>
        <v>30</v>
      </c>
      <c r="K175" s="618"/>
      <c r="L175" s="76">
        <f t="shared" ca="1" si="13"/>
        <v>47361</v>
      </c>
      <c r="M175" s="30">
        <f>_DPP _Mensual_AEN</f>
        <v>30</v>
      </c>
      <c r="N175" s="618"/>
      <c r="O175" s="76">
        <f ca="1">IF(DAY(O174 + 1) &lt;= _DPP _Quincenal,
DATE(YEAR(O174 + 1),MONTH( O174 + 1), _DPP _Quincenal ),
EOMONTH( O174 + 1,0))</f>
        <v>44972</v>
      </c>
      <c r="P175" s="30">
        <f>_DPP _Quincenal</f>
        <v>15</v>
      </c>
      <c r="Q175" s="618"/>
      <c r="R175" s="76">
        <f ca="1">IF(DAY(R174 + 1) &lt;= _DPP _Decenal,
DATE(YEAR(R174 + 1),MONTH(R174 + 1),_DPP _Decenal),
IF(DAY(R174 + 1) &lt;= (_DPP _Decenal*2),
DATE(YEAR(R174 + 1),MONTH(R174 + 1),(_DPP _Decenal*2)),EOMONTH(R174 + 1,0)))</f>
        <v>44175</v>
      </c>
      <c r="S175" s="30">
        <f>_DPP _Decenal</f>
        <v>10</v>
      </c>
      <c r="T175" s="618"/>
      <c r="U175" s="76">
        <f t="shared" ca="1" si="12"/>
        <v>47294</v>
      </c>
      <c r="V175" s="30">
        <f t="shared" ca="1" si="14"/>
        <v>30</v>
      </c>
    </row>
    <row r="176" spans="5:22" x14ac:dyDescent="0.3">
      <c r="E176" s="98">
        <f t="shared" si="10"/>
        <v>30</v>
      </c>
      <c r="F176" s="583">
        <f ca="1">INDEX(_Datos 176:176,,MATCH(_Búsqueda_Fechas_Pago, _Datos _Headers,0))</f>
        <v>47394</v>
      </c>
      <c r="G176" s="619">
        <f ca="1">INDEX(_Datos 176:176,,MATCH(_Búsqueda_Duración, _Datos _Headers,0))</f>
        <v>30</v>
      </c>
      <c r="H176" s="618"/>
      <c r="I176" s="76">
        <f t="shared" ca="1" si="11"/>
        <v>47394</v>
      </c>
      <c r="J176" s="619">
        <f ca="1">CONST_DIAS_BASE_INTERES + IF(DAY(_Fecha_Pago _Anterior)&gt;=Const_Dia_Corte_Aniversario,MAX(CONST_DIAS_LIMITE-DAY(_Fecha_Pago _Anterior),1))</f>
        <v>30</v>
      </c>
      <c r="K176" s="618"/>
      <c r="L176" s="76">
        <f t="shared" ca="1" si="13"/>
        <v>47391</v>
      </c>
      <c r="M176" s="30">
        <f>_DPP _Mensual_AEN</f>
        <v>30</v>
      </c>
      <c r="N176" s="618"/>
      <c r="O176" s="76">
        <f ca="1">IF(DAY(O175 + 1) &lt;= _DPP _Quincenal,
DATE(YEAR(O175 + 1),MONTH( O175 + 1), _DPP _Quincenal ),
EOMONTH( O175 + 1,0))</f>
        <v>44985</v>
      </c>
      <c r="P176" s="30">
        <f>_DPP _Quincenal</f>
        <v>15</v>
      </c>
      <c r="Q176" s="618"/>
      <c r="R176" s="76">
        <f ca="1">IF(DAY(R175 + 1) &lt;= _DPP _Decenal,
DATE(YEAR(R175 + 1),MONTH(R175 + 1),_DPP _Decenal),
IF(DAY(R175 + 1) &lt;= (_DPP _Decenal*2),
DATE(YEAR(R175 + 1),MONTH(R175 + 1),(_DPP _Decenal*2)),EOMONTH(R175 + 1,0)))</f>
        <v>44185</v>
      </c>
      <c r="S176" s="30">
        <f>_DPP _Decenal</f>
        <v>10</v>
      </c>
      <c r="T176" s="618"/>
      <c r="U176" s="76">
        <f t="shared" ca="1" si="12"/>
        <v>47324</v>
      </c>
      <c r="V176" s="30">
        <f t="shared" ca="1" si="14"/>
        <v>30</v>
      </c>
    </row>
    <row r="177" spans="5:22" x14ac:dyDescent="0.3">
      <c r="E177" s="98">
        <f t="shared" si="10"/>
        <v>30</v>
      </c>
      <c r="F177" s="583">
        <f ca="1">INDEX(_Datos 177:177,,MATCH(_Búsqueda_Fechas_Pago, _Datos _Headers,0))</f>
        <v>47425</v>
      </c>
      <c r="G177" s="619">
        <f ca="1">INDEX(_Datos 177:177,,MATCH(_Búsqueda_Duración, _Datos _Headers,0))</f>
        <v>30</v>
      </c>
      <c r="H177" s="618"/>
      <c r="I177" s="76">
        <f t="shared" ca="1" si="11"/>
        <v>47425</v>
      </c>
      <c r="J177" s="619">
        <f ca="1">CONST_DIAS_BASE_INTERES + IF(DAY(_Fecha_Pago _Anterior)&gt;=Const_Dia_Corte_Aniversario,MAX(CONST_DIAS_LIMITE-DAY(_Fecha_Pago _Anterior),1))</f>
        <v>30</v>
      </c>
      <c r="K177" s="618"/>
      <c r="L177" s="76">
        <f t="shared" ca="1" si="13"/>
        <v>47422</v>
      </c>
      <c r="M177" s="30">
        <f>_DPP _Mensual_AEN</f>
        <v>30</v>
      </c>
      <c r="N177" s="618"/>
      <c r="O177" s="76">
        <f ca="1">IF(DAY(O176 + 1) &lt;= _DPP _Quincenal,
DATE(YEAR(O176 + 1),MONTH( O176 + 1), _DPP _Quincenal ),
EOMONTH( O176 + 1,0))</f>
        <v>45000</v>
      </c>
      <c r="P177" s="30">
        <f>_DPP _Quincenal</f>
        <v>15</v>
      </c>
      <c r="Q177" s="618"/>
      <c r="R177" s="76">
        <f ca="1">IF(DAY(R176 + 1) &lt;= _DPP _Decenal,
DATE(YEAR(R176 + 1),MONTH(R176 + 1),_DPP _Decenal),
IF(DAY(R176 + 1) &lt;= (_DPP _Decenal*2),
DATE(YEAR(R176 + 1),MONTH(R176 + 1),(_DPP _Decenal*2)),EOMONTH(R176 + 1,0)))</f>
        <v>44196</v>
      </c>
      <c r="S177" s="30">
        <f>_DPP _Decenal</f>
        <v>10</v>
      </c>
      <c r="T177" s="618"/>
      <c r="U177" s="76">
        <f t="shared" ca="1" si="12"/>
        <v>47354</v>
      </c>
      <c r="V177" s="30">
        <f t="shared" ca="1" si="14"/>
        <v>30</v>
      </c>
    </row>
    <row r="178" spans="5:22" x14ac:dyDescent="0.3">
      <c r="E178" s="98">
        <f t="shared" si="10"/>
        <v>30</v>
      </c>
      <c r="F178" s="583">
        <f ca="1">INDEX(_Datos 178:178,,MATCH(_Búsqueda_Fechas_Pago, _Datos _Headers,0))</f>
        <v>47455</v>
      </c>
      <c r="G178" s="619">
        <f ca="1">INDEX(_Datos 178:178,,MATCH(_Búsqueda_Duración, _Datos _Headers,0))</f>
        <v>30</v>
      </c>
      <c r="H178" s="618"/>
      <c r="I178" s="76">
        <f t="shared" ca="1" si="11"/>
        <v>47455</v>
      </c>
      <c r="J178" s="619">
        <f ca="1">CONST_DIAS_BASE_INTERES + IF(DAY(_Fecha_Pago _Anterior)&gt;=Const_Dia_Corte_Aniversario,MAX(CONST_DIAS_LIMITE-DAY(_Fecha_Pago _Anterior),1))</f>
        <v>30</v>
      </c>
      <c r="K178" s="618"/>
      <c r="L178" s="76">
        <f t="shared" ca="1" si="13"/>
        <v>47452</v>
      </c>
      <c r="M178" s="30">
        <f>_DPP _Mensual_AEN</f>
        <v>30</v>
      </c>
      <c r="N178" s="618"/>
      <c r="O178" s="76">
        <f ca="1">IF(DAY(O177 + 1) &lt;= _DPP _Quincenal,
DATE(YEAR(O177 + 1),MONTH( O177 + 1), _DPP _Quincenal ),
EOMONTH( O177 + 1,0))</f>
        <v>45016</v>
      </c>
      <c r="P178" s="30">
        <f>_DPP _Quincenal</f>
        <v>15</v>
      </c>
      <c r="Q178" s="618"/>
      <c r="R178" s="76">
        <f ca="1">IF(DAY(R177 + 1) &lt;= _DPP _Decenal,
DATE(YEAR(R177 + 1),MONTH(R177 + 1),_DPP _Decenal),
IF(DAY(R177 + 1) &lt;= (_DPP _Decenal*2),
DATE(YEAR(R177 + 1),MONTH(R177 + 1),(_DPP _Decenal*2)),EOMONTH(R177 + 1,0)))</f>
        <v>44206</v>
      </c>
      <c r="S178" s="30">
        <f>_DPP _Decenal</f>
        <v>10</v>
      </c>
      <c r="T178" s="618"/>
      <c r="U178" s="76">
        <f t="shared" ca="1" si="12"/>
        <v>47384</v>
      </c>
      <c r="V178" s="30">
        <f t="shared" ca="1" si="14"/>
        <v>30</v>
      </c>
    </row>
    <row r="179" spans="5:22" x14ac:dyDescent="0.3">
      <c r="E179" s="98">
        <f t="shared" si="10"/>
        <v>30</v>
      </c>
      <c r="F179" s="583">
        <f ca="1">INDEX(_Datos 179:179,,MATCH(_Búsqueda_Fechas_Pago, _Datos _Headers,0))</f>
        <v>47486</v>
      </c>
      <c r="G179" s="619">
        <f ca="1">INDEX(_Datos 179:179,,MATCH(_Búsqueda_Duración, _Datos _Headers,0))</f>
        <v>30</v>
      </c>
      <c r="H179" s="618"/>
      <c r="I179" s="76">
        <f t="shared" ca="1" si="11"/>
        <v>47486</v>
      </c>
      <c r="J179" s="619">
        <f ca="1">CONST_DIAS_BASE_INTERES + IF(DAY(_Fecha_Pago _Anterior)&gt;=Const_Dia_Corte_Aniversario,MAX(CONST_DIAS_LIMITE-DAY(_Fecha_Pago _Anterior),1))</f>
        <v>30</v>
      </c>
      <c r="K179" s="618"/>
      <c r="L179" s="76">
        <f t="shared" ca="1" si="13"/>
        <v>47483</v>
      </c>
      <c r="M179" s="30">
        <f>_DPP _Mensual_AEN</f>
        <v>30</v>
      </c>
      <c r="N179" s="618"/>
      <c r="O179" s="76">
        <f ca="1">IF(DAY(O178 + 1) &lt;= _DPP _Quincenal,
DATE(YEAR(O178 + 1),MONTH( O178 + 1), _DPP _Quincenal ),
EOMONTH( O178 + 1,0))</f>
        <v>45031</v>
      </c>
      <c r="P179" s="30">
        <f>_DPP _Quincenal</f>
        <v>15</v>
      </c>
      <c r="Q179" s="618"/>
      <c r="R179" s="76">
        <f ca="1">IF(DAY(R178 + 1) &lt;= _DPP _Decenal,
DATE(YEAR(R178 + 1),MONTH(R178 + 1),_DPP _Decenal),
IF(DAY(R178 + 1) &lt;= (_DPP _Decenal*2),
DATE(YEAR(R178 + 1),MONTH(R178 + 1),(_DPP _Decenal*2)),EOMONTH(R178 + 1,0)))</f>
        <v>44216</v>
      </c>
      <c r="S179" s="30">
        <f>_DPP _Decenal</f>
        <v>10</v>
      </c>
      <c r="T179" s="618"/>
      <c r="U179" s="76">
        <f t="shared" ca="1" si="12"/>
        <v>47414</v>
      </c>
      <c r="V179" s="30">
        <f t="shared" ca="1" si="14"/>
        <v>30</v>
      </c>
    </row>
    <row r="180" spans="5:22" x14ac:dyDescent="0.3">
      <c r="E180" s="98">
        <f t="shared" si="10"/>
        <v>30</v>
      </c>
      <c r="F180" s="583">
        <f ca="1">INDEX(_Datos 180:180,,MATCH(_Búsqueda_Fechas_Pago, _Datos _Headers,0))</f>
        <v>47517</v>
      </c>
      <c r="G180" s="619">
        <f ca="1">INDEX(_Datos 180:180,,MATCH(_Búsqueda_Duración, _Datos _Headers,0))</f>
        <v>30</v>
      </c>
      <c r="H180" s="618"/>
      <c r="I180" s="76">
        <f t="shared" ca="1" si="11"/>
        <v>47517</v>
      </c>
      <c r="J180" s="619">
        <f ca="1">CONST_DIAS_BASE_INTERES + IF(DAY(_Fecha_Pago _Anterior)&gt;=Const_Dia_Corte_Aniversario,MAX(CONST_DIAS_LIMITE-DAY(_Fecha_Pago _Anterior),1))</f>
        <v>30</v>
      </c>
      <c r="K180" s="618"/>
      <c r="L180" s="76">
        <f t="shared" ca="1" si="13"/>
        <v>47514</v>
      </c>
      <c r="M180" s="30">
        <f>_DPP _Mensual_AEN</f>
        <v>30</v>
      </c>
      <c r="N180" s="618"/>
      <c r="O180" s="76">
        <f ca="1">IF(DAY(O179 + 1) &lt;= _DPP _Quincenal,
DATE(YEAR(O179 + 1),MONTH( O179 + 1), _DPP _Quincenal ),
EOMONTH( O179 + 1,0))</f>
        <v>45046</v>
      </c>
      <c r="P180" s="30">
        <f>_DPP _Quincenal</f>
        <v>15</v>
      </c>
      <c r="Q180" s="618"/>
      <c r="R180" s="76">
        <f ca="1">IF(DAY(R179 + 1) &lt;= _DPP _Decenal,
DATE(YEAR(R179 + 1),MONTH(R179 + 1),_DPP _Decenal),
IF(DAY(R179 + 1) &lt;= (_DPP _Decenal*2),
DATE(YEAR(R179 + 1),MONTH(R179 + 1),(_DPP _Decenal*2)),EOMONTH(R179 + 1,0)))</f>
        <v>44227</v>
      </c>
      <c r="S180" s="30">
        <f>_DPP _Decenal</f>
        <v>10</v>
      </c>
      <c r="T180" s="618"/>
      <c r="U180" s="76">
        <f t="shared" ca="1" si="12"/>
        <v>47444</v>
      </c>
      <c r="V180" s="30">
        <f t="shared" ca="1" si="14"/>
        <v>30</v>
      </c>
    </row>
    <row r="181" spans="5:22" x14ac:dyDescent="0.3">
      <c r="E181" s="98">
        <f t="shared" si="10"/>
        <v>30</v>
      </c>
      <c r="F181" s="583">
        <f ca="1">INDEX(_Datos 181:181,,MATCH(_Búsqueda_Fechas_Pago, _Datos _Headers,0))</f>
        <v>47545</v>
      </c>
      <c r="G181" s="619">
        <f ca="1">INDEX(_Datos 181:181,,MATCH(_Búsqueda_Duración, _Datos _Headers,0))</f>
        <v>30</v>
      </c>
      <c r="H181" s="618"/>
      <c r="I181" s="76">
        <f t="shared" ca="1" si="11"/>
        <v>47545</v>
      </c>
      <c r="J181" s="619">
        <f ca="1">CONST_DIAS_BASE_INTERES + IF(DAY(_Fecha_Pago _Anterior)&gt;=Const_Dia_Corte_Aniversario,MAX(CONST_DIAS_LIMITE-DAY(_Fecha_Pago _Anterior),1))</f>
        <v>30</v>
      </c>
      <c r="K181" s="618"/>
      <c r="L181" s="76">
        <f t="shared" ca="1" si="13"/>
        <v>47542</v>
      </c>
      <c r="M181" s="30">
        <f>_DPP _Mensual_AEN</f>
        <v>30</v>
      </c>
      <c r="N181" s="618"/>
      <c r="O181" s="76">
        <f ca="1">IF(DAY(O180 + 1) &lt;= _DPP _Quincenal,
DATE(YEAR(O180 + 1),MONTH( O180 + 1), _DPP _Quincenal ),
EOMONTH( O180 + 1,0))</f>
        <v>45061</v>
      </c>
      <c r="P181" s="30">
        <f>_DPP _Quincenal</f>
        <v>15</v>
      </c>
      <c r="Q181" s="618"/>
      <c r="R181" s="76">
        <f ca="1">IF(DAY(R180 + 1) &lt;= _DPP _Decenal,
DATE(YEAR(R180 + 1),MONTH(R180 + 1),_DPP _Decenal),
IF(DAY(R180 + 1) &lt;= (_DPP _Decenal*2),
DATE(YEAR(R180 + 1),MONTH(R180 + 1),(_DPP _Decenal*2)),EOMONTH(R180 + 1,0)))</f>
        <v>44237</v>
      </c>
      <c r="S181" s="30">
        <f>_DPP _Decenal</f>
        <v>10</v>
      </c>
      <c r="T181" s="618"/>
      <c r="U181" s="76">
        <f t="shared" ca="1" si="12"/>
        <v>47474</v>
      </c>
      <c r="V181" s="30">
        <f t="shared" ca="1" si="14"/>
        <v>30</v>
      </c>
    </row>
    <row r="182" spans="5:22" x14ac:dyDescent="0.3">
      <c r="E182" s="98">
        <f t="shared" si="10"/>
        <v>30</v>
      </c>
      <c r="F182" s="583">
        <f ca="1">INDEX(_Datos 182:182,,MATCH(_Búsqueda_Fechas_Pago, _Datos _Headers,0))</f>
        <v>47576</v>
      </c>
      <c r="G182" s="619">
        <f ca="1">INDEX(_Datos 182:182,,MATCH(_Búsqueda_Duración, _Datos _Headers,0))</f>
        <v>30</v>
      </c>
      <c r="H182" s="618"/>
      <c r="I182" s="76">
        <f t="shared" ca="1" si="11"/>
        <v>47576</v>
      </c>
      <c r="J182" s="619">
        <f ca="1">CONST_DIAS_BASE_INTERES + IF(DAY(_Fecha_Pago _Anterior)&gt;=Const_Dia_Corte_Aniversario,MAX(CONST_DIAS_LIMITE-DAY(_Fecha_Pago _Anterior),1))</f>
        <v>30</v>
      </c>
      <c r="K182" s="618"/>
      <c r="L182" s="76">
        <f t="shared" ca="1" si="13"/>
        <v>47573</v>
      </c>
      <c r="M182" s="30">
        <f>_DPP _Mensual_AEN</f>
        <v>30</v>
      </c>
      <c r="N182" s="618"/>
      <c r="O182" s="76">
        <f ca="1">IF(DAY(O181 + 1) &lt;= _DPP _Quincenal,
DATE(YEAR(O181 + 1),MONTH( O181 + 1), _DPP _Quincenal ),
EOMONTH( O181 + 1,0))</f>
        <v>45077</v>
      </c>
      <c r="P182" s="30">
        <f>_DPP _Quincenal</f>
        <v>15</v>
      </c>
      <c r="Q182" s="618"/>
      <c r="R182" s="76">
        <f ca="1">IF(DAY(R181 + 1) &lt;= _DPP _Decenal,
DATE(YEAR(R181 + 1),MONTH(R181 + 1),_DPP _Decenal),
IF(DAY(R181 + 1) &lt;= (_DPP _Decenal*2),
DATE(YEAR(R181 + 1),MONTH(R181 + 1),(_DPP _Decenal*2)),EOMONTH(R181 + 1,0)))</f>
        <v>44247</v>
      </c>
      <c r="S182" s="30">
        <f>_DPP _Decenal</f>
        <v>10</v>
      </c>
      <c r="T182" s="618"/>
      <c r="U182" s="76">
        <f t="shared" ca="1" si="12"/>
        <v>47504</v>
      </c>
      <c r="V182" s="30">
        <f t="shared" ca="1" si="14"/>
        <v>30</v>
      </c>
    </row>
    <row r="183" spans="5:22" x14ac:dyDescent="0.3">
      <c r="E183" s="98">
        <f t="shared" si="10"/>
        <v>30</v>
      </c>
      <c r="F183" s="583">
        <f ca="1">INDEX(_Datos 183:183,,MATCH(_Búsqueda_Fechas_Pago, _Datos _Headers,0))</f>
        <v>47606</v>
      </c>
      <c r="G183" s="619">
        <f ca="1">INDEX(_Datos 183:183,,MATCH(_Búsqueda_Duración, _Datos _Headers,0))</f>
        <v>30</v>
      </c>
      <c r="H183" s="618"/>
      <c r="I183" s="76">
        <f t="shared" ca="1" si="11"/>
        <v>47606</v>
      </c>
      <c r="J183" s="619">
        <f ca="1">CONST_DIAS_BASE_INTERES + IF(DAY(_Fecha_Pago _Anterior)&gt;=Const_Dia_Corte_Aniversario,MAX(CONST_DIAS_LIMITE-DAY(_Fecha_Pago _Anterior),1))</f>
        <v>30</v>
      </c>
      <c r="K183" s="618"/>
      <c r="L183" s="76">
        <f t="shared" ca="1" si="13"/>
        <v>47603</v>
      </c>
      <c r="M183" s="30">
        <f>_DPP _Mensual_AEN</f>
        <v>30</v>
      </c>
      <c r="N183" s="618"/>
      <c r="O183" s="76">
        <f ca="1">IF(DAY(O182 + 1) &lt;= _DPP _Quincenal,
DATE(YEAR(O182 + 1),MONTH( O182 + 1), _DPP _Quincenal ),
EOMONTH( O182 + 1,0))</f>
        <v>45092</v>
      </c>
      <c r="P183" s="30">
        <f>_DPP _Quincenal</f>
        <v>15</v>
      </c>
      <c r="Q183" s="618"/>
      <c r="R183" s="76">
        <f ca="1">IF(DAY(R182 + 1) &lt;= _DPP _Decenal,
DATE(YEAR(R182 + 1),MONTH(R182 + 1),_DPP _Decenal),
IF(DAY(R182 + 1) &lt;= (_DPP _Decenal*2),
DATE(YEAR(R182 + 1),MONTH(R182 + 1),(_DPP _Decenal*2)),EOMONTH(R182 + 1,0)))</f>
        <v>44255</v>
      </c>
      <c r="S183" s="30">
        <f>_DPP _Decenal</f>
        <v>10</v>
      </c>
      <c r="T183" s="618"/>
      <c r="U183" s="76">
        <f t="shared" ca="1" si="12"/>
        <v>47534</v>
      </c>
      <c r="V183" s="30">
        <f t="shared" ca="1" si="14"/>
        <v>30</v>
      </c>
    </row>
    <row r="184" spans="5:22" x14ac:dyDescent="0.3">
      <c r="E184" s="98">
        <f t="shared" si="10"/>
        <v>30</v>
      </c>
      <c r="F184" s="583">
        <f ca="1">INDEX(_Datos 184:184,,MATCH(_Búsqueda_Fechas_Pago, _Datos _Headers,0))</f>
        <v>47637</v>
      </c>
      <c r="G184" s="619">
        <f ca="1">INDEX(_Datos 184:184,,MATCH(_Búsqueda_Duración, _Datos _Headers,0))</f>
        <v>30</v>
      </c>
      <c r="H184" s="618"/>
      <c r="I184" s="76">
        <f t="shared" ca="1" si="11"/>
        <v>47637</v>
      </c>
      <c r="J184" s="619">
        <f ca="1">CONST_DIAS_BASE_INTERES + IF(DAY(_Fecha_Pago _Anterior)&gt;=Const_Dia_Corte_Aniversario,MAX(CONST_DIAS_LIMITE-DAY(_Fecha_Pago _Anterior),1))</f>
        <v>30</v>
      </c>
      <c r="K184" s="618"/>
      <c r="L184" s="76">
        <f t="shared" ca="1" si="13"/>
        <v>47634</v>
      </c>
      <c r="M184" s="30">
        <f>_DPP _Mensual_AEN</f>
        <v>30</v>
      </c>
      <c r="N184" s="618"/>
      <c r="O184" s="76">
        <f ca="1">IF(DAY(O183 + 1) &lt;= _DPP _Quincenal,
DATE(YEAR(O183 + 1),MONTH( O183 + 1), _DPP _Quincenal ),
EOMONTH( O183 + 1,0))</f>
        <v>45107</v>
      </c>
      <c r="P184" s="30">
        <f>_DPP _Quincenal</f>
        <v>15</v>
      </c>
      <c r="Q184" s="618"/>
      <c r="R184" s="76">
        <f ca="1">IF(DAY(R183 + 1) &lt;= _DPP _Decenal,
DATE(YEAR(R183 + 1),MONTH(R183 + 1),_DPP _Decenal),
IF(DAY(R183 + 1) &lt;= (_DPP _Decenal*2),
DATE(YEAR(R183 + 1),MONTH(R183 + 1),(_DPP _Decenal*2)),EOMONTH(R183 + 1,0)))</f>
        <v>44265</v>
      </c>
      <c r="S184" s="30">
        <f>_DPP _Decenal</f>
        <v>10</v>
      </c>
      <c r="T184" s="618"/>
      <c r="U184" s="76">
        <f t="shared" ca="1" si="12"/>
        <v>47564</v>
      </c>
      <c r="V184" s="30">
        <f t="shared" ca="1" si="14"/>
        <v>30</v>
      </c>
    </row>
    <row r="185" spans="5:22" x14ac:dyDescent="0.3">
      <c r="E185" s="98">
        <f t="shared" si="10"/>
        <v>30</v>
      </c>
      <c r="F185" s="583">
        <f ca="1">INDEX(_Datos 185:185,,MATCH(_Búsqueda_Fechas_Pago, _Datos _Headers,0))</f>
        <v>47667</v>
      </c>
      <c r="G185" s="619">
        <f ca="1">INDEX(_Datos 185:185,,MATCH(_Búsqueda_Duración, _Datos _Headers,0))</f>
        <v>30</v>
      </c>
      <c r="H185" s="618"/>
      <c r="I185" s="76">
        <f t="shared" ca="1" si="11"/>
        <v>47667</v>
      </c>
      <c r="J185" s="619">
        <f ca="1">CONST_DIAS_BASE_INTERES + IF(DAY(_Fecha_Pago _Anterior)&gt;=Const_Dia_Corte_Aniversario,MAX(CONST_DIAS_LIMITE-DAY(_Fecha_Pago _Anterior),1))</f>
        <v>30</v>
      </c>
      <c r="K185" s="618"/>
      <c r="L185" s="76">
        <f t="shared" ca="1" si="13"/>
        <v>47664</v>
      </c>
      <c r="M185" s="30">
        <f>_DPP _Mensual_AEN</f>
        <v>30</v>
      </c>
      <c r="N185" s="618"/>
      <c r="O185" s="76">
        <f ca="1">IF(DAY(O184 + 1) &lt;= _DPP _Quincenal,
DATE(YEAR(O184 + 1),MONTH( O184 + 1), _DPP _Quincenal ),
EOMONTH( O184 + 1,0))</f>
        <v>45122</v>
      </c>
      <c r="P185" s="30">
        <f>_DPP _Quincenal</f>
        <v>15</v>
      </c>
      <c r="Q185" s="618"/>
      <c r="R185" s="76">
        <f ca="1">IF(DAY(R184 + 1) &lt;= _DPP _Decenal,
DATE(YEAR(R184 + 1),MONTH(R184 + 1),_DPP _Decenal),
IF(DAY(R184 + 1) &lt;= (_DPP _Decenal*2),
DATE(YEAR(R184 + 1),MONTH(R184 + 1),(_DPP _Decenal*2)),EOMONTH(R184 + 1,0)))</f>
        <v>44275</v>
      </c>
      <c r="S185" s="30">
        <f>_DPP _Decenal</f>
        <v>10</v>
      </c>
      <c r="T185" s="618"/>
      <c r="U185" s="76">
        <f t="shared" ca="1" si="12"/>
        <v>47594</v>
      </c>
      <c r="V185" s="30">
        <f t="shared" ca="1" si="14"/>
        <v>30</v>
      </c>
    </row>
    <row r="186" spans="5:22" x14ac:dyDescent="0.3">
      <c r="E186" s="98">
        <f t="shared" si="10"/>
        <v>30</v>
      </c>
      <c r="F186" s="583">
        <f ca="1">INDEX(_Datos 186:186,,MATCH(_Búsqueda_Fechas_Pago, _Datos _Headers,0))</f>
        <v>47698</v>
      </c>
      <c r="G186" s="619">
        <f ca="1">INDEX(_Datos 186:186,,MATCH(_Búsqueda_Duración, _Datos _Headers,0))</f>
        <v>30</v>
      </c>
      <c r="H186" s="618"/>
      <c r="I186" s="76">
        <f t="shared" ca="1" si="11"/>
        <v>47698</v>
      </c>
      <c r="J186" s="619">
        <f ca="1">CONST_DIAS_BASE_INTERES + IF(DAY(_Fecha_Pago _Anterior)&gt;=Const_Dia_Corte_Aniversario,MAX(CONST_DIAS_LIMITE-DAY(_Fecha_Pago _Anterior),1))</f>
        <v>30</v>
      </c>
      <c r="K186" s="618"/>
      <c r="L186" s="76">
        <f t="shared" ca="1" si="13"/>
        <v>47695</v>
      </c>
      <c r="M186" s="30">
        <f>_DPP _Mensual_AEN</f>
        <v>30</v>
      </c>
      <c r="N186" s="618"/>
      <c r="O186" s="76">
        <f ca="1">IF(DAY(O185 + 1) &lt;= _DPP _Quincenal,
DATE(YEAR(O185 + 1),MONTH( O185 + 1), _DPP _Quincenal ),
EOMONTH( O185 + 1,0))</f>
        <v>45138</v>
      </c>
      <c r="P186" s="30">
        <f>_DPP _Quincenal</f>
        <v>15</v>
      </c>
      <c r="Q186" s="618"/>
      <c r="R186" s="76">
        <f ca="1">IF(DAY(R185 + 1) &lt;= _DPP _Decenal,
DATE(YEAR(R185 + 1),MONTH(R185 + 1),_DPP _Decenal),
IF(DAY(R185 + 1) &lt;= (_DPP _Decenal*2),
DATE(YEAR(R185 + 1),MONTH(R185 + 1),(_DPP _Decenal*2)),EOMONTH(R185 + 1,0)))</f>
        <v>44286</v>
      </c>
      <c r="S186" s="30">
        <f>_DPP _Decenal</f>
        <v>10</v>
      </c>
      <c r="T186" s="618"/>
      <c r="U186" s="76">
        <f t="shared" ca="1" si="12"/>
        <v>47624</v>
      </c>
      <c r="V186" s="30">
        <f t="shared" ca="1" si="14"/>
        <v>30</v>
      </c>
    </row>
    <row r="187" spans="5:22" x14ac:dyDescent="0.3">
      <c r="E187" s="98">
        <f t="shared" si="10"/>
        <v>30</v>
      </c>
      <c r="F187" s="583">
        <f ca="1">INDEX(_Datos 187:187,,MATCH(_Búsqueda_Fechas_Pago, _Datos _Headers,0))</f>
        <v>47729</v>
      </c>
      <c r="G187" s="619">
        <f ca="1">INDEX(_Datos 187:187,,MATCH(_Búsqueda_Duración, _Datos _Headers,0))</f>
        <v>30</v>
      </c>
      <c r="H187" s="618"/>
      <c r="I187" s="76">
        <f t="shared" ca="1" si="11"/>
        <v>47729</v>
      </c>
      <c r="J187" s="619">
        <f ca="1">CONST_DIAS_BASE_INTERES + IF(DAY(_Fecha_Pago _Anterior)&gt;=Const_Dia_Corte_Aniversario,MAX(CONST_DIAS_LIMITE-DAY(_Fecha_Pago _Anterior),1))</f>
        <v>30</v>
      </c>
      <c r="K187" s="618"/>
      <c r="L187" s="76">
        <f t="shared" ca="1" si="13"/>
        <v>47726</v>
      </c>
      <c r="M187" s="30">
        <f>_DPP _Mensual_AEN</f>
        <v>30</v>
      </c>
      <c r="N187" s="618"/>
      <c r="O187" s="76">
        <f ca="1">IF(DAY(O186 + 1) &lt;= _DPP _Quincenal,
DATE(YEAR(O186 + 1),MONTH( O186 + 1), _DPP _Quincenal ),
EOMONTH( O186 + 1,0))</f>
        <v>45153</v>
      </c>
      <c r="P187" s="30">
        <f>_DPP _Quincenal</f>
        <v>15</v>
      </c>
      <c r="Q187" s="618"/>
      <c r="R187" s="76">
        <f ca="1">IF(DAY(R186 + 1) &lt;= _DPP _Decenal,
DATE(YEAR(R186 + 1),MONTH(R186 + 1),_DPP _Decenal),
IF(DAY(R186 + 1) &lt;= (_DPP _Decenal*2),
DATE(YEAR(R186 + 1),MONTH(R186 + 1),(_DPP _Decenal*2)),EOMONTH(R186 + 1,0)))</f>
        <v>44296</v>
      </c>
      <c r="S187" s="30">
        <f>_DPP _Decenal</f>
        <v>10</v>
      </c>
      <c r="T187" s="618"/>
      <c r="U187" s="76">
        <f t="shared" ca="1" si="12"/>
        <v>47654</v>
      </c>
      <c r="V187" s="30">
        <f t="shared" ca="1" si="14"/>
        <v>30</v>
      </c>
    </row>
    <row r="188" spans="5:22" x14ac:dyDescent="0.3">
      <c r="E188" s="98">
        <f t="shared" si="10"/>
        <v>30</v>
      </c>
      <c r="F188" s="583">
        <f ca="1">INDEX(_Datos 188:188,,MATCH(_Búsqueda_Fechas_Pago, _Datos _Headers,0))</f>
        <v>47759</v>
      </c>
      <c r="G188" s="619">
        <f ca="1">INDEX(_Datos 188:188,,MATCH(_Búsqueda_Duración, _Datos _Headers,0))</f>
        <v>30</v>
      </c>
      <c r="H188" s="618"/>
      <c r="I188" s="76">
        <f t="shared" ca="1" si="11"/>
        <v>47759</v>
      </c>
      <c r="J188" s="619">
        <f ca="1">CONST_DIAS_BASE_INTERES + IF(DAY(_Fecha_Pago _Anterior)&gt;=Const_Dia_Corte_Aniversario,MAX(CONST_DIAS_LIMITE-DAY(_Fecha_Pago _Anterior),1))</f>
        <v>30</v>
      </c>
      <c r="K188" s="618"/>
      <c r="L188" s="76">
        <f t="shared" ca="1" si="13"/>
        <v>47756</v>
      </c>
      <c r="M188" s="30">
        <f>_DPP _Mensual_AEN</f>
        <v>30</v>
      </c>
      <c r="N188" s="618"/>
      <c r="O188" s="76">
        <f ca="1">IF(DAY(O187 + 1) &lt;= _DPP _Quincenal,
DATE(YEAR(O187 + 1),MONTH( O187 + 1), _DPP _Quincenal ),
EOMONTH( O187 + 1,0))</f>
        <v>45169</v>
      </c>
      <c r="P188" s="30">
        <f>_DPP _Quincenal</f>
        <v>15</v>
      </c>
      <c r="Q188" s="618"/>
      <c r="R188" s="76">
        <f ca="1">IF(DAY(R187 + 1) &lt;= _DPP _Decenal,
DATE(YEAR(R187 + 1),MONTH(R187 + 1),_DPP _Decenal),
IF(DAY(R187 + 1) &lt;= (_DPP _Decenal*2),
DATE(YEAR(R187 + 1),MONTH(R187 + 1),(_DPP _Decenal*2)),EOMONTH(R187 + 1,0)))</f>
        <v>44306</v>
      </c>
      <c r="S188" s="30">
        <f>_DPP _Decenal</f>
        <v>10</v>
      </c>
      <c r="T188" s="618"/>
      <c r="U188" s="76">
        <f t="shared" ca="1" si="12"/>
        <v>47684</v>
      </c>
      <c r="V188" s="30">
        <f t="shared" ca="1" si="14"/>
        <v>30</v>
      </c>
    </row>
    <row r="189" spans="5:22" x14ac:dyDescent="0.3">
      <c r="E189" s="98">
        <f t="shared" si="10"/>
        <v>30</v>
      </c>
      <c r="F189" s="583">
        <f ca="1">INDEX(_Datos 189:189,,MATCH(_Búsqueda_Fechas_Pago, _Datos _Headers,0))</f>
        <v>47790</v>
      </c>
      <c r="G189" s="619">
        <f ca="1">INDEX(_Datos 189:189,,MATCH(_Búsqueda_Duración, _Datos _Headers,0))</f>
        <v>30</v>
      </c>
      <c r="H189" s="618"/>
      <c r="I189" s="76">
        <f t="shared" ca="1" si="11"/>
        <v>47790</v>
      </c>
      <c r="J189" s="619">
        <f ca="1">CONST_DIAS_BASE_INTERES + IF(DAY(_Fecha_Pago _Anterior)&gt;=Const_Dia_Corte_Aniversario,MAX(CONST_DIAS_LIMITE-DAY(_Fecha_Pago _Anterior),1))</f>
        <v>30</v>
      </c>
      <c r="K189" s="618"/>
      <c r="L189" s="76">
        <f t="shared" ca="1" si="13"/>
        <v>47787</v>
      </c>
      <c r="M189" s="30">
        <f>_DPP _Mensual_AEN</f>
        <v>30</v>
      </c>
      <c r="N189" s="618"/>
      <c r="O189" s="76">
        <f ca="1">IF(DAY(O188 + 1) &lt;= _DPP _Quincenal,
DATE(YEAR(O188 + 1),MONTH( O188 + 1), _DPP _Quincenal ),
EOMONTH( O188 + 1,0))</f>
        <v>45184</v>
      </c>
      <c r="P189" s="30">
        <f>_DPP _Quincenal</f>
        <v>15</v>
      </c>
      <c r="Q189" s="618"/>
      <c r="R189" s="76">
        <f ca="1">IF(DAY(R188 + 1) &lt;= _DPP _Decenal,
DATE(YEAR(R188 + 1),MONTH(R188 + 1),_DPP _Decenal),
IF(DAY(R188 + 1) &lt;= (_DPP _Decenal*2),
DATE(YEAR(R188 + 1),MONTH(R188 + 1),(_DPP _Decenal*2)),EOMONTH(R188 + 1,0)))</f>
        <v>44316</v>
      </c>
      <c r="S189" s="30">
        <f>_DPP _Decenal</f>
        <v>10</v>
      </c>
      <c r="T189" s="618"/>
      <c r="U189" s="76">
        <f t="shared" ca="1" si="12"/>
        <v>47714</v>
      </c>
      <c r="V189" s="30">
        <f t="shared" ca="1" si="14"/>
        <v>30</v>
      </c>
    </row>
    <row r="190" spans="5:22" x14ac:dyDescent="0.3">
      <c r="E190" s="98">
        <f t="shared" si="10"/>
        <v>30</v>
      </c>
      <c r="F190" s="583">
        <f ca="1">INDEX(_Datos 190:190,,MATCH(_Búsqueda_Fechas_Pago, _Datos _Headers,0))</f>
        <v>47820</v>
      </c>
      <c r="G190" s="619">
        <f ca="1">INDEX(_Datos 190:190,,MATCH(_Búsqueda_Duración, _Datos _Headers,0))</f>
        <v>30</v>
      </c>
      <c r="H190" s="618"/>
      <c r="I190" s="76">
        <f t="shared" ca="1" si="11"/>
        <v>47820</v>
      </c>
      <c r="J190" s="619">
        <f ca="1">CONST_DIAS_BASE_INTERES + IF(DAY(_Fecha_Pago _Anterior)&gt;=Const_Dia_Corte_Aniversario,MAX(CONST_DIAS_LIMITE-DAY(_Fecha_Pago _Anterior),1))</f>
        <v>30</v>
      </c>
      <c r="K190" s="618"/>
      <c r="L190" s="76">
        <f t="shared" ca="1" si="13"/>
        <v>47817</v>
      </c>
      <c r="M190" s="30">
        <f>_DPP _Mensual_AEN</f>
        <v>30</v>
      </c>
      <c r="N190" s="618"/>
      <c r="O190" s="76">
        <f ca="1">IF(DAY(O189 + 1) &lt;= _DPP _Quincenal,
DATE(YEAR(O189 + 1),MONTH( O189 + 1), _DPP _Quincenal ),
EOMONTH( O189 + 1,0))</f>
        <v>45199</v>
      </c>
      <c r="P190" s="30">
        <f>_DPP _Quincenal</f>
        <v>15</v>
      </c>
      <c r="Q190" s="618"/>
      <c r="R190" s="76">
        <f ca="1">IF(DAY(R189 + 1) &lt;= _DPP _Decenal,
DATE(YEAR(R189 + 1),MONTH(R189 + 1),_DPP _Decenal),
IF(DAY(R189 + 1) &lt;= (_DPP _Decenal*2),
DATE(YEAR(R189 + 1),MONTH(R189 + 1),(_DPP _Decenal*2)),EOMONTH(R189 + 1,0)))</f>
        <v>44326</v>
      </c>
      <c r="S190" s="30">
        <f>_DPP _Decenal</f>
        <v>10</v>
      </c>
      <c r="T190" s="618"/>
      <c r="U190" s="76">
        <f t="shared" ca="1" si="12"/>
        <v>47744</v>
      </c>
      <c r="V190" s="30">
        <f t="shared" ca="1" si="14"/>
        <v>30</v>
      </c>
    </row>
    <row r="191" spans="5:22" x14ac:dyDescent="0.3">
      <c r="E191" s="98">
        <f t="shared" si="10"/>
        <v>30</v>
      </c>
      <c r="F191" s="583">
        <f ca="1">INDEX(_Datos 191:191,,MATCH(_Búsqueda_Fechas_Pago, _Datos _Headers,0))</f>
        <v>47851</v>
      </c>
      <c r="G191" s="619">
        <f ca="1">INDEX(_Datos 191:191,,MATCH(_Búsqueda_Duración, _Datos _Headers,0))</f>
        <v>30</v>
      </c>
      <c r="H191" s="618"/>
      <c r="I191" s="76">
        <f t="shared" ca="1" si="11"/>
        <v>47851</v>
      </c>
      <c r="J191" s="619">
        <f ca="1">CONST_DIAS_BASE_INTERES + IF(DAY(_Fecha_Pago _Anterior)&gt;=Const_Dia_Corte_Aniversario,MAX(CONST_DIAS_LIMITE-DAY(_Fecha_Pago _Anterior),1))</f>
        <v>30</v>
      </c>
      <c r="K191" s="618"/>
      <c r="L191" s="76">
        <f t="shared" ca="1" si="13"/>
        <v>47848</v>
      </c>
      <c r="M191" s="30">
        <f>_DPP _Mensual_AEN</f>
        <v>30</v>
      </c>
      <c r="N191" s="618"/>
      <c r="O191" s="76">
        <f ca="1">IF(DAY(O190 + 1) &lt;= _DPP _Quincenal,
DATE(YEAR(O190 + 1),MONTH( O190 + 1), _DPP _Quincenal ),
EOMONTH( O190 + 1,0))</f>
        <v>45214</v>
      </c>
      <c r="P191" s="30">
        <f>_DPP _Quincenal</f>
        <v>15</v>
      </c>
      <c r="Q191" s="618"/>
      <c r="R191" s="76">
        <f ca="1">IF(DAY(R190 + 1) &lt;= _DPP _Decenal,
DATE(YEAR(R190 + 1),MONTH(R190 + 1),_DPP _Decenal),
IF(DAY(R190 + 1) &lt;= (_DPP _Decenal*2),
DATE(YEAR(R190 + 1),MONTH(R190 + 1),(_DPP _Decenal*2)),EOMONTH(R190 + 1,0)))</f>
        <v>44336</v>
      </c>
      <c r="S191" s="30">
        <f>_DPP _Decenal</f>
        <v>10</v>
      </c>
      <c r="T191" s="618"/>
      <c r="U191" s="76">
        <f t="shared" ca="1" si="12"/>
        <v>47774</v>
      </c>
      <c r="V191" s="30">
        <f t="shared" ca="1" si="14"/>
        <v>30</v>
      </c>
    </row>
    <row r="192" spans="5:22" x14ac:dyDescent="0.3">
      <c r="E192" s="98">
        <f t="shared" si="10"/>
        <v>30</v>
      </c>
      <c r="F192" s="583">
        <f ca="1">INDEX(_Datos 192:192,,MATCH(_Búsqueda_Fechas_Pago, _Datos _Headers,0))</f>
        <v>47882</v>
      </c>
      <c r="G192" s="619">
        <f ca="1">INDEX(_Datos 192:192,,MATCH(_Búsqueda_Duración, _Datos _Headers,0))</f>
        <v>30</v>
      </c>
      <c r="H192" s="618"/>
      <c r="I192" s="76">
        <f t="shared" ca="1" si="11"/>
        <v>47882</v>
      </c>
      <c r="J192" s="619">
        <f ca="1">CONST_DIAS_BASE_INTERES + IF(DAY(_Fecha_Pago _Anterior)&gt;=Const_Dia_Corte_Aniversario,MAX(CONST_DIAS_LIMITE-DAY(_Fecha_Pago _Anterior),1))</f>
        <v>30</v>
      </c>
      <c r="K192" s="618"/>
      <c r="L192" s="76">
        <f t="shared" ca="1" si="13"/>
        <v>47879</v>
      </c>
      <c r="M192" s="30">
        <f>_DPP _Mensual_AEN</f>
        <v>30</v>
      </c>
      <c r="N192" s="618"/>
      <c r="O192" s="76">
        <f ca="1">IF(DAY(O191 + 1) &lt;= _DPP _Quincenal,
DATE(YEAR(O191 + 1),MONTH( O191 + 1), _DPP _Quincenal ),
EOMONTH( O191 + 1,0))</f>
        <v>45230</v>
      </c>
      <c r="P192" s="30">
        <f>_DPP _Quincenal</f>
        <v>15</v>
      </c>
      <c r="Q192" s="618"/>
      <c r="R192" s="76">
        <f ca="1">IF(DAY(R191 + 1) &lt;= _DPP _Decenal,
DATE(YEAR(R191 + 1),MONTH(R191 + 1),_DPP _Decenal),
IF(DAY(R191 + 1) &lt;= (_DPP _Decenal*2),
DATE(YEAR(R191 + 1),MONTH(R191 + 1),(_DPP _Decenal*2)),EOMONTH(R191 + 1,0)))</f>
        <v>44347</v>
      </c>
      <c r="S192" s="30">
        <f>_DPP _Decenal</f>
        <v>10</v>
      </c>
      <c r="T192" s="618"/>
      <c r="U192" s="76">
        <f t="shared" ca="1" si="12"/>
        <v>47804</v>
      </c>
      <c r="V192" s="30">
        <f t="shared" ca="1" si="14"/>
        <v>30</v>
      </c>
    </row>
    <row r="193" spans="5:22" x14ac:dyDescent="0.3">
      <c r="E193" s="98">
        <f t="shared" si="10"/>
        <v>30</v>
      </c>
      <c r="F193" s="583">
        <f ca="1">INDEX(_Datos 193:193,,MATCH(_Búsqueda_Fechas_Pago, _Datos _Headers,0))</f>
        <v>47910</v>
      </c>
      <c r="G193" s="619">
        <f ca="1">INDEX(_Datos 193:193,,MATCH(_Búsqueda_Duración, _Datos _Headers,0))</f>
        <v>30</v>
      </c>
      <c r="H193" s="618"/>
      <c r="I193" s="76">
        <f t="shared" ca="1" si="11"/>
        <v>47910</v>
      </c>
      <c r="J193" s="619">
        <f ca="1">CONST_DIAS_BASE_INTERES + IF(DAY(_Fecha_Pago _Anterior)&gt;=Const_Dia_Corte_Aniversario,MAX(CONST_DIAS_LIMITE-DAY(_Fecha_Pago _Anterior),1))</f>
        <v>30</v>
      </c>
      <c r="K193" s="618"/>
      <c r="L193" s="76">
        <f t="shared" ca="1" si="13"/>
        <v>47907</v>
      </c>
      <c r="M193" s="30">
        <f>_DPP _Mensual_AEN</f>
        <v>30</v>
      </c>
      <c r="N193" s="618"/>
      <c r="O193" s="76">
        <f ca="1">IF(DAY(O192 + 1) &lt;= _DPP _Quincenal,
DATE(YEAR(O192 + 1),MONTH( O192 + 1), _DPP _Quincenal ),
EOMONTH( O192 + 1,0))</f>
        <v>45245</v>
      </c>
      <c r="P193" s="30">
        <f>_DPP _Quincenal</f>
        <v>15</v>
      </c>
      <c r="Q193" s="618"/>
      <c r="R193" s="76">
        <f ca="1">IF(DAY(R192 + 1) &lt;= _DPP _Decenal,
DATE(YEAR(R192 + 1),MONTH(R192 + 1),_DPP _Decenal),
IF(DAY(R192 + 1) &lt;= (_DPP _Decenal*2),
DATE(YEAR(R192 + 1),MONTH(R192 + 1),(_DPP _Decenal*2)),EOMONTH(R192 + 1,0)))</f>
        <v>44357</v>
      </c>
      <c r="S193" s="30">
        <f>_DPP _Decenal</f>
        <v>10</v>
      </c>
      <c r="T193" s="618"/>
      <c r="U193" s="76">
        <f t="shared" ca="1" si="12"/>
        <v>47834</v>
      </c>
      <c r="V193" s="30">
        <f t="shared" ca="1" si="14"/>
        <v>30</v>
      </c>
    </row>
    <row r="194" spans="5:22" x14ac:dyDescent="0.3">
      <c r="E194" s="98">
        <f t="shared" si="10"/>
        <v>30</v>
      </c>
      <c r="F194" s="583">
        <f ca="1">INDEX(_Datos 194:194,,MATCH(_Búsqueda_Fechas_Pago, _Datos _Headers,0))</f>
        <v>47941</v>
      </c>
      <c r="G194" s="619">
        <f ca="1">INDEX(_Datos 194:194,,MATCH(_Búsqueda_Duración, _Datos _Headers,0))</f>
        <v>30</v>
      </c>
      <c r="H194" s="618"/>
      <c r="I194" s="76">
        <f t="shared" ca="1" si="11"/>
        <v>47941</v>
      </c>
      <c r="J194" s="619">
        <f ca="1">CONST_DIAS_BASE_INTERES + IF(DAY(_Fecha_Pago _Anterior)&gt;=Const_Dia_Corte_Aniversario,MAX(CONST_DIAS_LIMITE-DAY(_Fecha_Pago _Anterior),1))</f>
        <v>30</v>
      </c>
      <c r="K194" s="618"/>
      <c r="L194" s="76">
        <f t="shared" ca="1" si="13"/>
        <v>47938</v>
      </c>
      <c r="M194" s="30">
        <f>_DPP _Mensual_AEN</f>
        <v>30</v>
      </c>
      <c r="N194" s="618"/>
      <c r="O194" s="76">
        <f ca="1">IF(DAY(O193 + 1) &lt;= _DPP _Quincenal,
DATE(YEAR(O193 + 1),MONTH( O193 + 1), _DPP _Quincenal ),
EOMONTH( O193 + 1,0))</f>
        <v>45260</v>
      </c>
      <c r="P194" s="30">
        <f>_DPP _Quincenal</f>
        <v>15</v>
      </c>
      <c r="Q194" s="618"/>
      <c r="R194" s="76">
        <f ca="1">IF(DAY(R193 + 1) &lt;= _DPP _Decenal,
DATE(YEAR(R193 + 1),MONTH(R193 + 1),_DPP _Decenal),
IF(DAY(R193 + 1) &lt;= (_DPP _Decenal*2),
DATE(YEAR(R193 + 1),MONTH(R193 + 1),(_DPP _Decenal*2)),EOMONTH(R193 + 1,0)))</f>
        <v>44367</v>
      </c>
      <c r="S194" s="30">
        <f>_DPP _Decenal</f>
        <v>10</v>
      </c>
      <c r="T194" s="618"/>
      <c r="U194" s="76">
        <f t="shared" ca="1" si="12"/>
        <v>47864</v>
      </c>
      <c r="V194" s="30">
        <f t="shared" ca="1" si="14"/>
        <v>30</v>
      </c>
    </row>
    <row r="195" spans="5:22" x14ac:dyDescent="0.3">
      <c r="E195" s="98">
        <f t="shared" si="10"/>
        <v>30</v>
      </c>
      <c r="F195" s="583">
        <f ca="1">INDEX(_Datos 195:195,,MATCH(_Búsqueda_Fechas_Pago, _Datos _Headers,0))</f>
        <v>47971</v>
      </c>
      <c r="G195" s="619">
        <f ca="1">INDEX(_Datos 195:195,,MATCH(_Búsqueda_Duración, _Datos _Headers,0))</f>
        <v>30</v>
      </c>
      <c r="H195" s="618"/>
      <c r="I195" s="76">
        <f t="shared" ca="1" si="11"/>
        <v>47971</v>
      </c>
      <c r="J195" s="619">
        <f ca="1">CONST_DIAS_BASE_INTERES + IF(DAY(_Fecha_Pago _Anterior)&gt;=Const_Dia_Corte_Aniversario,MAX(CONST_DIAS_LIMITE-DAY(_Fecha_Pago _Anterior),1))</f>
        <v>30</v>
      </c>
      <c r="K195" s="618"/>
      <c r="L195" s="76">
        <f t="shared" ca="1" si="13"/>
        <v>47968</v>
      </c>
      <c r="M195" s="30">
        <f>_DPP _Mensual_AEN</f>
        <v>30</v>
      </c>
      <c r="N195" s="618"/>
      <c r="O195" s="76">
        <f ca="1">IF(DAY(O194 + 1) &lt;= _DPP _Quincenal,
DATE(YEAR(O194 + 1),MONTH( O194 + 1), _DPP _Quincenal ),
EOMONTH( O194 + 1,0))</f>
        <v>45275</v>
      </c>
      <c r="P195" s="30">
        <f>_DPP _Quincenal</f>
        <v>15</v>
      </c>
      <c r="Q195" s="618"/>
      <c r="R195" s="76">
        <f ca="1">IF(DAY(R194 + 1) &lt;= _DPP _Decenal,
DATE(YEAR(R194 + 1),MONTH(R194 + 1),_DPP _Decenal),
IF(DAY(R194 + 1) &lt;= (_DPP _Decenal*2),
DATE(YEAR(R194 + 1),MONTH(R194 + 1),(_DPP _Decenal*2)),EOMONTH(R194 + 1,0)))</f>
        <v>44377</v>
      </c>
      <c r="S195" s="30">
        <f>_DPP _Decenal</f>
        <v>10</v>
      </c>
      <c r="T195" s="618"/>
      <c r="U195" s="76">
        <f t="shared" ca="1" si="12"/>
        <v>47894</v>
      </c>
      <c r="V195" s="30">
        <f t="shared" ca="1" si="14"/>
        <v>30</v>
      </c>
    </row>
    <row r="196" spans="5:22" x14ac:dyDescent="0.3">
      <c r="E196" s="98">
        <f t="shared" si="10"/>
        <v>30</v>
      </c>
      <c r="F196" s="583">
        <f ca="1">INDEX(_Datos 196:196,,MATCH(_Búsqueda_Fechas_Pago, _Datos _Headers,0))</f>
        <v>48002</v>
      </c>
      <c r="G196" s="619">
        <f ca="1">INDEX(_Datos 196:196,,MATCH(_Búsqueda_Duración, _Datos _Headers,0))</f>
        <v>30</v>
      </c>
      <c r="H196" s="618"/>
      <c r="I196" s="76">
        <f t="shared" ca="1" si="11"/>
        <v>48002</v>
      </c>
      <c r="J196" s="619">
        <f ca="1">CONST_DIAS_BASE_INTERES + IF(DAY(_Fecha_Pago _Anterior)&gt;=Const_Dia_Corte_Aniversario,MAX(CONST_DIAS_LIMITE-DAY(_Fecha_Pago _Anterior),1))</f>
        <v>30</v>
      </c>
      <c r="K196" s="618"/>
      <c r="L196" s="76">
        <f t="shared" ca="1" si="13"/>
        <v>47999</v>
      </c>
      <c r="M196" s="30">
        <f>_DPP _Mensual_AEN</f>
        <v>30</v>
      </c>
      <c r="N196" s="618"/>
      <c r="O196" s="76">
        <f ca="1">IF(DAY(O195 + 1) &lt;= _DPP _Quincenal,
DATE(YEAR(O195 + 1),MONTH( O195 + 1), _DPP _Quincenal ),
EOMONTH( O195 + 1,0))</f>
        <v>45291</v>
      </c>
      <c r="P196" s="30">
        <f>_DPP _Quincenal</f>
        <v>15</v>
      </c>
      <c r="Q196" s="618"/>
      <c r="R196" s="76">
        <f ca="1">IF(DAY(R195 + 1) &lt;= _DPP _Decenal,
DATE(YEAR(R195 + 1),MONTH(R195 + 1),_DPP _Decenal),
IF(DAY(R195 + 1) &lt;= (_DPP _Decenal*2),
DATE(YEAR(R195 + 1),MONTH(R195 + 1),(_DPP _Decenal*2)),EOMONTH(R195 + 1,0)))</f>
        <v>44387</v>
      </c>
      <c r="S196" s="30">
        <f>_DPP _Decenal</f>
        <v>10</v>
      </c>
      <c r="T196" s="618"/>
      <c r="U196" s="76">
        <f t="shared" ca="1" si="12"/>
        <v>47924</v>
      </c>
      <c r="V196" s="30">
        <f t="shared" ca="1" si="14"/>
        <v>30</v>
      </c>
    </row>
    <row r="197" spans="5:22" x14ac:dyDescent="0.3">
      <c r="E197" s="98">
        <f t="shared" si="10"/>
        <v>30</v>
      </c>
      <c r="F197" s="583">
        <f ca="1">INDEX(_Datos 197:197,,MATCH(_Búsqueda_Fechas_Pago, _Datos _Headers,0))</f>
        <v>48032</v>
      </c>
      <c r="G197" s="619">
        <f ca="1">INDEX(_Datos 197:197,,MATCH(_Búsqueda_Duración, _Datos _Headers,0))</f>
        <v>30</v>
      </c>
      <c r="H197" s="618"/>
      <c r="I197" s="76">
        <f t="shared" ca="1" si="11"/>
        <v>48032</v>
      </c>
      <c r="J197" s="619">
        <f ca="1">CONST_DIAS_BASE_INTERES + IF(DAY(_Fecha_Pago _Anterior)&gt;=Const_Dia_Corte_Aniversario,MAX(CONST_DIAS_LIMITE-DAY(_Fecha_Pago _Anterior),1))</f>
        <v>30</v>
      </c>
      <c r="K197" s="618"/>
      <c r="L197" s="76">
        <f t="shared" ca="1" si="13"/>
        <v>48029</v>
      </c>
      <c r="M197" s="30">
        <f>_DPP _Mensual_AEN</f>
        <v>30</v>
      </c>
      <c r="N197" s="618"/>
      <c r="O197" s="76">
        <f ca="1">IF(DAY(O196 + 1) &lt;= _DPP _Quincenal,
DATE(YEAR(O196 + 1),MONTH( O196 + 1), _DPP _Quincenal ),
EOMONTH( O196 + 1,0))</f>
        <v>45306</v>
      </c>
      <c r="P197" s="30">
        <f>_DPP _Quincenal</f>
        <v>15</v>
      </c>
      <c r="Q197" s="618"/>
      <c r="R197" s="76">
        <f ca="1">IF(DAY(R196 + 1) &lt;= _DPP _Decenal,
DATE(YEAR(R196 + 1),MONTH(R196 + 1),_DPP _Decenal),
IF(DAY(R196 + 1) &lt;= (_DPP _Decenal*2),
DATE(YEAR(R196 + 1),MONTH(R196 + 1),(_DPP _Decenal*2)),EOMONTH(R196 + 1,0)))</f>
        <v>44397</v>
      </c>
      <c r="S197" s="30">
        <f>_DPP _Decenal</f>
        <v>10</v>
      </c>
      <c r="T197" s="618"/>
      <c r="U197" s="76">
        <f t="shared" ca="1" si="12"/>
        <v>47954</v>
      </c>
      <c r="V197" s="30">
        <f t="shared" ca="1" si="14"/>
        <v>30</v>
      </c>
    </row>
    <row r="198" spans="5:22" x14ac:dyDescent="0.3">
      <c r="E198" s="98">
        <f t="shared" si="10"/>
        <v>30</v>
      </c>
      <c r="F198" s="583">
        <f ca="1">INDEX(_Datos 198:198,,MATCH(_Búsqueda_Fechas_Pago, _Datos _Headers,0))</f>
        <v>48063</v>
      </c>
      <c r="G198" s="619">
        <f ca="1">INDEX(_Datos 198:198,,MATCH(_Búsqueda_Duración, _Datos _Headers,0))</f>
        <v>30</v>
      </c>
      <c r="H198" s="618"/>
      <c r="I198" s="76">
        <f t="shared" ca="1" si="11"/>
        <v>48063</v>
      </c>
      <c r="J198" s="619">
        <f ca="1">CONST_DIAS_BASE_INTERES + IF(DAY(_Fecha_Pago _Anterior)&gt;=Const_Dia_Corte_Aniversario,MAX(CONST_DIAS_LIMITE-DAY(_Fecha_Pago _Anterior),1))</f>
        <v>30</v>
      </c>
      <c r="K198" s="618"/>
      <c r="L198" s="76">
        <f t="shared" ca="1" si="13"/>
        <v>48060</v>
      </c>
      <c r="M198" s="30">
        <f>_DPP _Mensual_AEN</f>
        <v>30</v>
      </c>
      <c r="N198" s="618"/>
      <c r="O198" s="76">
        <f ca="1">IF(DAY(O197 + 1) &lt;= _DPP _Quincenal,
DATE(YEAR(O197 + 1),MONTH( O197 + 1), _DPP _Quincenal ),
EOMONTH( O197 + 1,0))</f>
        <v>45322</v>
      </c>
      <c r="P198" s="30">
        <f>_DPP _Quincenal</f>
        <v>15</v>
      </c>
      <c r="Q198" s="618"/>
      <c r="R198" s="76">
        <f ca="1">IF(DAY(R197 + 1) &lt;= _DPP _Decenal,
DATE(YEAR(R197 + 1),MONTH(R197 + 1),_DPP _Decenal),
IF(DAY(R197 + 1) &lt;= (_DPP _Decenal*2),
DATE(YEAR(R197 + 1),MONTH(R197 + 1),(_DPP _Decenal*2)),EOMONTH(R197 + 1,0)))</f>
        <v>44408</v>
      </c>
      <c r="S198" s="30">
        <f>_DPP _Decenal</f>
        <v>10</v>
      </c>
      <c r="T198" s="618"/>
      <c r="U198" s="76">
        <f t="shared" ca="1" si="12"/>
        <v>47984</v>
      </c>
      <c r="V198" s="30">
        <f t="shared" ca="1" si="14"/>
        <v>30</v>
      </c>
    </row>
    <row r="199" spans="5:22" x14ac:dyDescent="0.3">
      <c r="E199" s="98">
        <f t="shared" si="10"/>
        <v>30</v>
      </c>
      <c r="F199" s="583">
        <f ca="1">INDEX(_Datos 199:199,,MATCH(_Búsqueda_Fechas_Pago, _Datos _Headers,0))</f>
        <v>48094</v>
      </c>
      <c r="G199" s="619">
        <f ca="1">INDEX(_Datos 199:199,,MATCH(_Búsqueda_Duración, _Datos _Headers,0))</f>
        <v>30</v>
      </c>
      <c r="H199" s="618"/>
      <c r="I199" s="76">
        <f t="shared" ca="1" si="11"/>
        <v>48094</v>
      </c>
      <c r="J199" s="619">
        <f ca="1">CONST_DIAS_BASE_INTERES + IF(DAY(_Fecha_Pago _Anterior)&gt;=Const_Dia_Corte_Aniversario,MAX(CONST_DIAS_LIMITE-DAY(_Fecha_Pago _Anterior),1))</f>
        <v>30</v>
      </c>
      <c r="K199" s="618"/>
      <c r="L199" s="76">
        <f t="shared" ca="1" si="13"/>
        <v>48091</v>
      </c>
      <c r="M199" s="30">
        <f>_DPP _Mensual_AEN</f>
        <v>30</v>
      </c>
      <c r="N199" s="618"/>
      <c r="O199" s="76">
        <f ca="1">IF(DAY(O198 + 1) &lt;= _DPP _Quincenal,
DATE(YEAR(O198 + 1),MONTH( O198 + 1), _DPP _Quincenal ),
EOMONTH( O198 + 1,0))</f>
        <v>45337</v>
      </c>
      <c r="P199" s="30">
        <f>_DPP _Quincenal</f>
        <v>15</v>
      </c>
      <c r="Q199" s="618"/>
      <c r="R199" s="76">
        <f ca="1">IF(DAY(R198 + 1) &lt;= _DPP _Decenal,
DATE(YEAR(R198 + 1),MONTH(R198 + 1),_DPP _Decenal),
IF(DAY(R198 + 1) &lt;= (_DPP _Decenal*2),
DATE(YEAR(R198 + 1),MONTH(R198 + 1),(_DPP _Decenal*2)),EOMONTH(R198 + 1,0)))</f>
        <v>44418</v>
      </c>
      <c r="S199" s="30">
        <f>_DPP _Decenal</f>
        <v>10</v>
      </c>
      <c r="T199" s="618"/>
      <c r="U199" s="76">
        <f t="shared" ca="1" si="12"/>
        <v>48014</v>
      </c>
      <c r="V199" s="30">
        <f t="shared" ca="1" si="14"/>
        <v>30</v>
      </c>
    </row>
    <row r="200" spans="5:22" x14ac:dyDescent="0.3">
      <c r="E200" s="98">
        <f t="shared" si="10"/>
        <v>30</v>
      </c>
      <c r="F200" s="583">
        <f ca="1">INDEX(_Datos 200:200,,MATCH(_Búsqueda_Fechas_Pago, _Datos _Headers,0))</f>
        <v>48124</v>
      </c>
      <c r="G200" s="619">
        <f ca="1">INDEX(_Datos 200:200,,MATCH(_Búsqueda_Duración, _Datos _Headers,0))</f>
        <v>30</v>
      </c>
      <c r="H200" s="618"/>
      <c r="I200" s="76">
        <f t="shared" ca="1" si="11"/>
        <v>48124</v>
      </c>
      <c r="J200" s="619">
        <f ca="1">CONST_DIAS_BASE_INTERES + IF(DAY(_Fecha_Pago _Anterior)&gt;=Const_Dia_Corte_Aniversario,MAX(CONST_DIAS_LIMITE-DAY(_Fecha_Pago _Anterior),1))</f>
        <v>30</v>
      </c>
      <c r="K200" s="618"/>
      <c r="L200" s="76">
        <f t="shared" ca="1" si="13"/>
        <v>48121</v>
      </c>
      <c r="M200" s="30">
        <f>_DPP _Mensual_AEN</f>
        <v>30</v>
      </c>
      <c r="N200" s="618"/>
      <c r="O200" s="76">
        <f ca="1">IF(DAY(O199 + 1) &lt;= _DPP _Quincenal,
DATE(YEAR(O199 + 1),MONTH( O199 + 1), _DPP _Quincenal ),
EOMONTH( O199 + 1,0))</f>
        <v>45351</v>
      </c>
      <c r="P200" s="30">
        <f>_DPP _Quincenal</f>
        <v>15</v>
      </c>
      <c r="Q200" s="618"/>
      <c r="R200" s="76">
        <f ca="1">IF(DAY(R199 + 1) &lt;= _DPP _Decenal,
DATE(YEAR(R199 + 1),MONTH(R199 + 1),_DPP _Decenal),
IF(DAY(R199 + 1) &lt;= (_DPP _Decenal*2),
DATE(YEAR(R199 + 1),MONTH(R199 + 1),(_DPP _Decenal*2)),EOMONTH(R199 + 1,0)))</f>
        <v>44428</v>
      </c>
      <c r="S200" s="30">
        <f>_DPP _Decenal</f>
        <v>10</v>
      </c>
      <c r="T200" s="618"/>
      <c r="U200" s="76">
        <f t="shared" ca="1" si="12"/>
        <v>48044</v>
      </c>
      <c r="V200" s="30">
        <f t="shared" ca="1" si="14"/>
        <v>30</v>
      </c>
    </row>
    <row r="201" spans="5:22" x14ac:dyDescent="0.3">
      <c r="E201" s="98">
        <f t="shared" si="10"/>
        <v>30</v>
      </c>
      <c r="F201" s="583">
        <f ca="1">INDEX(_Datos 201:201,,MATCH(_Búsqueda_Fechas_Pago, _Datos _Headers,0))</f>
        <v>48155</v>
      </c>
      <c r="G201" s="619">
        <f ca="1">INDEX(_Datos 201:201,,MATCH(_Búsqueda_Duración, _Datos _Headers,0))</f>
        <v>30</v>
      </c>
      <c r="H201" s="618"/>
      <c r="I201" s="76">
        <f t="shared" ca="1" si="11"/>
        <v>48155</v>
      </c>
      <c r="J201" s="619">
        <f ca="1">CONST_DIAS_BASE_INTERES + IF(DAY(_Fecha_Pago _Anterior)&gt;=Const_Dia_Corte_Aniversario,MAX(CONST_DIAS_LIMITE-DAY(_Fecha_Pago _Anterior),1))</f>
        <v>30</v>
      </c>
      <c r="K201" s="618"/>
      <c r="L201" s="76">
        <f t="shared" ca="1" si="13"/>
        <v>48152</v>
      </c>
      <c r="M201" s="30">
        <f>_DPP _Mensual_AEN</f>
        <v>30</v>
      </c>
      <c r="N201" s="618"/>
      <c r="O201" s="76">
        <f ca="1">IF(DAY(O200 + 1) &lt;= _DPP _Quincenal,
DATE(YEAR(O200 + 1),MONTH( O200 + 1), _DPP _Quincenal ),
EOMONTH( O200 + 1,0))</f>
        <v>45366</v>
      </c>
      <c r="P201" s="30">
        <f>_DPP _Quincenal</f>
        <v>15</v>
      </c>
      <c r="Q201" s="618"/>
      <c r="R201" s="76">
        <f ca="1">IF(DAY(R200 + 1) &lt;= _DPP _Decenal,
DATE(YEAR(R200 + 1),MONTH(R200 + 1),_DPP _Decenal),
IF(DAY(R200 + 1) &lt;= (_DPP _Decenal*2),
DATE(YEAR(R200 + 1),MONTH(R200 + 1),(_DPP _Decenal*2)),EOMONTH(R200 + 1,0)))</f>
        <v>44439</v>
      </c>
      <c r="S201" s="30">
        <f>_DPP _Decenal</f>
        <v>10</v>
      </c>
      <c r="T201" s="618"/>
      <c r="U201" s="76">
        <f t="shared" ca="1" si="12"/>
        <v>48074</v>
      </c>
      <c r="V201" s="30">
        <f t="shared" ca="1" si="14"/>
        <v>30</v>
      </c>
    </row>
    <row r="202" spans="5:22" x14ac:dyDescent="0.3">
      <c r="E202" s="98">
        <f t="shared" si="10"/>
        <v>30</v>
      </c>
      <c r="F202" s="583">
        <f ca="1">INDEX(_Datos 202:202,,MATCH(_Búsqueda_Fechas_Pago, _Datos _Headers,0))</f>
        <v>48185</v>
      </c>
      <c r="G202" s="619">
        <f ca="1">INDEX(_Datos 202:202,,MATCH(_Búsqueda_Duración, _Datos _Headers,0))</f>
        <v>30</v>
      </c>
      <c r="H202" s="618"/>
      <c r="I202" s="76">
        <f t="shared" ca="1" si="11"/>
        <v>48185</v>
      </c>
      <c r="J202" s="619">
        <f ca="1">CONST_DIAS_BASE_INTERES + IF(DAY(_Fecha_Pago _Anterior)&gt;=Const_Dia_Corte_Aniversario,MAX(CONST_DIAS_LIMITE-DAY(_Fecha_Pago _Anterior),1))</f>
        <v>30</v>
      </c>
      <c r="K202" s="618"/>
      <c r="L202" s="76">
        <f t="shared" ca="1" si="13"/>
        <v>48182</v>
      </c>
      <c r="M202" s="30">
        <f>_DPP _Mensual_AEN</f>
        <v>30</v>
      </c>
      <c r="N202" s="618"/>
      <c r="O202" s="76">
        <f ca="1">IF(DAY(O201 + 1) &lt;= _DPP _Quincenal,
DATE(YEAR(O201 + 1),MONTH( O201 + 1), _DPP _Quincenal ),
EOMONTH( O201 + 1,0))</f>
        <v>45382</v>
      </c>
      <c r="P202" s="30">
        <f>_DPP _Quincenal</f>
        <v>15</v>
      </c>
      <c r="Q202" s="618"/>
      <c r="R202" s="76">
        <f ca="1">IF(DAY(R201 + 1) &lt;= _DPP _Decenal,
DATE(YEAR(R201 + 1),MONTH(R201 + 1),_DPP _Decenal),
IF(DAY(R201 + 1) &lt;= (_DPP _Decenal*2),
DATE(YEAR(R201 + 1),MONTH(R201 + 1),(_DPP _Decenal*2)),EOMONTH(R201 + 1,0)))</f>
        <v>44449</v>
      </c>
      <c r="S202" s="30">
        <f>_DPP _Decenal</f>
        <v>10</v>
      </c>
      <c r="T202" s="618"/>
      <c r="U202" s="76">
        <f t="shared" ca="1" si="12"/>
        <v>48104</v>
      </c>
      <c r="V202" s="30">
        <f t="shared" ca="1" si="14"/>
        <v>30</v>
      </c>
    </row>
    <row r="203" spans="5:22" x14ac:dyDescent="0.3">
      <c r="E203" s="98">
        <f t="shared" si="10"/>
        <v>30</v>
      </c>
      <c r="F203" s="583">
        <f ca="1">INDEX(_Datos 203:203,,MATCH(_Búsqueda_Fechas_Pago, _Datos _Headers,0))</f>
        <v>48216</v>
      </c>
      <c r="G203" s="619">
        <f ca="1">INDEX(_Datos 203:203,,MATCH(_Búsqueda_Duración, _Datos _Headers,0))</f>
        <v>30</v>
      </c>
      <c r="H203" s="618"/>
      <c r="I203" s="76">
        <f t="shared" ca="1" si="11"/>
        <v>48216</v>
      </c>
      <c r="J203" s="619">
        <f ca="1">CONST_DIAS_BASE_INTERES + IF(DAY(_Fecha_Pago _Anterior)&gt;=Const_Dia_Corte_Aniversario,MAX(CONST_DIAS_LIMITE-DAY(_Fecha_Pago _Anterior),1))</f>
        <v>30</v>
      </c>
      <c r="K203" s="618"/>
      <c r="L203" s="76">
        <f t="shared" ca="1" si="13"/>
        <v>48213</v>
      </c>
      <c r="M203" s="30">
        <f>_DPP _Mensual_AEN</f>
        <v>30</v>
      </c>
      <c r="N203" s="618"/>
      <c r="O203" s="76">
        <f ca="1">IF(DAY(O202 + 1) &lt;= _DPP _Quincenal,
DATE(YEAR(O202 + 1),MONTH( O202 + 1), _DPP _Quincenal ),
EOMONTH( O202 + 1,0))</f>
        <v>45397</v>
      </c>
      <c r="P203" s="30">
        <f>_DPP _Quincenal</f>
        <v>15</v>
      </c>
      <c r="Q203" s="618"/>
      <c r="R203" s="76">
        <f ca="1">IF(DAY(R202 + 1) &lt;= _DPP _Decenal,
DATE(YEAR(R202 + 1),MONTH(R202 + 1),_DPP _Decenal),
IF(DAY(R202 + 1) &lt;= (_DPP _Decenal*2),
DATE(YEAR(R202 + 1),MONTH(R202 + 1),(_DPP _Decenal*2)),EOMONTH(R202 + 1,0)))</f>
        <v>44459</v>
      </c>
      <c r="S203" s="30">
        <f>_DPP _Decenal</f>
        <v>10</v>
      </c>
      <c r="T203" s="618"/>
      <c r="U203" s="76">
        <f t="shared" ca="1" si="12"/>
        <v>48134</v>
      </c>
      <c r="V203" s="30">
        <f t="shared" ca="1" si="14"/>
        <v>30</v>
      </c>
    </row>
    <row r="204" spans="5:22" x14ac:dyDescent="0.3">
      <c r="E204" s="98">
        <f t="shared" si="10"/>
        <v>30</v>
      </c>
      <c r="F204" s="583">
        <f ca="1">INDEX(_Datos 204:204,,MATCH(_Búsqueda_Fechas_Pago, _Datos _Headers,0))</f>
        <v>48247</v>
      </c>
      <c r="G204" s="619">
        <f ca="1">INDEX(_Datos 204:204,,MATCH(_Búsqueda_Duración, _Datos _Headers,0))</f>
        <v>30</v>
      </c>
      <c r="H204" s="618"/>
      <c r="I204" s="76">
        <f t="shared" ca="1" si="11"/>
        <v>48247</v>
      </c>
      <c r="J204" s="619">
        <f ca="1">CONST_DIAS_BASE_INTERES + IF(DAY(_Fecha_Pago _Anterior)&gt;=Const_Dia_Corte_Aniversario,MAX(CONST_DIAS_LIMITE-DAY(_Fecha_Pago _Anterior),1))</f>
        <v>30</v>
      </c>
      <c r="K204" s="618"/>
      <c r="L204" s="76">
        <f t="shared" ca="1" si="13"/>
        <v>48244</v>
      </c>
      <c r="M204" s="30">
        <f>_DPP _Mensual_AEN</f>
        <v>30</v>
      </c>
      <c r="N204" s="618"/>
      <c r="O204" s="76">
        <f ca="1">IF(DAY(O203 + 1) &lt;= _DPP _Quincenal,
DATE(YEAR(O203 + 1),MONTH( O203 + 1), _DPP _Quincenal ),
EOMONTH( O203 + 1,0))</f>
        <v>45412</v>
      </c>
      <c r="P204" s="30">
        <f>_DPP _Quincenal</f>
        <v>15</v>
      </c>
      <c r="Q204" s="618"/>
      <c r="R204" s="76">
        <f ca="1">IF(DAY(R203 + 1) &lt;= _DPP _Decenal,
DATE(YEAR(R203 + 1),MONTH(R203 + 1),_DPP _Decenal),
IF(DAY(R203 + 1) &lt;= (_DPP _Decenal*2),
DATE(YEAR(R203 + 1),MONTH(R203 + 1),(_DPP _Decenal*2)),EOMONTH(R203 + 1,0)))</f>
        <v>44469</v>
      </c>
      <c r="S204" s="30">
        <f>_DPP _Decenal</f>
        <v>10</v>
      </c>
      <c r="T204" s="618"/>
      <c r="U204" s="76">
        <f t="shared" ca="1" si="12"/>
        <v>48164</v>
      </c>
      <c r="V204" s="30">
        <f t="shared" ca="1" si="14"/>
        <v>30</v>
      </c>
    </row>
    <row r="205" spans="5:22" x14ac:dyDescent="0.3">
      <c r="E205" s="98">
        <f t="shared" si="10"/>
        <v>30</v>
      </c>
      <c r="F205" s="583">
        <f ca="1">INDEX(_Datos 205:205,,MATCH(_Búsqueda_Fechas_Pago, _Datos _Headers,0))</f>
        <v>48276</v>
      </c>
      <c r="G205" s="619">
        <f ca="1">INDEX(_Datos 205:205,,MATCH(_Búsqueda_Duración, _Datos _Headers,0))</f>
        <v>30</v>
      </c>
      <c r="H205" s="618"/>
      <c r="I205" s="76">
        <f t="shared" ca="1" si="11"/>
        <v>48276</v>
      </c>
      <c r="J205" s="619">
        <f ca="1">CONST_DIAS_BASE_INTERES + IF(DAY(_Fecha_Pago _Anterior)&gt;=Const_Dia_Corte_Aniversario,MAX(CONST_DIAS_LIMITE-DAY(_Fecha_Pago _Anterior),1))</f>
        <v>30</v>
      </c>
      <c r="K205" s="618"/>
      <c r="L205" s="76">
        <f t="shared" ca="1" si="13"/>
        <v>48273</v>
      </c>
      <c r="M205" s="30">
        <f>_DPP _Mensual_AEN</f>
        <v>30</v>
      </c>
      <c r="N205" s="618"/>
      <c r="O205" s="76">
        <f ca="1">IF(DAY(O204 + 1) &lt;= _DPP _Quincenal,
DATE(YEAR(O204 + 1),MONTH( O204 + 1), _DPP _Quincenal ),
EOMONTH( O204 + 1,0))</f>
        <v>45427</v>
      </c>
      <c r="P205" s="30">
        <f>_DPP _Quincenal</f>
        <v>15</v>
      </c>
      <c r="Q205" s="618"/>
      <c r="R205" s="76">
        <f ca="1">IF(DAY(R204 + 1) &lt;= _DPP _Decenal,
DATE(YEAR(R204 + 1),MONTH(R204 + 1),_DPP _Decenal),
IF(DAY(R204 + 1) &lt;= (_DPP _Decenal*2),
DATE(YEAR(R204 + 1),MONTH(R204 + 1),(_DPP _Decenal*2)),EOMONTH(R204 + 1,0)))</f>
        <v>44479</v>
      </c>
      <c r="S205" s="30">
        <f>_DPP _Decenal</f>
        <v>10</v>
      </c>
      <c r="T205" s="618"/>
      <c r="U205" s="76">
        <f t="shared" ca="1" si="12"/>
        <v>48194</v>
      </c>
      <c r="V205" s="30">
        <f t="shared" ca="1" si="14"/>
        <v>30</v>
      </c>
    </row>
    <row r="206" spans="5:22" x14ac:dyDescent="0.3">
      <c r="E206" s="98">
        <f t="shared" si="10"/>
        <v>30</v>
      </c>
      <c r="F206" s="583">
        <f ca="1">INDEX(_Datos 206:206,,MATCH(_Búsqueda_Fechas_Pago, _Datos _Headers,0))</f>
        <v>48307</v>
      </c>
      <c r="G206" s="619">
        <f ca="1">INDEX(_Datos 206:206,,MATCH(_Búsqueda_Duración, _Datos _Headers,0))</f>
        <v>30</v>
      </c>
      <c r="H206" s="618"/>
      <c r="I206" s="76">
        <f t="shared" ca="1" si="11"/>
        <v>48307</v>
      </c>
      <c r="J206" s="619">
        <f ca="1">CONST_DIAS_BASE_INTERES + IF(DAY(_Fecha_Pago _Anterior)&gt;=Const_Dia_Corte_Aniversario,MAX(CONST_DIAS_LIMITE-DAY(_Fecha_Pago _Anterior),1))</f>
        <v>30</v>
      </c>
      <c r="K206" s="618"/>
      <c r="L206" s="76">
        <f t="shared" ca="1" si="13"/>
        <v>48304</v>
      </c>
      <c r="M206" s="30">
        <f>_DPP _Mensual_AEN</f>
        <v>30</v>
      </c>
      <c r="N206" s="618"/>
      <c r="O206" s="76">
        <f ca="1">IF(DAY(O205 + 1) &lt;= _DPP _Quincenal,
DATE(YEAR(O205 + 1),MONTH( O205 + 1), _DPP _Quincenal ),
EOMONTH( O205 + 1,0))</f>
        <v>45443</v>
      </c>
      <c r="P206" s="30">
        <f>_DPP _Quincenal</f>
        <v>15</v>
      </c>
      <c r="Q206" s="618"/>
      <c r="R206" s="76">
        <f ca="1">IF(DAY(R205 + 1) &lt;= _DPP _Decenal,
DATE(YEAR(R205 + 1),MONTH(R205 + 1),_DPP _Decenal),
IF(DAY(R205 + 1) &lt;= (_DPP _Decenal*2),
DATE(YEAR(R205 + 1),MONTH(R205 + 1),(_DPP _Decenal*2)),EOMONTH(R205 + 1,0)))</f>
        <v>44489</v>
      </c>
      <c r="S206" s="30">
        <f>_DPP _Decenal</f>
        <v>10</v>
      </c>
      <c r="T206" s="618"/>
      <c r="U206" s="76">
        <f t="shared" ca="1" si="12"/>
        <v>48224</v>
      </c>
      <c r="V206" s="30">
        <f t="shared" ca="1" si="14"/>
        <v>30</v>
      </c>
    </row>
    <row r="207" spans="5:22" x14ac:dyDescent="0.3">
      <c r="E207" s="98">
        <f t="shared" si="10"/>
        <v>30</v>
      </c>
      <c r="F207" s="583">
        <f ca="1">INDEX(_Datos 207:207,,MATCH(_Búsqueda_Fechas_Pago, _Datos _Headers,0))</f>
        <v>48337</v>
      </c>
      <c r="G207" s="619">
        <f ca="1">INDEX(_Datos 207:207,,MATCH(_Búsqueda_Duración, _Datos _Headers,0))</f>
        <v>30</v>
      </c>
      <c r="H207" s="618"/>
      <c r="I207" s="76">
        <f t="shared" ca="1" si="11"/>
        <v>48337</v>
      </c>
      <c r="J207" s="619">
        <f ca="1">CONST_DIAS_BASE_INTERES + IF(DAY(_Fecha_Pago _Anterior)&gt;=Const_Dia_Corte_Aniversario,MAX(CONST_DIAS_LIMITE-DAY(_Fecha_Pago _Anterior),1))</f>
        <v>30</v>
      </c>
      <c r="K207" s="618"/>
      <c r="L207" s="76">
        <f t="shared" ca="1" si="13"/>
        <v>48334</v>
      </c>
      <c r="M207" s="30">
        <f>_DPP _Mensual_AEN</f>
        <v>30</v>
      </c>
      <c r="N207" s="618"/>
      <c r="O207" s="76">
        <f ca="1">IF(DAY(O206 + 1) &lt;= _DPP _Quincenal,
DATE(YEAR(O206 + 1),MONTH( O206 + 1), _DPP _Quincenal ),
EOMONTH( O206 + 1,0))</f>
        <v>45458</v>
      </c>
      <c r="P207" s="30">
        <f>_DPP _Quincenal</f>
        <v>15</v>
      </c>
      <c r="Q207" s="618"/>
      <c r="R207" s="76">
        <f ca="1">IF(DAY(R206 + 1) &lt;= _DPP _Decenal,
DATE(YEAR(R206 + 1),MONTH(R206 + 1),_DPP _Decenal),
IF(DAY(R206 + 1) &lt;= (_DPP _Decenal*2),
DATE(YEAR(R206 + 1),MONTH(R206 + 1),(_DPP _Decenal*2)),EOMONTH(R206 + 1,0)))</f>
        <v>44500</v>
      </c>
      <c r="S207" s="30">
        <f>_DPP _Decenal</f>
        <v>10</v>
      </c>
      <c r="T207" s="618"/>
      <c r="U207" s="76">
        <f t="shared" ca="1" si="12"/>
        <v>48254</v>
      </c>
      <c r="V207" s="30">
        <f t="shared" ca="1" si="14"/>
        <v>30</v>
      </c>
    </row>
    <row r="208" spans="5:22" x14ac:dyDescent="0.3">
      <c r="E208" s="98">
        <f t="shared" si="10"/>
        <v>30</v>
      </c>
      <c r="F208" s="583">
        <f ca="1">INDEX(_Datos 208:208,,MATCH(_Búsqueda_Fechas_Pago, _Datos _Headers,0))</f>
        <v>48368</v>
      </c>
      <c r="G208" s="619">
        <f ca="1">INDEX(_Datos 208:208,,MATCH(_Búsqueda_Duración, _Datos _Headers,0))</f>
        <v>30</v>
      </c>
      <c r="H208" s="618"/>
      <c r="I208" s="76">
        <f t="shared" ca="1" si="11"/>
        <v>48368</v>
      </c>
      <c r="J208" s="619">
        <f ca="1">CONST_DIAS_BASE_INTERES + IF(DAY(_Fecha_Pago _Anterior)&gt;=Const_Dia_Corte_Aniversario,MAX(CONST_DIAS_LIMITE-DAY(_Fecha_Pago _Anterior),1))</f>
        <v>30</v>
      </c>
      <c r="K208" s="618"/>
      <c r="L208" s="76">
        <f t="shared" ca="1" si="13"/>
        <v>48365</v>
      </c>
      <c r="M208" s="30">
        <f>_DPP _Mensual_AEN</f>
        <v>30</v>
      </c>
      <c r="N208" s="618"/>
      <c r="O208" s="76">
        <f ca="1">IF(DAY(O207 + 1) &lt;= _DPP _Quincenal,
DATE(YEAR(O207 + 1),MONTH( O207 + 1), _DPP _Quincenal ),
EOMONTH( O207 + 1,0))</f>
        <v>45473</v>
      </c>
      <c r="P208" s="30">
        <f>_DPP _Quincenal</f>
        <v>15</v>
      </c>
      <c r="Q208" s="618"/>
      <c r="R208" s="76">
        <f ca="1">IF(DAY(R207 + 1) &lt;= _DPP _Decenal,
DATE(YEAR(R207 + 1),MONTH(R207 + 1),_DPP _Decenal),
IF(DAY(R207 + 1) &lt;= (_DPP _Decenal*2),
DATE(YEAR(R207 + 1),MONTH(R207 + 1),(_DPP _Decenal*2)),EOMONTH(R207 + 1,0)))</f>
        <v>44510</v>
      </c>
      <c r="S208" s="30">
        <f>_DPP _Decenal</f>
        <v>10</v>
      </c>
      <c r="T208" s="618"/>
      <c r="U208" s="76">
        <f t="shared" ca="1" si="12"/>
        <v>48284</v>
      </c>
      <c r="V208" s="30">
        <f t="shared" ca="1" si="14"/>
        <v>30</v>
      </c>
    </row>
    <row r="209" spans="5:22" x14ac:dyDescent="0.3">
      <c r="E209" s="98">
        <f t="shared" si="10"/>
        <v>30</v>
      </c>
      <c r="F209" s="583">
        <f ca="1">INDEX(_Datos 209:209,,MATCH(_Búsqueda_Fechas_Pago, _Datos _Headers,0))</f>
        <v>48398</v>
      </c>
      <c r="G209" s="619">
        <f ca="1">INDEX(_Datos 209:209,,MATCH(_Búsqueda_Duración, _Datos _Headers,0))</f>
        <v>30</v>
      </c>
      <c r="H209" s="618"/>
      <c r="I209" s="76">
        <f t="shared" ca="1" si="11"/>
        <v>48398</v>
      </c>
      <c r="J209" s="619">
        <f ca="1">CONST_DIAS_BASE_INTERES + IF(DAY(_Fecha_Pago _Anterior)&gt;=Const_Dia_Corte_Aniversario,MAX(CONST_DIAS_LIMITE-DAY(_Fecha_Pago _Anterior),1))</f>
        <v>30</v>
      </c>
      <c r="K209" s="618"/>
      <c r="L209" s="76">
        <f t="shared" ca="1" si="13"/>
        <v>48395</v>
      </c>
      <c r="M209" s="30">
        <f>_DPP _Mensual_AEN</f>
        <v>30</v>
      </c>
      <c r="N209" s="618"/>
      <c r="O209" s="76">
        <f ca="1">IF(DAY(O208 + 1) &lt;= _DPP _Quincenal,
DATE(YEAR(O208 + 1),MONTH( O208 + 1), _DPP _Quincenal ),
EOMONTH( O208 + 1,0))</f>
        <v>45488</v>
      </c>
      <c r="P209" s="30">
        <f>_DPP _Quincenal</f>
        <v>15</v>
      </c>
      <c r="Q209" s="618"/>
      <c r="R209" s="76">
        <f ca="1">IF(DAY(R208 + 1) &lt;= _DPP _Decenal,
DATE(YEAR(R208 + 1),MONTH(R208 + 1),_DPP _Decenal),
IF(DAY(R208 + 1) &lt;= (_DPP _Decenal*2),
DATE(YEAR(R208 + 1),MONTH(R208 + 1),(_DPP _Decenal*2)),EOMONTH(R208 + 1,0)))</f>
        <v>44520</v>
      </c>
      <c r="S209" s="30">
        <f>_DPP _Decenal</f>
        <v>10</v>
      </c>
      <c r="T209" s="618"/>
      <c r="U209" s="76">
        <f t="shared" ca="1" si="12"/>
        <v>48314</v>
      </c>
      <c r="V209" s="30">
        <f t="shared" ca="1" si="14"/>
        <v>30</v>
      </c>
    </row>
    <row r="210" spans="5:22" x14ac:dyDescent="0.3">
      <c r="E210" s="98">
        <f t="shared" si="10"/>
        <v>30</v>
      </c>
      <c r="F210" s="583">
        <f ca="1">INDEX(_Datos 210:210,,MATCH(_Búsqueda_Fechas_Pago, _Datos _Headers,0))</f>
        <v>48429</v>
      </c>
      <c r="G210" s="619">
        <f ca="1">INDEX(_Datos 210:210,,MATCH(_Búsqueda_Duración, _Datos _Headers,0))</f>
        <v>30</v>
      </c>
      <c r="H210" s="618"/>
      <c r="I210" s="76">
        <f t="shared" ca="1" si="11"/>
        <v>48429</v>
      </c>
      <c r="J210" s="619">
        <f ca="1">CONST_DIAS_BASE_INTERES + IF(DAY(_Fecha_Pago _Anterior)&gt;=Const_Dia_Corte_Aniversario,MAX(CONST_DIAS_LIMITE-DAY(_Fecha_Pago _Anterior),1))</f>
        <v>30</v>
      </c>
      <c r="K210" s="618"/>
      <c r="L210" s="76">
        <f t="shared" ca="1" si="13"/>
        <v>48426</v>
      </c>
      <c r="M210" s="30">
        <f>_DPP _Mensual_AEN</f>
        <v>30</v>
      </c>
      <c r="N210" s="618"/>
      <c r="O210" s="76">
        <f ca="1">IF(DAY(O209 + 1) &lt;= _DPP _Quincenal,
DATE(YEAR(O209 + 1),MONTH( O209 + 1), _DPP _Quincenal ),
EOMONTH( O209 + 1,0))</f>
        <v>45504</v>
      </c>
      <c r="P210" s="30">
        <f>_DPP _Quincenal</f>
        <v>15</v>
      </c>
      <c r="Q210" s="618"/>
      <c r="R210" s="76">
        <f ca="1">IF(DAY(R209 + 1) &lt;= _DPP _Decenal,
DATE(YEAR(R209 + 1),MONTH(R209 + 1),_DPP _Decenal),
IF(DAY(R209 + 1) &lt;= (_DPP _Decenal*2),
DATE(YEAR(R209 + 1),MONTH(R209 + 1),(_DPP _Decenal*2)),EOMONTH(R209 + 1,0)))</f>
        <v>44530</v>
      </c>
      <c r="S210" s="30">
        <f>_DPP _Decenal</f>
        <v>10</v>
      </c>
      <c r="T210" s="618"/>
      <c r="U210" s="76">
        <f t="shared" ca="1" si="12"/>
        <v>48344</v>
      </c>
      <c r="V210" s="30">
        <f t="shared" ca="1" si="14"/>
        <v>30</v>
      </c>
    </row>
    <row r="211" spans="5:22" x14ac:dyDescent="0.3">
      <c r="E211" s="98">
        <f t="shared" ref="E211:E274" si="15">_Días_por_Periodo</f>
        <v>30</v>
      </c>
      <c r="F211" s="583">
        <f ca="1">INDEX(_Datos 211:211,,MATCH(_Búsqueda_Fechas_Pago, _Datos _Headers,0))</f>
        <v>48460</v>
      </c>
      <c r="G211" s="619">
        <f ca="1">INDEX(_Datos 211:211,,MATCH(_Búsqueda_Duración, _Datos _Headers,0))</f>
        <v>30</v>
      </c>
      <c r="H211" s="618"/>
      <c r="I211" s="76">
        <f t="shared" ca="1" si="11"/>
        <v>48460</v>
      </c>
      <c r="J211" s="619">
        <f ca="1">CONST_DIAS_BASE_INTERES + IF(DAY(_Fecha_Pago _Anterior)&gt;=Const_Dia_Corte_Aniversario,MAX(CONST_DIAS_LIMITE-DAY(_Fecha_Pago _Anterior),1))</f>
        <v>30</v>
      </c>
      <c r="K211" s="618"/>
      <c r="L211" s="76">
        <f t="shared" ca="1" si="13"/>
        <v>48457</v>
      </c>
      <c r="M211" s="30">
        <f>_DPP _Mensual_AEN</f>
        <v>30</v>
      </c>
      <c r="N211" s="618"/>
      <c r="O211" s="76">
        <f ca="1">IF(DAY(O210 + 1) &lt;= _DPP _Quincenal,
DATE(YEAR(O210 + 1),MONTH( O210 + 1), _DPP _Quincenal ),
EOMONTH( O210 + 1,0))</f>
        <v>45519</v>
      </c>
      <c r="P211" s="30">
        <f>_DPP _Quincenal</f>
        <v>15</v>
      </c>
      <c r="Q211" s="618"/>
      <c r="R211" s="76">
        <f ca="1">IF(DAY(R210 + 1) &lt;= _DPP _Decenal,
DATE(YEAR(R210 + 1),MONTH(R210 + 1),_DPP _Decenal),
IF(DAY(R210 + 1) &lt;= (_DPP _Decenal*2),
DATE(YEAR(R210 + 1),MONTH(R210 + 1),(_DPP _Decenal*2)),EOMONTH(R210 + 1,0)))</f>
        <v>44540</v>
      </c>
      <c r="S211" s="30">
        <f>_DPP _Decenal</f>
        <v>10</v>
      </c>
      <c r="T211" s="618"/>
      <c r="U211" s="76">
        <f t="shared" ca="1" si="12"/>
        <v>48374</v>
      </c>
      <c r="V211" s="30">
        <f t="shared" ca="1" si="14"/>
        <v>30</v>
      </c>
    </row>
    <row r="212" spans="5:22" x14ac:dyDescent="0.3">
      <c r="E212" s="98">
        <f t="shared" si="15"/>
        <v>30</v>
      </c>
      <c r="F212" s="583">
        <f ca="1">INDEX(_Datos 212:212,,MATCH(_Búsqueda_Fechas_Pago, _Datos _Headers,0))</f>
        <v>48490</v>
      </c>
      <c r="G212" s="619">
        <f ca="1">INDEX(_Datos 212:212,,MATCH(_Búsqueda_Duración, _Datos _Headers,0))</f>
        <v>30</v>
      </c>
      <c r="H212" s="618"/>
      <c r="I212" s="76">
        <f t="shared" ref="I212:I278" ca="1" si="16">IF(DAY(I211)&gt;=Const_Dia_Corte_Aniversario,EOMONTH(I211,1)+1,EOMONTH(I211,0)+DAY(I211))</f>
        <v>48490</v>
      </c>
      <c r="J212" s="619">
        <f ca="1">CONST_DIAS_BASE_INTERES + IF(DAY(_Fecha_Pago _Anterior)&gt;=Const_Dia_Corte_Aniversario,MAX(CONST_DIAS_LIMITE-DAY(_Fecha_Pago _Anterior),1))</f>
        <v>30</v>
      </c>
      <c r="K212" s="618"/>
      <c r="L212" s="76">
        <f t="shared" ca="1" si="13"/>
        <v>48487</v>
      </c>
      <c r="M212" s="30">
        <f>_DPP _Mensual_AEN</f>
        <v>30</v>
      </c>
      <c r="N212" s="618"/>
      <c r="O212" s="76">
        <f ca="1">IF(DAY(O211 + 1) &lt;= _DPP _Quincenal,
DATE(YEAR(O211 + 1),MONTH( O211 + 1), _DPP _Quincenal ),
EOMONTH( O211 + 1,0))</f>
        <v>45535</v>
      </c>
      <c r="P212" s="30">
        <f>_DPP _Quincenal</f>
        <v>15</v>
      </c>
      <c r="Q212" s="618"/>
      <c r="R212" s="76">
        <f ca="1">IF(DAY(R211 + 1) &lt;= _DPP _Decenal,
DATE(YEAR(R211 + 1),MONTH(R211 + 1),_DPP _Decenal),
IF(DAY(R211 + 1) &lt;= (_DPP _Decenal*2),
DATE(YEAR(R211 + 1),MONTH(R211 + 1),(_DPP _Decenal*2)),EOMONTH(R211 + 1,0)))</f>
        <v>44550</v>
      </c>
      <c r="S212" s="30">
        <f>_DPP _Decenal</f>
        <v>10</v>
      </c>
      <c r="T212" s="618"/>
      <c r="U212" s="76">
        <f t="shared" ref="U212:U275" ca="1" si="17">U211 + _Días_por_Periodo</f>
        <v>48404</v>
      </c>
      <c r="V212" s="30">
        <f t="shared" ca="1" si="14"/>
        <v>30</v>
      </c>
    </row>
    <row r="213" spans="5:22" x14ac:dyDescent="0.3">
      <c r="E213" s="98">
        <f t="shared" si="15"/>
        <v>30</v>
      </c>
      <c r="F213" s="583">
        <f ca="1">INDEX(_Datos 213:213,,MATCH(_Búsqueda_Fechas_Pago, _Datos _Headers,0))</f>
        <v>48521</v>
      </c>
      <c r="G213" s="619">
        <f ca="1">INDEX(_Datos 213:213,,MATCH(_Búsqueda_Duración, _Datos _Headers,0))</f>
        <v>30</v>
      </c>
      <c r="H213" s="618"/>
      <c r="I213" s="76">
        <f t="shared" ca="1" si="16"/>
        <v>48521</v>
      </c>
      <c r="J213" s="619">
        <f ca="1">CONST_DIAS_BASE_INTERES + IF(DAY(_Fecha_Pago _Anterior)&gt;=Const_Dia_Corte_Aniversario,MAX(CONST_DIAS_LIMITE-DAY(_Fecha_Pago _Anterior),1))</f>
        <v>30</v>
      </c>
      <c r="K213" s="618"/>
      <c r="L213" s="76">
        <f t="shared" ref="L213:L276" ca="1" si="18">EOMONTH(L212 + 1,0)</f>
        <v>48518</v>
      </c>
      <c r="M213" s="30">
        <f>_DPP _Mensual_AEN</f>
        <v>30</v>
      </c>
      <c r="N213" s="618"/>
      <c r="O213" s="76">
        <f ca="1">IF(DAY(O212 + 1) &lt;= _DPP _Quincenal,
DATE(YEAR(O212 + 1),MONTH( O212 + 1), _DPP _Quincenal ),
EOMONTH( O212 + 1,0))</f>
        <v>45550</v>
      </c>
      <c r="P213" s="30">
        <f>_DPP _Quincenal</f>
        <v>15</v>
      </c>
      <c r="Q213" s="618"/>
      <c r="R213" s="76">
        <f ca="1">IF(DAY(R212 + 1) &lt;= _DPP _Decenal,
DATE(YEAR(R212 + 1),MONTH(R212 + 1),_DPP _Decenal),
IF(DAY(R212 + 1) &lt;= (_DPP _Decenal*2),
DATE(YEAR(R212 + 1),MONTH(R212 + 1),(_DPP _Decenal*2)),EOMONTH(R212 + 1,0)))</f>
        <v>44561</v>
      </c>
      <c r="S213" s="30">
        <f>_DPP _Decenal</f>
        <v>10</v>
      </c>
      <c r="T213" s="618"/>
      <c r="U213" s="76">
        <f t="shared" ca="1" si="17"/>
        <v>48434</v>
      </c>
      <c r="V213" s="30">
        <f t="shared" ref="V213:V276" ca="1" si="19">U213 - U212</f>
        <v>30</v>
      </c>
    </row>
    <row r="214" spans="5:22" x14ac:dyDescent="0.3">
      <c r="E214" s="98">
        <f t="shared" si="15"/>
        <v>30</v>
      </c>
      <c r="F214" s="583">
        <f ca="1">INDEX(_Datos 214:214,,MATCH(_Búsqueda_Fechas_Pago, _Datos _Headers,0))</f>
        <v>48551</v>
      </c>
      <c r="G214" s="619">
        <f ca="1">INDEX(_Datos 214:214,,MATCH(_Búsqueda_Duración, _Datos _Headers,0))</f>
        <v>30</v>
      </c>
      <c r="H214" s="618"/>
      <c r="I214" s="76">
        <f t="shared" ca="1" si="16"/>
        <v>48551</v>
      </c>
      <c r="J214" s="619">
        <f ca="1">CONST_DIAS_BASE_INTERES + IF(DAY(_Fecha_Pago _Anterior)&gt;=Const_Dia_Corte_Aniversario,MAX(CONST_DIAS_LIMITE-DAY(_Fecha_Pago _Anterior),1))</f>
        <v>30</v>
      </c>
      <c r="K214" s="618"/>
      <c r="L214" s="76">
        <f t="shared" ca="1" si="18"/>
        <v>48548</v>
      </c>
      <c r="M214" s="30">
        <f>_DPP _Mensual_AEN</f>
        <v>30</v>
      </c>
      <c r="N214" s="618"/>
      <c r="O214" s="76">
        <f ca="1">IF(DAY(O213 + 1) &lt;= _DPP _Quincenal,
DATE(YEAR(O213 + 1),MONTH( O213 + 1), _DPP _Quincenal ),
EOMONTH( O213 + 1,0))</f>
        <v>45565</v>
      </c>
      <c r="P214" s="30">
        <f>_DPP _Quincenal</f>
        <v>15</v>
      </c>
      <c r="Q214" s="618"/>
      <c r="R214" s="76">
        <f ca="1">IF(DAY(R213 + 1) &lt;= _DPP _Decenal,
DATE(YEAR(R213 + 1),MONTH(R213 + 1),_DPP _Decenal),
IF(DAY(R213 + 1) &lt;= (_DPP _Decenal*2),
DATE(YEAR(R213 + 1),MONTH(R213 + 1),(_DPP _Decenal*2)),EOMONTH(R213 + 1,0)))</f>
        <v>44571</v>
      </c>
      <c r="S214" s="30">
        <f>_DPP _Decenal</f>
        <v>10</v>
      </c>
      <c r="T214" s="618"/>
      <c r="U214" s="76">
        <f t="shared" ca="1" si="17"/>
        <v>48464</v>
      </c>
      <c r="V214" s="30">
        <f t="shared" ca="1" si="19"/>
        <v>30</v>
      </c>
    </row>
    <row r="215" spans="5:22" x14ac:dyDescent="0.3">
      <c r="E215" s="98">
        <f t="shared" si="15"/>
        <v>30</v>
      </c>
      <c r="F215" s="583">
        <f ca="1">INDEX(_Datos 215:215,,MATCH(_Búsqueda_Fechas_Pago, _Datos _Headers,0))</f>
        <v>48582</v>
      </c>
      <c r="G215" s="619">
        <f ca="1">INDEX(_Datos 215:215,,MATCH(_Búsqueda_Duración, _Datos _Headers,0))</f>
        <v>30</v>
      </c>
      <c r="H215" s="618"/>
      <c r="I215" s="76">
        <f t="shared" ca="1" si="16"/>
        <v>48582</v>
      </c>
      <c r="J215" s="619">
        <f ca="1">CONST_DIAS_BASE_INTERES + IF(DAY(_Fecha_Pago _Anterior)&gt;=Const_Dia_Corte_Aniversario,MAX(CONST_DIAS_LIMITE-DAY(_Fecha_Pago _Anterior),1))</f>
        <v>30</v>
      </c>
      <c r="K215" s="618"/>
      <c r="L215" s="76">
        <f t="shared" ca="1" si="18"/>
        <v>48579</v>
      </c>
      <c r="M215" s="30">
        <f>_DPP _Mensual_AEN</f>
        <v>30</v>
      </c>
      <c r="N215" s="618"/>
      <c r="O215" s="76">
        <f ca="1">IF(DAY(O214 + 1) &lt;= _DPP _Quincenal,
DATE(YEAR(O214 + 1),MONTH( O214 + 1), _DPP _Quincenal ),
EOMONTH( O214 + 1,0))</f>
        <v>45580</v>
      </c>
      <c r="P215" s="30">
        <f>_DPP _Quincenal</f>
        <v>15</v>
      </c>
      <c r="Q215" s="618"/>
      <c r="R215" s="76">
        <f ca="1">IF(DAY(R214 + 1) &lt;= _DPP _Decenal,
DATE(YEAR(R214 + 1),MONTH(R214 + 1),_DPP _Decenal),
IF(DAY(R214 + 1) &lt;= (_DPP _Decenal*2),
DATE(YEAR(R214 + 1),MONTH(R214 + 1),(_DPP _Decenal*2)),EOMONTH(R214 + 1,0)))</f>
        <v>44581</v>
      </c>
      <c r="S215" s="30">
        <f>_DPP _Decenal</f>
        <v>10</v>
      </c>
      <c r="T215" s="618"/>
      <c r="U215" s="76">
        <f t="shared" ca="1" si="17"/>
        <v>48494</v>
      </c>
      <c r="V215" s="30">
        <f t="shared" ca="1" si="19"/>
        <v>30</v>
      </c>
    </row>
    <row r="216" spans="5:22" x14ac:dyDescent="0.3">
      <c r="E216" s="98">
        <f t="shared" si="15"/>
        <v>30</v>
      </c>
      <c r="F216" s="583">
        <f ca="1">INDEX(_Datos 216:216,,MATCH(_Búsqueda_Fechas_Pago, _Datos _Headers,0))</f>
        <v>48613</v>
      </c>
      <c r="G216" s="619">
        <f ca="1">INDEX(_Datos 216:216,,MATCH(_Búsqueda_Duración, _Datos _Headers,0))</f>
        <v>30</v>
      </c>
      <c r="H216" s="618"/>
      <c r="I216" s="76">
        <f t="shared" ca="1" si="16"/>
        <v>48613</v>
      </c>
      <c r="J216" s="619">
        <f ca="1">CONST_DIAS_BASE_INTERES + IF(DAY(_Fecha_Pago _Anterior)&gt;=Const_Dia_Corte_Aniversario,MAX(CONST_DIAS_LIMITE-DAY(_Fecha_Pago _Anterior),1))</f>
        <v>30</v>
      </c>
      <c r="K216" s="618"/>
      <c r="L216" s="76">
        <f t="shared" ca="1" si="18"/>
        <v>48610</v>
      </c>
      <c r="M216" s="30">
        <f>_DPP _Mensual_AEN</f>
        <v>30</v>
      </c>
      <c r="N216" s="618"/>
      <c r="O216" s="76">
        <f ca="1">IF(DAY(O215 + 1) &lt;= _DPP _Quincenal,
DATE(YEAR(O215 + 1),MONTH( O215 + 1), _DPP _Quincenal ),
EOMONTH( O215 + 1,0))</f>
        <v>45596</v>
      </c>
      <c r="P216" s="30">
        <f>_DPP _Quincenal</f>
        <v>15</v>
      </c>
      <c r="Q216" s="618"/>
      <c r="R216" s="76">
        <f ca="1">IF(DAY(R215 + 1) &lt;= _DPP _Decenal,
DATE(YEAR(R215 + 1),MONTH(R215 + 1),_DPP _Decenal),
IF(DAY(R215 + 1) &lt;= (_DPP _Decenal*2),
DATE(YEAR(R215 + 1),MONTH(R215 + 1),(_DPP _Decenal*2)),EOMONTH(R215 + 1,0)))</f>
        <v>44592</v>
      </c>
      <c r="S216" s="30">
        <f>_DPP _Decenal</f>
        <v>10</v>
      </c>
      <c r="T216" s="618"/>
      <c r="U216" s="76">
        <f t="shared" ca="1" si="17"/>
        <v>48524</v>
      </c>
      <c r="V216" s="30">
        <f t="shared" ca="1" si="19"/>
        <v>30</v>
      </c>
    </row>
    <row r="217" spans="5:22" x14ac:dyDescent="0.3">
      <c r="E217" s="98">
        <f t="shared" si="15"/>
        <v>30</v>
      </c>
      <c r="F217" s="583">
        <f ca="1">INDEX(_Datos 217:217,,MATCH(_Búsqueda_Fechas_Pago, _Datos _Headers,0))</f>
        <v>48641</v>
      </c>
      <c r="G217" s="619">
        <f ca="1">INDEX(_Datos 217:217,,MATCH(_Búsqueda_Duración, _Datos _Headers,0))</f>
        <v>30</v>
      </c>
      <c r="H217" s="618"/>
      <c r="I217" s="76">
        <f t="shared" ca="1" si="16"/>
        <v>48641</v>
      </c>
      <c r="J217" s="619">
        <f ca="1">CONST_DIAS_BASE_INTERES + IF(DAY(_Fecha_Pago _Anterior)&gt;=Const_Dia_Corte_Aniversario,MAX(CONST_DIAS_LIMITE-DAY(_Fecha_Pago _Anterior),1))</f>
        <v>30</v>
      </c>
      <c r="K217" s="618"/>
      <c r="L217" s="76">
        <f t="shared" ca="1" si="18"/>
        <v>48638</v>
      </c>
      <c r="M217" s="30">
        <f>_DPP _Mensual_AEN</f>
        <v>30</v>
      </c>
      <c r="N217" s="618"/>
      <c r="O217" s="76">
        <f ca="1">IF(DAY(O216 + 1) &lt;= _DPP _Quincenal,
DATE(YEAR(O216 + 1),MONTH( O216 + 1), _DPP _Quincenal ),
EOMONTH( O216 + 1,0))</f>
        <v>45611</v>
      </c>
      <c r="P217" s="30">
        <f>_DPP _Quincenal</f>
        <v>15</v>
      </c>
      <c r="Q217" s="618"/>
      <c r="R217" s="76">
        <f ca="1">IF(DAY(R216 + 1) &lt;= _DPP _Decenal,
DATE(YEAR(R216 + 1),MONTH(R216 + 1),_DPP _Decenal),
IF(DAY(R216 + 1) &lt;= (_DPP _Decenal*2),
DATE(YEAR(R216 + 1),MONTH(R216 + 1),(_DPP _Decenal*2)),EOMONTH(R216 + 1,0)))</f>
        <v>44602</v>
      </c>
      <c r="S217" s="30">
        <f>_DPP _Decenal</f>
        <v>10</v>
      </c>
      <c r="T217" s="618"/>
      <c r="U217" s="76">
        <f t="shared" ca="1" si="17"/>
        <v>48554</v>
      </c>
      <c r="V217" s="30">
        <f t="shared" ca="1" si="19"/>
        <v>30</v>
      </c>
    </row>
    <row r="218" spans="5:22" x14ac:dyDescent="0.3">
      <c r="E218" s="98">
        <f t="shared" si="15"/>
        <v>30</v>
      </c>
      <c r="F218" s="583">
        <f ca="1">INDEX(_Datos 218:218,,MATCH(_Búsqueda_Fechas_Pago, _Datos _Headers,0))</f>
        <v>48672</v>
      </c>
      <c r="G218" s="619">
        <f ca="1">INDEX(_Datos 218:218,,MATCH(_Búsqueda_Duración, _Datos _Headers,0))</f>
        <v>30</v>
      </c>
      <c r="H218" s="618"/>
      <c r="I218" s="76">
        <f t="shared" ca="1" si="16"/>
        <v>48672</v>
      </c>
      <c r="J218" s="619">
        <f ca="1">CONST_DIAS_BASE_INTERES + IF(DAY(_Fecha_Pago _Anterior)&gt;=Const_Dia_Corte_Aniversario,MAX(CONST_DIAS_LIMITE-DAY(_Fecha_Pago _Anterior),1))</f>
        <v>30</v>
      </c>
      <c r="K218" s="618"/>
      <c r="L218" s="76">
        <f t="shared" ca="1" si="18"/>
        <v>48669</v>
      </c>
      <c r="M218" s="30">
        <f>_DPP _Mensual_AEN</f>
        <v>30</v>
      </c>
      <c r="N218" s="618"/>
      <c r="O218" s="76">
        <f ca="1">IF(DAY(O217 + 1) &lt;= _DPP _Quincenal,
DATE(YEAR(O217 + 1),MONTH( O217 + 1), _DPP _Quincenal ),
EOMONTH( O217 + 1,0))</f>
        <v>45626</v>
      </c>
      <c r="P218" s="30">
        <f>_DPP _Quincenal</f>
        <v>15</v>
      </c>
      <c r="Q218" s="618"/>
      <c r="R218" s="76">
        <f ca="1">IF(DAY(R217 + 1) &lt;= _DPP _Decenal,
DATE(YEAR(R217 + 1),MONTH(R217 + 1),_DPP _Decenal),
IF(DAY(R217 + 1) &lt;= (_DPP _Decenal*2),
DATE(YEAR(R217 + 1),MONTH(R217 + 1),(_DPP _Decenal*2)),EOMONTH(R217 + 1,0)))</f>
        <v>44612</v>
      </c>
      <c r="S218" s="30">
        <f>_DPP _Decenal</f>
        <v>10</v>
      </c>
      <c r="T218" s="618"/>
      <c r="U218" s="76">
        <f t="shared" ca="1" si="17"/>
        <v>48584</v>
      </c>
      <c r="V218" s="30">
        <f t="shared" ca="1" si="19"/>
        <v>30</v>
      </c>
    </row>
    <row r="219" spans="5:22" x14ac:dyDescent="0.3">
      <c r="E219" s="98">
        <f t="shared" si="15"/>
        <v>30</v>
      </c>
      <c r="F219" s="583">
        <f ca="1">INDEX(_Datos 219:219,,MATCH(_Búsqueda_Fechas_Pago, _Datos _Headers,0))</f>
        <v>48702</v>
      </c>
      <c r="G219" s="619">
        <f ca="1">INDEX(_Datos 219:219,,MATCH(_Búsqueda_Duración, _Datos _Headers,0))</f>
        <v>30</v>
      </c>
      <c r="H219" s="618"/>
      <c r="I219" s="76">
        <f t="shared" ca="1" si="16"/>
        <v>48702</v>
      </c>
      <c r="J219" s="619">
        <f ca="1">CONST_DIAS_BASE_INTERES + IF(DAY(_Fecha_Pago _Anterior)&gt;=Const_Dia_Corte_Aniversario,MAX(CONST_DIAS_LIMITE-DAY(_Fecha_Pago _Anterior),1))</f>
        <v>30</v>
      </c>
      <c r="K219" s="618"/>
      <c r="L219" s="76">
        <f t="shared" ca="1" si="18"/>
        <v>48699</v>
      </c>
      <c r="M219" s="30">
        <f>_DPP _Mensual_AEN</f>
        <v>30</v>
      </c>
      <c r="N219" s="618"/>
      <c r="O219" s="76">
        <f ca="1">IF(DAY(O218 + 1) &lt;= _DPP _Quincenal,
DATE(YEAR(O218 + 1),MONTH( O218 + 1), _DPP _Quincenal ),
EOMONTH( O218 + 1,0))</f>
        <v>45641</v>
      </c>
      <c r="P219" s="30">
        <f>_DPP _Quincenal</f>
        <v>15</v>
      </c>
      <c r="Q219" s="618"/>
      <c r="R219" s="76">
        <f ca="1">IF(DAY(R218 + 1) &lt;= _DPP _Decenal,
DATE(YEAR(R218 + 1),MONTH(R218 + 1),_DPP _Decenal),
IF(DAY(R218 + 1) &lt;= (_DPP _Decenal*2),
DATE(YEAR(R218 + 1),MONTH(R218 + 1),(_DPP _Decenal*2)),EOMONTH(R218 + 1,0)))</f>
        <v>44620</v>
      </c>
      <c r="S219" s="30">
        <f>_DPP _Decenal</f>
        <v>10</v>
      </c>
      <c r="T219" s="618"/>
      <c r="U219" s="76">
        <f t="shared" ca="1" si="17"/>
        <v>48614</v>
      </c>
      <c r="V219" s="30">
        <f t="shared" ca="1" si="19"/>
        <v>30</v>
      </c>
    </row>
    <row r="220" spans="5:22" x14ac:dyDescent="0.3">
      <c r="E220" s="98">
        <f t="shared" si="15"/>
        <v>30</v>
      </c>
      <c r="F220" s="583">
        <f ca="1">INDEX(_Datos 220:220,,MATCH(_Búsqueda_Fechas_Pago, _Datos _Headers,0))</f>
        <v>48733</v>
      </c>
      <c r="G220" s="619">
        <f ca="1">INDEX(_Datos 220:220,,MATCH(_Búsqueda_Duración, _Datos _Headers,0))</f>
        <v>30</v>
      </c>
      <c r="H220" s="618"/>
      <c r="I220" s="76">
        <f t="shared" ca="1" si="16"/>
        <v>48733</v>
      </c>
      <c r="J220" s="619">
        <f ca="1">CONST_DIAS_BASE_INTERES + IF(DAY(_Fecha_Pago _Anterior)&gt;=Const_Dia_Corte_Aniversario,MAX(CONST_DIAS_LIMITE-DAY(_Fecha_Pago _Anterior),1))</f>
        <v>30</v>
      </c>
      <c r="K220" s="618"/>
      <c r="L220" s="76">
        <f t="shared" ca="1" si="18"/>
        <v>48730</v>
      </c>
      <c r="M220" s="30">
        <f>_DPP _Mensual_AEN</f>
        <v>30</v>
      </c>
      <c r="N220" s="618"/>
      <c r="O220" s="76">
        <f ca="1">IF(DAY(O219 + 1) &lt;= _DPP _Quincenal,
DATE(YEAR(O219 + 1),MONTH( O219 + 1), _DPP _Quincenal ),
EOMONTH( O219 + 1,0))</f>
        <v>45657</v>
      </c>
      <c r="P220" s="30">
        <f>_DPP _Quincenal</f>
        <v>15</v>
      </c>
      <c r="Q220" s="618"/>
      <c r="R220" s="76">
        <f ca="1">IF(DAY(R219 + 1) &lt;= _DPP _Decenal,
DATE(YEAR(R219 + 1),MONTH(R219 + 1),_DPP _Decenal),
IF(DAY(R219 + 1) &lt;= (_DPP _Decenal*2),
DATE(YEAR(R219 + 1),MONTH(R219 + 1),(_DPP _Decenal*2)),EOMONTH(R219 + 1,0)))</f>
        <v>44630</v>
      </c>
      <c r="S220" s="30">
        <f>_DPP _Decenal</f>
        <v>10</v>
      </c>
      <c r="T220" s="618"/>
      <c r="U220" s="76">
        <f t="shared" ca="1" si="17"/>
        <v>48644</v>
      </c>
      <c r="V220" s="30">
        <f t="shared" ca="1" si="19"/>
        <v>30</v>
      </c>
    </row>
    <row r="221" spans="5:22" x14ac:dyDescent="0.3">
      <c r="E221" s="98">
        <f t="shared" si="15"/>
        <v>30</v>
      </c>
      <c r="F221" s="583">
        <f ca="1">INDEX(_Datos 221:221,,MATCH(_Búsqueda_Fechas_Pago, _Datos _Headers,0))</f>
        <v>48763</v>
      </c>
      <c r="G221" s="619">
        <f ca="1">INDEX(_Datos 221:221,,MATCH(_Búsqueda_Duración, _Datos _Headers,0))</f>
        <v>30</v>
      </c>
      <c r="H221" s="618"/>
      <c r="I221" s="76">
        <f t="shared" ca="1" si="16"/>
        <v>48763</v>
      </c>
      <c r="J221" s="619">
        <f ca="1">CONST_DIAS_BASE_INTERES + IF(DAY(_Fecha_Pago _Anterior)&gt;=Const_Dia_Corte_Aniversario,MAX(CONST_DIAS_LIMITE-DAY(_Fecha_Pago _Anterior),1))</f>
        <v>30</v>
      </c>
      <c r="K221" s="618"/>
      <c r="L221" s="76">
        <f t="shared" ca="1" si="18"/>
        <v>48760</v>
      </c>
      <c r="M221" s="30">
        <f>_DPP _Mensual_AEN</f>
        <v>30</v>
      </c>
      <c r="N221" s="618"/>
      <c r="O221" s="76">
        <f ca="1">IF(DAY(O220 + 1) &lt;= _DPP _Quincenal,
DATE(YEAR(O220 + 1),MONTH( O220 + 1), _DPP _Quincenal ),
EOMONTH( O220 + 1,0))</f>
        <v>45672</v>
      </c>
      <c r="P221" s="30">
        <f>_DPP _Quincenal</f>
        <v>15</v>
      </c>
      <c r="Q221" s="618"/>
      <c r="R221" s="76">
        <f ca="1">IF(DAY(R220 + 1) &lt;= _DPP _Decenal,
DATE(YEAR(R220 + 1),MONTH(R220 + 1),_DPP _Decenal),
IF(DAY(R220 + 1) &lt;= (_DPP _Decenal*2),
DATE(YEAR(R220 + 1),MONTH(R220 + 1),(_DPP _Decenal*2)),EOMONTH(R220 + 1,0)))</f>
        <v>44640</v>
      </c>
      <c r="S221" s="30">
        <f>_DPP _Decenal</f>
        <v>10</v>
      </c>
      <c r="T221" s="618"/>
      <c r="U221" s="76">
        <f t="shared" ca="1" si="17"/>
        <v>48674</v>
      </c>
      <c r="V221" s="30">
        <f t="shared" ca="1" si="19"/>
        <v>30</v>
      </c>
    </row>
    <row r="222" spans="5:22" x14ac:dyDescent="0.3">
      <c r="E222" s="98">
        <f t="shared" si="15"/>
        <v>30</v>
      </c>
      <c r="F222" s="583">
        <f ca="1">INDEX(_Datos 222:222,,MATCH(_Búsqueda_Fechas_Pago, _Datos _Headers,0))</f>
        <v>48794</v>
      </c>
      <c r="G222" s="619">
        <f ca="1">INDEX(_Datos 222:222,,MATCH(_Búsqueda_Duración, _Datos _Headers,0))</f>
        <v>30</v>
      </c>
      <c r="H222" s="618"/>
      <c r="I222" s="76">
        <f t="shared" ca="1" si="16"/>
        <v>48794</v>
      </c>
      <c r="J222" s="619">
        <f ca="1">CONST_DIAS_BASE_INTERES + IF(DAY(_Fecha_Pago _Anterior)&gt;=Const_Dia_Corte_Aniversario,MAX(CONST_DIAS_LIMITE-DAY(_Fecha_Pago _Anterior),1))</f>
        <v>30</v>
      </c>
      <c r="K222" s="618"/>
      <c r="L222" s="76">
        <f t="shared" ca="1" si="18"/>
        <v>48791</v>
      </c>
      <c r="M222" s="30">
        <f>_DPP _Mensual_AEN</f>
        <v>30</v>
      </c>
      <c r="N222" s="618"/>
      <c r="O222" s="76">
        <f ca="1">IF(DAY(O221 + 1) &lt;= _DPP _Quincenal,
DATE(YEAR(O221 + 1),MONTH( O221 + 1), _DPP _Quincenal ),
EOMONTH( O221 + 1,0))</f>
        <v>45688</v>
      </c>
      <c r="P222" s="30">
        <f>_DPP _Quincenal</f>
        <v>15</v>
      </c>
      <c r="Q222" s="618"/>
      <c r="R222" s="76">
        <f ca="1">IF(DAY(R221 + 1) &lt;= _DPP _Decenal,
DATE(YEAR(R221 + 1),MONTH(R221 + 1),_DPP _Decenal),
IF(DAY(R221 + 1) &lt;= (_DPP _Decenal*2),
DATE(YEAR(R221 + 1),MONTH(R221 + 1),(_DPP _Decenal*2)),EOMONTH(R221 + 1,0)))</f>
        <v>44651</v>
      </c>
      <c r="S222" s="30">
        <f>_DPP _Decenal</f>
        <v>10</v>
      </c>
      <c r="T222" s="618"/>
      <c r="U222" s="76">
        <f t="shared" ca="1" si="17"/>
        <v>48704</v>
      </c>
      <c r="V222" s="30">
        <f t="shared" ca="1" si="19"/>
        <v>30</v>
      </c>
    </row>
    <row r="223" spans="5:22" x14ac:dyDescent="0.3">
      <c r="E223" s="98">
        <f t="shared" si="15"/>
        <v>30</v>
      </c>
      <c r="F223" s="583">
        <f ca="1">INDEX(_Datos 223:223,,MATCH(_Búsqueda_Fechas_Pago, _Datos _Headers,0))</f>
        <v>48825</v>
      </c>
      <c r="G223" s="619">
        <f ca="1">INDEX(_Datos 223:223,,MATCH(_Búsqueda_Duración, _Datos _Headers,0))</f>
        <v>30</v>
      </c>
      <c r="H223" s="618"/>
      <c r="I223" s="76">
        <f t="shared" ca="1" si="16"/>
        <v>48825</v>
      </c>
      <c r="J223" s="619">
        <f ca="1">CONST_DIAS_BASE_INTERES + IF(DAY(_Fecha_Pago _Anterior)&gt;=Const_Dia_Corte_Aniversario,MAX(CONST_DIAS_LIMITE-DAY(_Fecha_Pago _Anterior),1))</f>
        <v>30</v>
      </c>
      <c r="K223" s="618"/>
      <c r="L223" s="76">
        <f t="shared" ca="1" si="18"/>
        <v>48822</v>
      </c>
      <c r="M223" s="30">
        <f>_DPP _Mensual_AEN</f>
        <v>30</v>
      </c>
      <c r="N223" s="618"/>
      <c r="O223" s="76">
        <f ca="1">IF(DAY(O222 + 1) &lt;= _DPP _Quincenal,
DATE(YEAR(O222 + 1),MONTH( O222 + 1), _DPP _Quincenal ),
EOMONTH( O222 + 1,0))</f>
        <v>45703</v>
      </c>
      <c r="P223" s="30">
        <f>_DPP _Quincenal</f>
        <v>15</v>
      </c>
      <c r="Q223" s="618"/>
      <c r="R223" s="76">
        <f ca="1">IF(DAY(R222 + 1) &lt;= _DPP _Decenal,
DATE(YEAR(R222 + 1),MONTH(R222 + 1),_DPP _Decenal),
IF(DAY(R222 + 1) &lt;= (_DPP _Decenal*2),
DATE(YEAR(R222 + 1),MONTH(R222 + 1),(_DPP _Decenal*2)),EOMONTH(R222 + 1,0)))</f>
        <v>44661</v>
      </c>
      <c r="S223" s="30">
        <f>_DPP _Decenal</f>
        <v>10</v>
      </c>
      <c r="T223" s="618"/>
      <c r="U223" s="76">
        <f t="shared" ca="1" si="17"/>
        <v>48734</v>
      </c>
      <c r="V223" s="30">
        <f t="shared" ca="1" si="19"/>
        <v>30</v>
      </c>
    </row>
    <row r="224" spans="5:22" x14ac:dyDescent="0.3">
      <c r="E224" s="98">
        <f t="shared" si="15"/>
        <v>30</v>
      </c>
      <c r="F224" s="583">
        <f ca="1">INDEX(_Datos 224:224,,MATCH(_Búsqueda_Fechas_Pago, _Datos _Headers,0))</f>
        <v>48855</v>
      </c>
      <c r="G224" s="619">
        <f ca="1">INDEX(_Datos 224:224,,MATCH(_Búsqueda_Duración, _Datos _Headers,0))</f>
        <v>30</v>
      </c>
      <c r="H224" s="618"/>
      <c r="I224" s="76">
        <f t="shared" ca="1" si="16"/>
        <v>48855</v>
      </c>
      <c r="J224" s="619">
        <f ca="1">CONST_DIAS_BASE_INTERES + IF(DAY(_Fecha_Pago _Anterior)&gt;=Const_Dia_Corte_Aniversario,MAX(CONST_DIAS_LIMITE-DAY(_Fecha_Pago _Anterior),1))</f>
        <v>30</v>
      </c>
      <c r="K224" s="618"/>
      <c r="L224" s="76">
        <f t="shared" ca="1" si="18"/>
        <v>48852</v>
      </c>
      <c r="M224" s="30">
        <f>_DPP _Mensual_AEN</f>
        <v>30</v>
      </c>
      <c r="N224" s="618"/>
      <c r="O224" s="76">
        <f ca="1">IF(DAY(O223 + 1) &lt;= _DPP _Quincenal,
DATE(YEAR(O223 + 1),MONTH( O223 + 1), _DPP _Quincenal ),
EOMONTH( O223 + 1,0))</f>
        <v>45716</v>
      </c>
      <c r="P224" s="30">
        <f>_DPP _Quincenal</f>
        <v>15</v>
      </c>
      <c r="Q224" s="618"/>
      <c r="R224" s="76">
        <f ca="1">IF(DAY(R223 + 1) &lt;= _DPP _Decenal,
DATE(YEAR(R223 + 1),MONTH(R223 + 1),_DPP _Decenal),
IF(DAY(R223 + 1) &lt;= (_DPP _Decenal*2),
DATE(YEAR(R223 + 1),MONTH(R223 + 1),(_DPP _Decenal*2)),EOMONTH(R223 + 1,0)))</f>
        <v>44671</v>
      </c>
      <c r="S224" s="30">
        <f>_DPP _Decenal</f>
        <v>10</v>
      </c>
      <c r="T224" s="618"/>
      <c r="U224" s="76">
        <f t="shared" ca="1" si="17"/>
        <v>48764</v>
      </c>
      <c r="V224" s="30">
        <f t="shared" ca="1" si="19"/>
        <v>30</v>
      </c>
    </row>
    <row r="225" spans="5:22" x14ac:dyDescent="0.3">
      <c r="E225" s="98">
        <f t="shared" si="15"/>
        <v>30</v>
      </c>
      <c r="F225" s="583">
        <f ca="1">INDEX(_Datos 225:225,,MATCH(_Búsqueda_Fechas_Pago, _Datos _Headers,0))</f>
        <v>48886</v>
      </c>
      <c r="G225" s="619">
        <f ca="1">INDEX(_Datos 225:225,,MATCH(_Búsqueda_Duración, _Datos _Headers,0))</f>
        <v>30</v>
      </c>
      <c r="H225" s="618"/>
      <c r="I225" s="76">
        <f t="shared" ca="1" si="16"/>
        <v>48886</v>
      </c>
      <c r="J225" s="619">
        <f ca="1">CONST_DIAS_BASE_INTERES + IF(DAY(_Fecha_Pago _Anterior)&gt;=Const_Dia_Corte_Aniversario,MAX(CONST_DIAS_LIMITE-DAY(_Fecha_Pago _Anterior),1))</f>
        <v>30</v>
      </c>
      <c r="K225" s="618"/>
      <c r="L225" s="76">
        <f t="shared" ca="1" si="18"/>
        <v>48883</v>
      </c>
      <c r="M225" s="30">
        <f>_DPP _Mensual_AEN</f>
        <v>30</v>
      </c>
      <c r="N225" s="618"/>
      <c r="O225" s="76">
        <f ca="1">IF(DAY(O224 + 1) &lt;= _DPP _Quincenal,
DATE(YEAR(O224 + 1),MONTH( O224 + 1), _DPP _Quincenal ),
EOMONTH( O224 + 1,0))</f>
        <v>45731</v>
      </c>
      <c r="P225" s="30">
        <f>_DPP _Quincenal</f>
        <v>15</v>
      </c>
      <c r="Q225" s="618"/>
      <c r="R225" s="76">
        <f ca="1">IF(DAY(R224 + 1) &lt;= _DPP _Decenal,
DATE(YEAR(R224 + 1),MONTH(R224 + 1),_DPP _Decenal),
IF(DAY(R224 + 1) &lt;= (_DPP _Decenal*2),
DATE(YEAR(R224 + 1),MONTH(R224 + 1),(_DPP _Decenal*2)),EOMONTH(R224 + 1,0)))</f>
        <v>44681</v>
      </c>
      <c r="S225" s="30">
        <f>_DPP _Decenal</f>
        <v>10</v>
      </c>
      <c r="T225" s="618"/>
      <c r="U225" s="76">
        <f t="shared" ca="1" si="17"/>
        <v>48794</v>
      </c>
      <c r="V225" s="30">
        <f t="shared" ca="1" si="19"/>
        <v>30</v>
      </c>
    </row>
    <row r="226" spans="5:22" x14ac:dyDescent="0.3">
      <c r="E226" s="98">
        <f t="shared" si="15"/>
        <v>30</v>
      </c>
      <c r="F226" s="583">
        <f ca="1">INDEX(_Datos 226:226,,MATCH(_Búsqueda_Fechas_Pago, _Datos _Headers,0))</f>
        <v>48916</v>
      </c>
      <c r="G226" s="619">
        <f ca="1">INDEX(_Datos 226:226,,MATCH(_Búsqueda_Duración, _Datos _Headers,0))</f>
        <v>30</v>
      </c>
      <c r="H226" s="618"/>
      <c r="I226" s="76">
        <f t="shared" ca="1" si="16"/>
        <v>48916</v>
      </c>
      <c r="J226" s="619">
        <f ca="1">CONST_DIAS_BASE_INTERES + IF(DAY(_Fecha_Pago _Anterior)&gt;=Const_Dia_Corte_Aniversario,MAX(CONST_DIAS_LIMITE-DAY(_Fecha_Pago _Anterior),1))</f>
        <v>30</v>
      </c>
      <c r="K226" s="618"/>
      <c r="L226" s="76">
        <f t="shared" ca="1" si="18"/>
        <v>48913</v>
      </c>
      <c r="M226" s="30">
        <f>_DPP _Mensual_AEN</f>
        <v>30</v>
      </c>
      <c r="N226" s="618"/>
      <c r="O226" s="76">
        <f ca="1">IF(DAY(O225 + 1) &lt;= _DPP _Quincenal,
DATE(YEAR(O225 + 1),MONTH( O225 + 1), _DPP _Quincenal ),
EOMONTH( O225 + 1,0))</f>
        <v>45747</v>
      </c>
      <c r="P226" s="30">
        <f>_DPP _Quincenal</f>
        <v>15</v>
      </c>
      <c r="Q226" s="618"/>
      <c r="R226" s="76">
        <f ca="1">IF(DAY(R225 + 1) &lt;= _DPP _Decenal,
DATE(YEAR(R225 + 1),MONTH(R225 + 1),_DPP _Decenal),
IF(DAY(R225 + 1) &lt;= (_DPP _Decenal*2),
DATE(YEAR(R225 + 1),MONTH(R225 + 1),(_DPP _Decenal*2)),EOMONTH(R225 + 1,0)))</f>
        <v>44691</v>
      </c>
      <c r="S226" s="30">
        <f>_DPP _Decenal</f>
        <v>10</v>
      </c>
      <c r="T226" s="618"/>
      <c r="U226" s="76">
        <f t="shared" ca="1" si="17"/>
        <v>48824</v>
      </c>
      <c r="V226" s="30">
        <f t="shared" ca="1" si="19"/>
        <v>30</v>
      </c>
    </row>
    <row r="227" spans="5:22" x14ac:dyDescent="0.3">
      <c r="E227" s="98">
        <f t="shared" si="15"/>
        <v>30</v>
      </c>
      <c r="F227" s="583">
        <f ca="1">INDEX(_Datos 227:227,,MATCH(_Búsqueda_Fechas_Pago, _Datos _Headers,0))</f>
        <v>48947</v>
      </c>
      <c r="G227" s="619">
        <f ca="1">INDEX(_Datos 227:227,,MATCH(_Búsqueda_Duración, _Datos _Headers,0))</f>
        <v>30</v>
      </c>
      <c r="H227" s="618"/>
      <c r="I227" s="76">
        <f t="shared" ca="1" si="16"/>
        <v>48947</v>
      </c>
      <c r="J227" s="619">
        <f ca="1">CONST_DIAS_BASE_INTERES + IF(DAY(_Fecha_Pago _Anterior)&gt;=Const_Dia_Corte_Aniversario,MAX(CONST_DIAS_LIMITE-DAY(_Fecha_Pago _Anterior),1))</f>
        <v>30</v>
      </c>
      <c r="K227" s="618"/>
      <c r="L227" s="76">
        <f t="shared" ca="1" si="18"/>
        <v>48944</v>
      </c>
      <c r="M227" s="30">
        <f>_DPP _Mensual_AEN</f>
        <v>30</v>
      </c>
      <c r="N227" s="618"/>
      <c r="O227" s="76">
        <f ca="1">IF(DAY(O226 + 1) &lt;= _DPP _Quincenal,
DATE(YEAR(O226 + 1),MONTH( O226 + 1), _DPP _Quincenal ),
EOMONTH( O226 + 1,0))</f>
        <v>45762</v>
      </c>
      <c r="P227" s="30">
        <f>_DPP _Quincenal</f>
        <v>15</v>
      </c>
      <c r="Q227" s="618"/>
      <c r="R227" s="76">
        <f ca="1">IF(DAY(R226 + 1) &lt;= _DPP _Decenal,
DATE(YEAR(R226 + 1),MONTH(R226 + 1),_DPP _Decenal),
IF(DAY(R226 + 1) &lt;= (_DPP _Decenal*2),
DATE(YEAR(R226 + 1),MONTH(R226 + 1),(_DPP _Decenal*2)),EOMONTH(R226 + 1,0)))</f>
        <v>44701</v>
      </c>
      <c r="S227" s="30">
        <f>_DPP _Decenal</f>
        <v>10</v>
      </c>
      <c r="T227" s="618"/>
      <c r="U227" s="76">
        <f t="shared" ca="1" si="17"/>
        <v>48854</v>
      </c>
      <c r="V227" s="30">
        <f t="shared" ca="1" si="19"/>
        <v>30</v>
      </c>
    </row>
    <row r="228" spans="5:22" x14ac:dyDescent="0.3">
      <c r="E228" s="98">
        <f t="shared" si="15"/>
        <v>30</v>
      </c>
      <c r="F228" s="583">
        <f ca="1">INDEX(_Datos 228:228,,MATCH(_Búsqueda_Fechas_Pago, _Datos _Headers,0))</f>
        <v>48978</v>
      </c>
      <c r="G228" s="619">
        <f ca="1">INDEX(_Datos 228:228,,MATCH(_Búsqueda_Duración, _Datos _Headers,0))</f>
        <v>30</v>
      </c>
      <c r="H228" s="618"/>
      <c r="I228" s="76">
        <f t="shared" ca="1" si="16"/>
        <v>48978</v>
      </c>
      <c r="J228" s="619">
        <f ca="1">CONST_DIAS_BASE_INTERES + IF(DAY(_Fecha_Pago _Anterior)&gt;=Const_Dia_Corte_Aniversario,MAX(CONST_DIAS_LIMITE-DAY(_Fecha_Pago _Anterior),1))</f>
        <v>30</v>
      </c>
      <c r="K228" s="618"/>
      <c r="L228" s="76">
        <f t="shared" ca="1" si="18"/>
        <v>48975</v>
      </c>
      <c r="M228" s="30">
        <f>_DPP _Mensual_AEN</f>
        <v>30</v>
      </c>
      <c r="N228" s="618"/>
      <c r="O228" s="76">
        <f ca="1">IF(DAY(O227 + 1) &lt;= _DPP _Quincenal,
DATE(YEAR(O227 + 1),MONTH( O227 + 1), _DPP _Quincenal ),
EOMONTH( O227 + 1,0))</f>
        <v>45777</v>
      </c>
      <c r="P228" s="30">
        <f>_DPP _Quincenal</f>
        <v>15</v>
      </c>
      <c r="Q228" s="618"/>
      <c r="R228" s="76">
        <f ca="1">IF(DAY(R227 + 1) &lt;= _DPP _Decenal,
DATE(YEAR(R227 + 1),MONTH(R227 + 1),_DPP _Decenal),
IF(DAY(R227 + 1) &lt;= (_DPP _Decenal*2),
DATE(YEAR(R227 + 1),MONTH(R227 + 1),(_DPP _Decenal*2)),EOMONTH(R227 + 1,0)))</f>
        <v>44712</v>
      </c>
      <c r="S228" s="30">
        <f>_DPP _Decenal</f>
        <v>10</v>
      </c>
      <c r="T228" s="618"/>
      <c r="U228" s="76">
        <f t="shared" ca="1" si="17"/>
        <v>48884</v>
      </c>
      <c r="V228" s="30">
        <f t="shared" ca="1" si="19"/>
        <v>30</v>
      </c>
    </row>
    <row r="229" spans="5:22" x14ac:dyDescent="0.3">
      <c r="E229" s="98">
        <f t="shared" si="15"/>
        <v>30</v>
      </c>
      <c r="F229" s="583">
        <f ca="1">INDEX(_Datos 229:229,,MATCH(_Búsqueda_Fechas_Pago, _Datos _Headers,0))</f>
        <v>49006</v>
      </c>
      <c r="G229" s="619">
        <f ca="1">INDEX(_Datos 229:229,,MATCH(_Búsqueda_Duración, _Datos _Headers,0))</f>
        <v>30</v>
      </c>
      <c r="H229" s="618"/>
      <c r="I229" s="76">
        <f t="shared" ca="1" si="16"/>
        <v>49006</v>
      </c>
      <c r="J229" s="619">
        <f ca="1">CONST_DIAS_BASE_INTERES + IF(DAY(_Fecha_Pago _Anterior)&gt;=Const_Dia_Corte_Aniversario,MAX(CONST_DIAS_LIMITE-DAY(_Fecha_Pago _Anterior),1))</f>
        <v>30</v>
      </c>
      <c r="K229" s="618"/>
      <c r="L229" s="76">
        <f t="shared" ca="1" si="18"/>
        <v>49003</v>
      </c>
      <c r="M229" s="30">
        <f>_DPP _Mensual_AEN</f>
        <v>30</v>
      </c>
      <c r="N229" s="618"/>
      <c r="O229" s="76">
        <f ca="1">IF(DAY(O228 + 1) &lt;= _DPP _Quincenal,
DATE(YEAR(O228 + 1),MONTH( O228 + 1), _DPP _Quincenal ),
EOMONTH( O228 + 1,0))</f>
        <v>45792</v>
      </c>
      <c r="P229" s="30">
        <f>_DPP _Quincenal</f>
        <v>15</v>
      </c>
      <c r="Q229" s="618"/>
      <c r="R229" s="76">
        <f ca="1">IF(DAY(R228 + 1) &lt;= _DPP _Decenal,
DATE(YEAR(R228 + 1),MONTH(R228 + 1),_DPP _Decenal),
IF(DAY(R228 + 1) &lt;= (_DPP _Decenal*2),
DATE(YEAR(R228 + 1),MONTH(R228 + 1),(_DPP _Decenal*2)),EOMONTH(R228 + 1,0)))</f>
        <v>44722</v>
      </c>
      <c r="S229" s="30">
        <f>_DPP _Decenal</f>
        <v>10</v>
      </c>
      <c r="T229" s="618"/>
      <c r="U229" s="76">
        <f t="shared" ca="1" si="17"/>
        <v>48914</v>
      </c>
      <c r="V229" s="30">
        <f t="shared" ca="1" si="19"/>
        <v>30</v>
      </c>
    </row>
    <row r="230" spans="5:22" x14ac:dyDescent="0.3">
      <c r="E230" s="98">
        <f t="shared" si="15"/>
        <v>30</v>
      </c>
      <c r="F230" s="583">
        <f ca="1">INDEX(_Datos 230:230,,MATCH(_Búsqueda_Fechas_Pago, _Datos _Headers,0))</f>
        <v>49037</v>
      </c>
      <c r="G230" s="619">
        <f ca="1">INDEX(_Datos 230:230,,MATCH(_Búsqueda_Duración, _Datos _Headers,0))</f>
        <v>30</v>
      </c>
      <c r="H230" s="618"/>
      <c r="I230" s="76">
        <f t="shared" ca="1" si="16"/>
        <v>49037</v>
      </c>
      <c r="J230" s="619">
        <f ca="1">CONST_DIAS_BASE_INTERES + IF(DAY(_Fecha_Pago _Anterior)&gt;=Const_Dia_Corte_Aniversario,MAX(CONST_DIAS_LIMITE-DAY(_Fecha_Pago _Anterior),1))</f>
        <v>30</v>
      </c>
      <c r="K230" s="618"/>
      <c r="L230" s="76">
        <f t="shared" ca="1" si="18"/>
        <v>49034</v>
      </c>
      <c r="M230" s="30">
        <f>_DPP _Mensual_AEN</f>
        <v>30</v>
      </c>
      <c r="N230" s="618"/>
      <c r="O230" s="76">
        <f ca="1">IF(DAY(O229 + 1) &lt;= _DPP _Quincenal,
DATE(YEAR(O229 + 1),MONTH( O229 + 1), _DPP _Quincenal ),
EOMONTH( O229 + 1,0))</f>
        <v>45808</v>
      </c>
      <c r="P230" s="30">
        <f>_DPP _Quincenal</f>
        <v>15</v>
      </c>
      <c r="Q230" s="618"/>
      <c r="R230" s="76">
        <f ca="1">IF(DAY(R229 + 1) &lt;= _DPP _Decenal,
DATE(YEAR(R229 + 1),MONTH(R229 + 1),_DPP _Decenal),
IF(DAY(R229 + 1) &lt;= (_DPP _Decenal*2),
DATE(YEAR(R229 + 1),MONTH(R229 + 1),(_DPP _Decenal*2)),EOMONTH(R229 + 1,0)))</f>
        <v>44732</v>
      </c>
      <c r="S230" s="30">
        <f>_DPP _Decenal</f>
        <v>10</v>
      </c>
      <c r="T230" s="618"/>
      <c r="U230" s="76">
        <f t="shared" ca="1" si="17"/>
        <v>48944</v>
      </c>
      <c r="V230" s="30">
        <f t="shared" ca="1" si="19"/>
        <v>30</v>
      </c>
    </row>
    <row r="231" spans="5:22" x14ac:dyDescent="0.3">
      <c r="E231" s="98">
        <f t="shared" si="15"/>
        <v>30</v>
      </c>
      <c r="F231" s="583">
        <f ca="1">INDEX(_Datos 231:231,,MATCH(_Búsqueda_Fechas_Pago, _Datos _Headers,0))</f>
        <v>49067</v>
      </c>
      <c r="G231" s="619">
        <f ca="1">INDEX(_Datos 231:231,,MATCH(_Búsqueda_Duración, _Datos _Headers,0))</f>
        <v>30</v>
      </c>
      <c r="H231" s="618"/>
      <c r="I231" s="76">
        <f t="shared" ca="1" si="16"/>
        <v>49067</v>
      </c>
      <c r="J231" s="619">
        <f ca="1">CONST_DIAS_BASE_INTERES + IF(DAY(_Fecha_Pago _Anterior)&gt;=Const_Dia_Corte_Aniversario,MAX(CONST_DIAS_LIMITE-DAY(_Fecha_Pago _Anterior),1))</f>
        <v>30</v>
      </c>
      <c r="K231" s="618"/>
      <c r="L231" s="76">
        <f t="shared" ca="1" si="18"/>
        <v>49064</v>
      </c>
      <c r="M231" s="30">
        <f>_DPP _Mensual_AEN</f>
        <v>30</v>
      </c>
      <c r="N231" s="618"/>
      <c r="O231" s="76">
        <f ca="1">IF(DAY(O230 + 1) &lt;= _DPP _Quincenal,
DATE(YEAR(O230 + 1),MONTH( O230 + 1), _DPP _Quincenal ),
EOMONTH( O230 + 1,0))</f>
        <v>45823</v>
      </c>
      <c r="P231" s="30">
        <f>_DPP _Quincenal</f>
        <v>15</v>
      </c>
      <c r="Q231" s="618"/>
      <c r="R231" s="76">
        <f ca="1">IF(DAY(R230 + 1) &lt;= _DPP _Decenal,
DATE(YEAR(R230 + 1),MONTH(R230 + 1),_DPP _Decenal),
IF(DAY(R230 + 1) &lt;= (_DPP _Decenal*2),
DATE(YEAR(R230 + 1),MONTH(R230 + 1),(_DPP _Decenal*2)),EOMONTH(R230 + 1,0)))</f>
        <v>44742</v>
      </c>
      <c r="S231" s="30">
        <f>_DPP _Decenal</f>
        <v>10</v>
      </c>
      <c r="T231" s="618"/>
      <c r="U231" s="76">
        <f t="shared" ca="1" si="17"/>
        <v>48974</v>
      </c>
      <c r="V231" s="30">
        <f t="shared" ca="1" si="19"/>
        <v>30</v>
      </c>
    </row>
    <row r="232" spans="5:22" x14ac:dyDescent="0.3">
      <c r="E232" s="98">
        <f t="shared" si="15"/>
        <v>30</v>
      </c>
      <c r="F232" s="583">
        <f ca="1">INDEX(_Datos 232:232,,MATCH(_Búsqueda_Fechas_Pago, _Datos _Headers,0))</f>
        <v>49098</v>
      </c>
      <c r="G232" s="619">
        <f ca="1">INDEX(_Datos 232:232,,MATCH(_Búsqueda_Duración, _Datos _Headers,0))</f>
        <v>30</v>
      </c>
      <c r="H232" s="618"/>
      <c r="I232" s="76">
        <f t="shared" ca="1" si="16"/>
        <v>49098</v>
      </c>
      <c r="J232" s="619">
        <f ca="1">CONST_DIAS_BASE_INTERES + IF(DAY(_Fecha_Pago _Anterior)&gt;=Const_Dia_Corte_Aniversario,MAX(CONST_DIAS_LIMITE-DAY(_Fecha_Pago _Anterior),1))</f>
        <v>30</v>
      </c>
      <c r="K232" s="618"/>
      <c r="L232" s="76">
        <f t="shared" ca="1" si="18"/>
        <v>49095</v>
      </c>
      <c r="M232" s="30">
        <f>_DPP _Mensual_AEN</f>
        <v>30</v>
      </c>
      <c r="N232" s="618"/>
      <c r="O232" s="76">
        <f ca="1">IF(DAY(O231 + 1) &lt;= _DPP _Quincenal,
DATE(YEAR(O231 + 1),MONTH( O231 + 1), _DPP _Quincenal ),
EOMONTH( O231 + 1,0))</f>
        <v>45838</v>
      </c>
      <c r="P232" s="30">
        <f>_DPP _Quincenal</f>
        <v>15</v>
      </c>
      <c r="Q232" s="618"/>
      <c r="R232" s="76">
        <f ca="1">IF(DAY(R231 + 1) &lt;= _DPP _Decenal,
DATE(YEAR(R231 + 1),MONTH(R231 + 1),_DPP _Decenal),
IF(DAY(R231 + 1) &lt;= (_DPP _Decenal*2),
DATE(YEAR(R231 + 1),MONTH(R231 + 1),(_DPP _Decenal*2)),EOMONTH(R231 + 1,0)))</f>
        <v>44752</v>
      </c>
      <c r="S232" s="30">
        <f>_DPP _Decenal</f>
        <v>10</v>
      </c>
      <c r="T232" s="618"/>
      <c r="U232" s="76">
        <f t="shared" ca="1" si="17"/>
        <v>49004</v>
      </c>
      <c r="V232" s="30">
        <f t="shared" ca="1" si="19"/>
        <v>30</v>
      </c>
    </row>
    <row r="233" spans="5:22" x14ac:dyDescent="0.3">
      <c r="E233" s="98">
        <f t="shared" si="15"/>
        <v>30</v>
      </c>
      <c r="F233" s="583">
        <f ca="1">INDEX(_Datos 233:233,,MATCH(_Búsqueda_Fechas_Pago, _Datos _Headers,0))</f>
        <v>49128</v>
      </c>
      <c r="G233" s="619">
        <f ca="1">INDEX(_Datos 233:233,,MATCH(_Búsqueda_Duración, _Datos _Headers,0))</f>
        <v>30</v>
      </c>
      <c r="H233" s="618"/>
      <c r="I233" s="76">
        <f t="shared" ca="1" si="16"/>
        <v>49128</v>
      </c>
      <c r="J233" s="619">
        <f ca="1">CONST_DIAS_BASE_INTERES + IF(DAY(_Fecha_Pago _Anterior)&gt;=Const_Dia_Corte_Aniversario,MAX(CONST_DIAS_LIMITE-DAY(_Fecha_Pago _Anterior),1))</f>
        <v>30</v>
      </c>
      <c r="K233" s="618"/>
      <c r="L233" s="76">
        <f t="shared" ca="1" si="18"/>
        <v>49125</v>
      </c>
      <c r="M233" s="30">
        <f>_DPP _Mensual_AEN</f>
        <v>30</v>
      </c>
      <c r="N233" s="618"/>
      <c r="O233" s="76">
        <f ca="1">IF(DAY(O232 + 1) &lt;= _DPP _Quincenal,
DATE(YEAR(O232 + 1),MONTH( O232 + 1), _DPP _Quincenal ),
EOMONTH( O232 + 1,0))</f>
        <v>45853</v>
      </c>
      <c r="P233" s="30">
        <f>_DPP _Quincenal</f>
        <v>15</v>
      </c>
      <c r="Q233" s="618"/>
      <c r="R233" s="76">
        <f ca="1">IF(DAY(R232 + 1) &lt;= _DPP _Decenal,
DATE(YEAR(R232 + 1),MONTH(R232 + 1),_DPP _Decenal),
IF(DAY(R232 + 1) &lt;= (_DPP _Decenal*2),
DATE(YEAR(R232 + 1),MONTH(R232 + 1),(_DPP _Decenal*2)),EOMONTH(R232 + 1,0)))</f>
        <v>44762</v>
      </c>
      <c r="S233" s="30">
        <f>_DPP _Decenal</f>
        <v>10</v>
      </c>
      <c r="T233" s="618"/>
      <c r="U233" s="76">
        <f t="shared" ca="1" si="17"/>
        <v>49034</v>
      </c>
      <c r="V233" s="30">
        <f t="shared" ca="1" si="19"/>
        <v>30</v>
      </c>
    </row>
    <row r="234" spans="5:22" x14ac:dyDescent="0.3">
      <c r="E234" s="98">
        <f t="shared" si="15"/>
        <v>30</v>
      </c>
      <c r="F234" s="583">
        <f ca="1">INDEX(_Datos 234:234,,MATCH(_Búsqueda_Fechas_Pago, _Datos _Headers,0))</f>
        <v>49159</v>
      </c>
      <c r="G234" s="619">
        <f ca="1">INDEX(_Datos 234:234,,MATCH(_Búsqueda_Duración, _Datos _Headers,0))</f>
        <v>30</v>
      </c>
      <c r="H234" s="618"/>
      <c r="I234" s="76">
        <f t="shared" ca="1" si="16"/>
        <v>49159</v>
      </c>
      <c r="J234" s="619">
        <f ca="1">CONST_DIAS_BASE_INTERES + IF(DAY(_Fecha_Pago _Anterior)&gt;=Const_Dia_Corte_Aniversario,MAX(CONST_DIAS_LIMITE-DAY(_Fecha_Pago _Anterior),1))</f>
        <v>30</v>
      </c>
      <c r="K234" s="618"/>
      <c r="L234" s="76">
        <f t="shared" ca="1" si="18"/>
        <v>49156</v>
      </c>
      <c r="M234" s="30">
        <f>_DPP _Mensual_AEN</f>
        <v>30</v>
      </c>
      <c r="N234" s="618"/>
      <c r="O234" s="76">
        <f ca="1">IF(DAY(O233 + 1) &lt;= _DPP _Quincenal,
DATE(YEAR(O233 + 1),MONTH( O233 + 1), _DPP _Quincenal ),
EOMONTH( O233 + 1,0))</f>
        <v>45869</v>
      </c>
      <c r="P234" s="30">
        <f>_DPP _Quincenal</f>
        <v>15</v>
      </c>
      <c r="Q234" s="618"/>
      <c r="R234" s="76">
        <f ca="1">IF(DAY(R233 + 1) &lt;= _DPP _Decenal,
DATE(YEAR(R233 + 1),MONTH(R233 + 1),_DPP _Decenal),
IF(DAY(R233 + 1) &lt;= (_DPP _Decenal*2),
DATE(YEAR(R233 + 1),MONTH(R233 + 1),(_DPP _Decenal*2)),EOMONTH(R233 + 1,0)))</f>
        <v>44773</v>
      </c>
      <c r="S234" s="30">
        <f>_DPP _Decenal</f>
        <v>10</v>
      </c>
      <c r="T234" s="618"/>
      <c r="U234" s="76">
        <f t="shared" ca="1" si="17"/>
        <v>49064</v>
      </c>
      <c r="V234" s="30">
        <f t="shared" ca="1" si="19"/>
        <v>30</v>
      </c>
    </row>
    <row r="235" spans="5:22" x14ac:dyDescent="0.3">
      <c r="E235" s="98">
        <f t="shared" si="15"/>
        <v>30</v>
      </c>
      <c r="F235" s="583">
        <f ca="1">INDEX(_Datos 235:235,,MATCH(_Búsqueda_Fechas_Pago, _Datos _Headers,0))</f>
        <v>49190</v>
      </c>
      <c r="G235" s="619">
        <f ca="1">INDEX(_Datos 235:235,,MATCH(_Búsqueda_Duración, _Datos _Headers,0))</f>
        <v>30</v>
      </c>
      <c r="H235" s="618"/>
      <c r="I235" s="76">
        <f t="shared" ca="1" si="16"/>
        <v>49190</v>
      </c>
      <c r="J235" s="619">
        <f ca="1">CONST_DIAS_BASE_INTERES + IF(DAY(_Fecha_Pago _Anterior)&gt;=Const_Dia_Corte_Aniversario,MAX(CONST_DIAS_LIMITE-DAY(_Fecha_Pago _Anterior),1))</f>
        <v>30</v>
      </c>
      <c r="K235" s="618"/>
      <c r="L235" s="76">
        <f t="shared" ca="1" si="18"/>
        <v>49187</v>
      </c>
      <c r="M235" s="30">
        <f>_DPP _Mensual_AEN</f>
        <v>30</v>
      </c>
      <c r="N235" s="618"/>
      <c r="O235" s="76">
        <f ca="1">IF(DAY(O234 + 1) &lt;= _DPP _Quincenal,
DATE(YEAR(O234 + 1),MONTH( O234 + 1), _DPP _Quincenal ),
EOMONTH( O234 + 1,0))</f>
        <v>45884</v>
      </c>
      <c r="P235" s="30">
        <f>_DPP _Quincenal</f>
        <v>15</v>
      </c>
      <c r="Q235" s="618"/>
      <c r="R235" s="76">
        <f ca="1">IF(DAY(R234 + 1) &lt;= _DPP _Decenal,
DATE(YEAR(R234 + 1),MONTH(R234 + 1),_DPP _Decenal),
IF(DAY(R234 + 1) &lt;= (_DPP _Decenal*2),
DATE(YEAR(R234 + 1),MONTH(R234 + 1),(_DPP _Decenal*2)),EOMONTH(R234 + 1,0)))</f>
        <v>44783</v>
      </c>
      <c r="S235" s="30">
        <f>_DPP _Decenal</f>
        <v>10</v>
      </c>
      <c r="T235" s="618"/>
      <c r="U235" s="76">
        <f t="shared" ca="1" si="17"/>
        <v>49094</v>
      </c>
      <c r="V235" s="30">
        <f t="shared" ca="1" si="19"/>
        <v>30</v>
      </c>
    </row>
    <row r="236" spans="5:22" x14ac:dyDescent="0.3">
      <c r="E236" s="98">
        <f t="shared" si="15"/>
        <v>30</v>
      </c>
      <c r="F236" s="583">
        <f ca="1">INDEX(_Datos 236:236,,MATCH(_Búsqueda_Fechas_Pago, _Datos _Headers,0))</f>
        <v>49220</v>
      </c>
      <c r="G236" s="619">
        <f ca="1">INDEX(_Datos 236:236,,MATCH(_Búsqueda_Duración, _Datos _Headers,0))</f>
        <v>30</v>
      </c>
      <c r="H236" s="618"/>
      <c r="I236" s="76">
        <f t="shared" ca="1" si="16"/>
        <v>49220</v>
      </c>
      <c r="J236" s="619">
        <f ca="1">CONST_DIAS_BASE_INTERES + IF(DAY(_Fecha_Pago _Anterior)&gt;=Const_Dia_Corte_Aniversario,MAX(CONST_DIAS_LIMITE-DAY(_Fecha_Pago _Anterior),1))</f>
        <v>30</v>
      </c>
      <c r="K236" s="618"/>
      <c r="L236" s="76">
        <f t="shared" ca="1" si="18"/>
        <v>49217</v>
      </c>
      <c r="M236" s="30">
        <f>_DPP _Mensual_AEN</f>
        <v>30</v>
      </c>
      <c r="N236" s="618"/>
      <c r="O236" s="76">
        <f ca="1">IF(DAY(O235 + 1) &lt;= _DPP _Quincenal,
DATE(YEAR(O235 + 1),MONTH( O235 + 1), _DPP _Quincenal ),
EOMONTH( O235 + 1,0))</f>
        <v>45900</v>
      </c>
      <c r="P236" s="30">
        <f>_DPP _Quincenal</f>
        <v>15</v>
      </c>
      <c r="Q236" s="618"/>
      <c r="R236" s="76">
        <f ca="1">IF(DAY(R235 + 1) &lt;= _DPP _Decenal,
DATE(YEAR(R235 + 1),MONTH(R235 + 1),_DPP _Decenal),
IF(DAY(R235 + 1) &lt;= (_DPP _Decenal*2),
DATE(YEAR(R235 + 1),MONTH(R235 + 1),(_DPP _Decenal*2)),EOMONTH(R235 + 1,0)))</f>
        <v>44793</v>
      </c>
      <c r="S236" s="30">
        <f>_DPP _Decenal</f>
        <v>10</v>
      </c>
      <c r="T236" s="618"/>
      <c r="U236" s="76">
        <f t="shared" ca="1" si="17"/>
        <v>49124</v>
      </c>
      <c r="V236" s="30">
        <f t="shared" ca="1" si="19"/>
        <v>30</v>
      </c>
    </row>
    <row r="237" spans="5:22" x14ac:dyDescent="0.3">
      <c r="E237" s="98">
        <f t="shared" si="15"/>
        <v>30</v>
      </c>
      <c r="F237" s="583">
        <f ca="1">INDEX(_Datos 237:237,,MATCH(_Búsqueda_Fechas_Pago, _Datos _Headers,0))</f>
        <v>49251</v>
      </c>
      <c r="G237" s="619">
        <f ca="1">INDEX(_Datos 237:237,,MATCH(_Búsqueda_Duración, _Datos _Headers,0))</f>
        <v>30</v>
      </c>
      <c r="H237" s="618"/>
      <c r="I237" s="76">
        <f t="shared" ca="1" si="16"/>
        <v>49251</v>
      </c>
      <c r="J237" s="619">
        <f ca="1">CONST_DIAS_BASE_INTERES + IF(DAY(_Fecha_Pago _Anterior)&gt;=Const_Dia_Corte_Aniversario,MAX(CONST_DIAS_LIMITE-DAY(_Fecha_Pago _Anterior),1))</f>
        <v>30</v>
      </c>
      <c r="K237" s="618"/>
      <c r="L237" s="76">
        <f t="shared" ca="1" si="18"/>
        <v>49248</v>
      </c>
      <c r="M237" s="30">
        <f>_DPP _Mensual_AEN</f>
        <v>30</v>
      </c>
      <c r="N237" s="618"/>
      <c r="O237" s="76">
        <f ca="1">IF(DAY(O236 + 1) &lt;= _DPP _Quincenal,
DATE(YEAR(O236 + 1),MONTH( O236 + 1), _DPP _Quincenal ),
EOMONTH( O236 + 1,0))</f>
        <v>45915</v>
      </c>
      <c r="P237" s="30">
        <f>_DPP _Quincenal</f>
        <v>15</v>
      </c>
      <c r="Q237" s="618"/>
      <c r="R237" s="76">
        <f ca="1">IF(DAY(R236 + 1) &lt;= _DPP _Decenal,
DATE(YEAR(R236 + 1),MONTH(R236 + 1),_DPP _Decenal),
IF(DAY(R236 + 1) &lt;= (_DPP _Decenal*2),
DATE(YEAR(R236 + 1),MONTH(R236 + 1),(_DPP _Decenal*2)),EOMONTH(R236 + 1,0)))</f>
        <v>44804</v>
      </c>
      <c r="S237" s="30">
        <f>_DPP _Decenal</f>
        <v>10</v>
      </c>
      <c r="T237" s="618"/>
      <c r="U237" s="76">
        <f t="shared" ca="1" si="17"/>
        <v>49154</v>
      </c>
      <c r="V237" s="30">
        <f t="shared" ca="1" si="19"/>
        <v>30</v>
      </c>
    </row>
    <row r="238" spans="5:22" x14ac:dyDescent="0.3">
      <c r="E238" s="98">
        <f t="shared" si="15"/>
        <v>30</v>
      </c>
      <c r="F238" s="583">
        <f ca="1">INDEX(_Datos 238:238,,MATCH(_Búsqueda_Fechas_Pago, _Datos _Headers,0))</f>
        <v>49281</v>
      </c>
      <c r="G238" s="619">
        <f ca="1">INDEX(_Datos 238:238,,MATCH(_Búsqueda_Duración, _Datos _Headers,0))</f>
        <v>30</v>
      </c>
      <c r="H238" s="618"/>
      <c r="I238" s="76">
        <f t="shared" ca="1" si="16"/>
        <v>49281</v>
      </c>
      <c r="J238" s="619">
        <f ca="1">CONST_DIAS_BASE_INTERES + IF(DAY(_Fecha_Pago _Anterior)&gt;=Const_Dia_Corte_Aniversario,MAX(CONST_DIAS_LIMITE-DAY(_Fecha_Pago _Anterior),1))</f>
        <v>30</v>
      </c>
      <c r="K238" s="618"/>
      <c r="L238" s="76">
        <f t="shared" ca="1" si="18"/>
        <v>49278</v>
      </c>
      <c r="M238" s="30">
        <f>_DPP _Mensual_AEN</f>
        <v>30</v>
      </c>
      <c r="N238" s="618"/>
      <c r="O238" s="76">
        <f ca="1">IF(DAY(O237 + 1) &lt;= _DPP _Quincenal,
DATE(YEAR(O237 + 1),MONTH( O237 + 1), _DPP _Quincenal ),
EOMONTH( O237 + 1,0))</f>
        <v>45930</v>
      </c>
      <c r="P238" s="30">
        <f>_DPP _Quincenal</f>
        <v>15</v>
      </c>
      <c r="Q238" s="618"/>
      <c r="R238" s="76">
        <f ca="1">IF(DAY(R237 + 1) &lt;= _DPP _Decenal,
DATE(YEAR(R237 + 1),MONTH(R237 + 1),_DPP _Decenal),
IF(DAY(R237 + 1) &lt;= (_DPP _Decenal*2),
DATE(YEAR(R237 + 1),MONTH(R237 + 1),(_DPP _Decenal*2)),EOMONTH(R237 + 1,0)))</f>
        <v>44814</v>
      </c>
      <c r="S238" s="30">
        <f>_DPP _Decenal</f>
        <v>10</v>
      </c>
      <c r="T238" s="618"/>
      <c r="U238" s="76">
        <f t="shared" ca="1" si="17"/>
        <v>49184</v>
      </c>
      <c r="V238" s="30">
        <f t="shared" ca="1" si="19"/>
        <v>30</v>
      </c>
    </row>
    <row r="239" spans="5:22" x14ac:dyDescent="0.3">
      <c r="E239" s="98">
        <f t="shared" si="15"/>
        <v>30</v>
      </c>
      <c r="F239" s="583">
        <f ca="1">INDEX(_Datos 239:239,,MATCH(_Búsqueda_Fechas_Pago, _Datos _Headers,0))</f>
        <v>49312</v>
      </c>
      <c r="G239" s="619">
        <f ca="1">INDEX(_Datos 239:239,,MATCH(_Búsqueda_Duración, _Datos _Headers,0))</f>
        <v>30</v>
      </c>
      <c r="H239" s="618"/>
      <c r="I239" s="76">
        <f t="shared" ca="1" si="16"/>
        <v>49312</v>
      </c>
      <c r="J239" s="619">
        <f ca="1">CONST_DIAS_BASE_INTERES + IF(DAY(_Fecha_Pago _Anterior)&gt;=Const_Dia_Corte_Aniversario,MAX(CONST_DIAS_LIMITE-DAY(_Fecha_Pago _Anterior),1))</f>
        <v>30</v>
      </c>
      <c r="K239" s="618"/>
      <c r="L239" s="76">
        <f t="shared" ca="1" si="18"/>
        <v>49309</v>
      </c>
      <c r="M239" s="30">
        <f>_DPP _Mensual_AEN</f>
        <v>30</v>
      </c>
      <c r="N239" s="618"/>
      <c r="O239" s="76">
        <f ca="1">IF(DAY(O238 + 1) &lt;= _DPP _Quincenal,
DATE(YEAR(O238 + 1),MONTH( O238 + 1), _DPP _Quincenal ),
EOMONTH( O238 + 1,0))</f>
        <v>45945</v>
      </c>
      <c r="P239" s="30">
        <f>_DPP _Quincenal</f>
        <v>15</v>
      </c>
      <c r="Q239" s="618"/>
      <c r="R239" s="76">
        <f ca="1">IF(DAY(R238 + 1) &lt;= _DPP _Decenal,
DATE(YEAR(R238 + 1),MONTH(R238 + 1),_DPP _Decenal),
IF(DAY(R238 + 1) &lt;= (_DPP _Decenal*2),
DATE(YEAR(R238 + 1),MONTH(R238 + 1),(_DPP _Decenal*2)),EOMONTH(R238 + 1,0)))</f>
        <v>44824</v>
      </c>
      <c r="S239" s="30">
        <f>_DPP _Decenal</f>
        <v>10</v>
      </c>
      <c r="T239" s="618"/>
      <c r="U239" s="76">
        <f t="shared" ca="1" si="17"/>
        <v>49214</v>
      </c>
      <c r="V239" s="30">
        <f t="shared" ca="1" si="19"/>
        <v>30</v>
      </c>
    </row>
    <row r="240" spans="5:22" x14ac:dyDescent="0.3">
      <c r="E240" s="98">
        <f t="shared" si="15"/>
        <v>30</v>
      </c>
      <c r="F240" s="583">
        <f ca="1">INDEX(_Datos 240:240,,MATCH(_Búsqueda_Fechas_Pago, _Datos _Headers,0))</f>
        <v>49343</v>
      </c>
      <c r="G240" s="619">
        <f ca="1">INDEX(_Datos 240:240,,MATCH(_Búsqueda_Duración, _Datos _Headers,0))</f>
        <v>30</v>
      </c>
      <c r="H240" s="618"/>
      <c r="I240" s="76">
        <f t="shared" ca="1" si="16"/>
        <v>49343</v>
      </c>
      <c r="J240" s="619">
        <f ca="1">CONST_DIAS_BASE_INTERES + IF(DAY(_Fecha_Pago _Anterior)&gt;=Const_Dia_Corte_Aniversario,MAX(CONST_DIAS_LIMITE-DAY(_Fecha_Pago _Anterior),1))</f>
        <v>30</v>
      </c>
      <c r="K240" s="618"/>
      <c r="L240" s="76">
        <f t="shared" ca="1" si="18"/>
        <v>49340</v>
      </c>
      <c r="M240" s="30">
        <f>_DPP _Mensual_AEN</f>
        <v>30</v>
      </c>
      <c r="N240" s="618"/>
      <c r="O240" s="76">
        <f ca="1">IF(DAY(O239 + 1) &lt;= _DPP _Quincenal,
DATE(YEAR(O239 + 1),MONTH( O239 + 1), _DPP _Quincenal ),
EOMONTH( O239 + 1,0))</f>
        <v>45961</v>
      </c>
      <c r="P240" s="30">
        <f>_DPP _Quincenal</f>
        <v>15</v>
      </c>
      <c r="Q240" s="618"/>
      <c r="R240" s="76">
        <f ca="1">IF(DAY(R239 + 1) &lt;= _DPP _Decenal,
DATE(YEAR(R239 + 1),MONTH(R239 + 1),_DPP _Decenal),
IF(DAY(R239 + 1) &lt;= (_DPP _Decenal*2),
DATE(YEAR(R239 + 1),MONTH(R239 + 1),(_DPP _Decenal*2)),EOMONTH(R239 + 1,0)))</f>
        <v>44834</v>
      </c>
      <c r="S240" s="30">
        <f>_DPP _Decenal</f>
        <v>10</v>
      </c>
      <c r="T240" s="618"/>
      <c r="U240" s="76">
        <f t="shared" ca="1" si="17"/>
        <v>49244</v>
      </c>
      <c r="V240" s="30">
        <f t="shared" ca="1" si="19"/>
        <v>30</v>
      </c>
    </row>
    <row r="241" spans="5:22" x14ac:dyDescent="0.3">
      <c r="E241" s="98">
        <f t="shared" si="15"/>
        <v>30</v>
      </c>
      <c r="F241" s="583">
        <f ca="1">INDEX(_Datos 241:241,,MATCH(_Búsqueda_Fechas_Pago, _Datos _Headers,0))</f>
        <v>49371</v>
      </c>
      <c r="G241" s="619">
        <f ca="1">INDEX(_Datos 241:241,,MATCH(_Búsqueda_Duración, _Datos _Headers,0))</f>
        <v>30</v>
      </c>
      <c r="H241" s="618"/>
      <c r="I241" s="76">
        <f t="shared" ca="1" si="16"/>
        <v>49371</v>
      </c>
      <c r="J241" s="619">
        <f ca="1">CONST_DIAS_BASE_INTERES + IF(DAY(_Fecha_Pago _Anterior)&gt;=Const_Dia_Corte_Aniversario,MAX(CONST_DIAS_LIMITE-DAY(_Fecha_Pago _Anterior),1))</f>
        <v>30</v>
      </c>
      <c r="K241" s="618"/>
      <c r="L241" s="76">
        <f t="shared" ca="1" si="18"/>
        <v>49368</v>
      </c>
      <c r="M241" s="30">
        <f>_DPP _Mensual_AEN</f>
        <v>30</v>
      </c>
      <c r="N241" s="618"/>
      <c r="O241" s="76">
        <f ca="1">IF(DAY(O240 + 1) &lt;= _DPP _Quincenal,
DATE(YEAR(O240 + 1),MONTH( O240 + 1), _DPP _Quincenal ),
EOMONTH( O240 + 1,0))</f>
        <v>45976</v>
      </c>
      <c r="P241" s="30">
        <f>_DPP _Quincenal</f>
        <v>15</v>
      </c>
      <c r="Q241" s="618"/>
      <c r="R241" s="76">
        <f ca="1">IF(DAY(R240 + 1) &lt;= _DPP _Decenal,
DATE(YEAR(R240 + 1),MONTH(R240 + 1),_DPP _Decenal),
IF(DAY(R240 + 1) &lt;= (_DPP _Decenal*2),
DATE(YEAR(R240 + 1),MONTH(R240 + 1),(_DPP _Decenal*2)),EOMONTH(R240 + 1,0)))</f>
        <v>44844</v>
      </c>
      <c r="S241" s="30">
        <f>_DPP _Decenal</f>
        <v>10</v>
      </c>
      <c r="T241" s="618"/>
      <c r="U241" s="76">
        <f t="shared" ca="1" si="17"/>
        <v>49274</v>
      </c>
      <c r="V241" s="30">
        <f t="shared" ca="1" si="19"/>
        <v>30</v>
      </c>
    </row>
    <row r="242" spans="5:22" x14ac:dyDescent="0.3">
      <c r="E242" s="98">
        <f t="shared" si="15"/>
        <v>30</v>
      </c>
      <c r="F242" s="583">
        <f ca="1">INDEX(_Datos 242:242,,MATCH(_Búsqueda_Fechas_Pago, _Datos _Headers,0))</f>
        <v>49402</v>
      </c>
      <c r="G242" s="619">
        <f ca="1">INDEX(_Datos 242:242,,MATCH(_Búsqueda_Duración, _Datos _Headers,0))</f>
        <v>30</v>
      </c>
      <c r="H242" s="618"/>
      <c r="I242" s="76">
        <f t="shared" ca="1" si="16"/>
        <v>49402</v>
      </c>
      <c r="J242" s="619">
        <f ca="1">CONST_DIAS_BASE_INTERES + IF(DAY(_Fecha_Pago _Anterior)&gt;=Const_Dia_Corte_Aniversario,MAX(CONST_DIAS_LIMITE-DAY(_Fecha_Pago _Anterior),1))</f>
        <v>30</v>
      </c>
      <c r="K242" s="618"/>
      <c r="L242" s="76">
        <f t="shared" ca="1" si="18"/>
        <v>49399</v>
      </c>
      <c r="M242" s="30">
        <f>_DPP _Mensual_AEN</f>
        <v>30</v>
      </c>
      <c r="N242" s="618"/>
      <c r="O242" s="76">
        <f ca="1">IF(DAY(O241 + 1) &lt;= _DPP _Quincenal,
DATE(YEAR(O241 + 1),MONTH( O241 + 1), _DPP _Quincenal ),
EOMONTH( O241 + 1,0))</f>
        <v>45991</v>
      </c>
      <c r="P242" s="30">
        <f>_DPP _Quincenal</f>
        <v>15</v>
      </c>
      <c r="Q242" s="618"/>
      <c r="R242" s="76">
        <f ca="1">IF(DAY(R241 + 1) &lt;= _DPP _Decenal,
DATE(YEAR(R241 + 1),MONTH(R241 + 1),_DPP _Decenal),
IF(DAY(R241 + 1) &lt;= (_DPP _Decenal*2),
DATE(YEAR(R241 + 1),MONTH(R241 + 1),(_DPP _Decenal*2)),EOMONTH(R241 + 1,0)))</f>
        <v>44854</v>
      </c>
      <c r="S242" s="30">
        <f>_DPP _Decenal</f>
        <v>10</v>
      </c>
      <c r="T242" s="618"/>
      <c r="U242" s="76">
        <f t="shared" ca="1" si="17"/>
        <v>49304</v>
      </c>
      <c r="V242" s="30">
        <f t="shared" ca="1" si="19"/>
        <v>30</v>
      </c>
    </row>
    <row r="243" spans="5:22" x14ac:dyDescent="0.3">
      <c r="E243" s="98">
        <f t="shared" si="15"/>
        <v>30</v>
      </c>
      <c r="F243" s="583">
        <f ca="1">INDEX(_Datos 243:243,,MATCH(_Búsqueda_Fechas_Pago, _Datos _Headers,0))</f>
        <v>49432</v>
      </c>
      <c r="G243" s="619">
        <f ca="1">INDEX(_Datos 243:243,,MATCH(_Búsqueda_Duración, _Datos _Headers,0))</f>
        <v>30</v>
      </c>
      <c r="H243" s="618"/>
      <c r="I243" s="76">
        <f t="shared" ca="1" si="16"/>
        <v>49432</v>
      </c>
      <c r="J243" s="619">
        <f ca="1">CONST_DIAS_BASE_INTERES + IF(DAY(_Fecha_Pago _Anterior)&gt;=Const_Dia_Corte_Aniversario,MAX(CONST_DIAS_LIMITE-DAY(_Fecha_Pago _Anterior),1))</f>
        <v>30</v>
      </c>
      <c r="K243" s="618"/>
      <c r="L243" s="76">
        <f t="shared" ca="1" si="18"/>
        <v>49429</v>
      </c>
      <c r="M243" s="30">
        <f>_DPP _Mensual_AEN</f>
        <v>30</v>
      </c>
      <c r="N243" s="618"/>
      <c r="O243" s="76">
        <f ca="1">IF(DAY(O242 + 1) &lt;= _DPP _Quincenal,
DATE(YEAR(O242 + 1),MONTH( O242 + 1), _DPP _Quincenal ),
EOMONTH( O242 + 1,0))</f>
        <v>46006</v>
      </c>
      <c r="P243" s="30">
        <f>_DPP _Quincenal</f>
        <v>15</v>
      </c>
      <c r="Q243" s="618"/>
      <c r="R243" s="76">
        <f ca="1">IF(DAY(R242 + 1) &lt;= _DPP _Decenal,
DATE(YEAR(R242 + 1),MONTH(R242 + 1),_DPP _Decenal),
IF(DAY(R242 + 1) &lt;= (_DPP _Decenal*2),
DATE(YEAR(R242 + 1),MONTH(R242 + 1),(_DPP _Decenal*2)),EOMONTH(R242 + 1,0)))</f>
        <v>44865</v>
      </c>
      <c r="S243" s="30">
        <f>_DPP _Decenal</f>
        <v>10</v>
      </c>
      <c r="T243" s="618"/>
      <c r="U243" s="76">
        <f t="shared" ca="1" si="17"/>
        <v>49334</v>
      </c>
      <c r="V243" s="30">
        <f t="shared" ca="1" si="19"/>
        <v>30</v>
      </c>
    </row>
    <row r="244" spans="5:22" x14ac:dyDescent="0.3">
      <c r="E244" s="98">
        <f t="shared" si="15"/>
        <v>30</v>
      </c>
      <c r="F244" s="583">
        <f ca="1">INDEX(_Datos 244:244,,MATCH(_Búsqueda_Fechas_Pago, _Datos _Headers,0))</f>
        <v>49463</v>
      </c>
      <c r="G244" s="619">
        <f ca="1">INDEX(_Datos 244:244,,MATCH(_Búsqueda_Duración, _Datos _Headers,0))</f>
        <v>30</v>
      </c>
      <c r="H244" s="618"/>
      <c r="I244" s="76">
        <f t="shared" ca="1" si="16"/>
        <v>49463</v>
      </c>
      <c r="J244" s="619">
        <f ca="1">CONST_DIAS_BASE_INTERES + IF(DAY(_Fecha_Pago _Anterior)&gt;=Const_Dia_Corte_Aniversario,MAX(CONST_DIAS_LIMITE-DAY(_Fecha_Pago _Anterior),1))</f>
        <v>30</v>
      </c>
      <c r="K244" s="618"/>
      <c r="L244" s="76">
        <f t="shared" ca="1" si="18"/>
        <v>49460</v>
      </c>
      <c r="M244" s="30">
        <f>_DPP _Mensual_AEN</f>
        <v>30</v>
      </c>
      <c r="N244" s="618"/>
      <c r="O244" s="76">
        <f ca="1">IF(DAY(O243 + 1) &lt;= _DPP _Quincenal,
DATE(YEAR(O243 + 1),MONTH( O243 + 1), _DPP _Quincenal ),
EOMONTH( O243 + 1,0))</f>
        <v>46022</v>
      </c>
      <c r="P244" s="30">
        <f>_DPP _Quincenal</f>
        <v>15</v>
      </c>
      <c r="Q244" s="618"/>
      <c r="R244" s="76">
        <f ca="1">IF(DAY(R243 + 1) &lt;= _DPP _Decenal,
DATE(YEAR(R243 + 1),MONTH(R243 + 1),_DPP _Decenal),
IF(DAY(R243 + 1) &lt;= (_DPP _Decenal*2),
DATE(YEAR(R243 + 1),MONTH(R243 + 1),(_DPP _Decenal*2)),EOMONTH(R243 + 1,0)))</f>
        <v>44875</v>
      </c>
      <c r="S244" s="30">
        <f>_DPP _Decenal</f>
        <v>10</v>
      </c>
      <c r="T244" s="618"/>
      <c r="U244" s="76">
        <f t="shared" ca="1" si="17"/>
        <v>49364</v>
      </c>
      <c r="V244" s="30">
        <f t="shared" ca="1" si="19"/>
        <v>30</v>
      </c>
    </row>
    <row r="245" spans="5:22" x14ac:dyDescent="0.3">
      <c r="E245" s="98">
        <f t="shared" si="15"/>
        <v>30</v>
      </c>
      <c r="F245" s="583">
        <f ca="1">INDEX(_Datos 245:245,,MATCH(_Búsqueda_Fechas_Pago, _Datos _Headers,0))</f>
        <v>49493</v>
      </c>
      <c r="G245" s="619">
        <f ca="1">INDEX(_Datos 245:245,,MATCH(_Búsqueda_Duración, _Datos _Headers,0))</f>
        <v>30</v>
      </c>
      <c r="H245" s="618"/>
      <c r="I245" s="76">
        <f t="shared" ca="1" si="16"/>
        <v>49493</v>
      </c>
      <c r="J245" s="619">
        <f ca="1">CONST_DIAS_BASE_INTERES + IF(DAY(_Fecha_Pago _Anterior)&gt;=Const_Dia_Corte_Aniversario,MAX(CONST_DIAS_LIMITE-DAY(_Fecha_Pago _Anterior),1))</f>
        <v>30</v>
      </c>
      <c r="K245" s="618"/>
      <c r="L245" s="76">
        <f t="shared" ca="1" si="18"/>
        <v>49490</v>
      </c>
      <c r="M245" s="30">
        <f>_DPP _Mensual_AEN</f>
        <v>30</v>
      </c>
      <c r="N245" s="618"/>
      <c r="O245" s="76">
        <f ca="1">IF(DAY(O244 + 1) &lt;= _DPP _Quincenal,
DATE(YEAR(O244 + 1),MONTH( O244 + 1), _DPP _Quincenal ),
EOMONTH( O244 + 1,0))</f>
        <v>46037</v>
      </c>
      <c r="P245" s="30">
        <f>_DPP _Quincenal</f>
        <v>15</v>
      </c>
      <c r="Q245" s="618"/>
      <c r="R245" s="76">
        <f ca="1">IF(DAY(R244 + 1) &lt;= _DPP _Decenal,
DATE(YEAR(R244 + 1),MONTH(R244 + 1),_DPP _Decenal),
IF(DAY(R244 + 1) &lt;= (_DPP _Decenal*2),
DATE(YEAR(R244 + 1),MONTH(R244 + 1),(_DPP _Decenal*2)),EOMONTH(R244 + 1,0)))</f>
        <v>44885</v>
      </c>
      <c r="S245" s="30">
        <f>_DPP _Decenal</f>
        <v>10</v>
      </c>
      <c r="T245" s="618"/>
      <c r="U245" s="76">
        <f t="shared" ca="1" si="17"/>
        <v>49394</v>
      </c>
      <c r="V245" s="30">
        <f t="shared" ca="1" si="19"/>
        <v>30</v>
      </c>
    </row>
    <row r="246" spans="5:22" x14ac:dyDescent="0.3">
      <c r="E246" s="98">
        <f t="shared" si="15"/>
        <v>30</v>
      </c>
      <c r="F246" s="583">
        <f ca="1">INDEX(_Datos 246:246,,MATCH(_Búsqueda_Fechas_Pago, _Datos _Headers,0))</f>
        <v>49524</v>
      </c>
      <c r="G246" s="619">
        <f ca="1">INDEX(_Datos 246:246,,MATCH(_Búsqueda_Duración, _Datos _Headers,0))</f>
        <v>30</v>
      </c>
      <c r="H246" s="618"/>
      <c r="I246" s="76">
        <f t="shared" ca="1" si="16"/>
        <v>49524</v>
      </c>
      <c r="J246" s="619">
        <f ca="1">CONST_DIAS_BASE_INTERES + IF(DAY(_Fecha_Pago _Anterior)&gt;=Const_Dia_Corte_Aniversario,MAX(CONST_DIAS_LIMITE-DAY(_Fecha_Pago _Anterior),1))</f>
        <v>30</v>
      </c>
      <c r="K246" s="618"/>
      <c r="L246" s="76">
        <f t="shared" ca="1" si="18"/>
        <v>49521</v>
      </c>
      <c r="M246" s="30">
        <f>_DPP _Mensual_AEN</f>
        <v>30</v>
      </c>
      <c r="N246" s="618"/>
      <c r="O246" s="76">
        <f ca="1">IF(DAY(O245 + 1) &lt;= _DPP _Quincenal,
DATE(YEAR(O245 + 1),MONTH( O245 + 1), _DPP _Quincenal ),
EOMONTH( O245 + 1,0))</f>
        <v>46053</v>
      </c>
      <c r="P246" s="30">
        <f>_DPP _Quincenal</f>
        <v>15</v>
      </c>
      <c r="Q246" s="618"/>
      <c r="R246" s="76">
        <f ca="1">IF(DAY(R245 + 1) &lt;= _DPP _Decenal,
DATE(YEAR(R245 + 1),MONTH(R245 + 1),_DPP _Decenal),
IF(DAY(R245 + 1) &lt;= (_DPP _Decenal*2),
DATE(YEAR(R245 + 1),MONTH(R245 + 1),(_DPP _Decenal*2)),EOMONTH(R245 + 1,0)))</f>
        <v>44895</v>
      </c>
      <c r="S246" s="30">
        <f>_DPP _Decenal</f>
        <v>10</v>
      </c>
      <c r="T246" s="618"/>
      <c r="U246" s="76">
        <f t="shared" ca="1" si="17"/>
        <v>49424</v>
      </c>
      <c r="V246" s="30">
        <f t="shared" ca="1" si="19"/>
        <v>30</v>
      </c>
    </row>
    <row r="247" spans="5:22" x14ac:dyDescent="0.3">
      <c r="E247" s="98">
        <f t="shared" si="15"/>
        <v>30</v>
      </c>
      <c r="F247" s="583">
        <f ca="1">INDEX(_Datos 247:247,,MATCH(_Búsqueda_Fechas_Pago, _Datos _Headers,0))</f>
        <v>49555</v>
      </c>
      <c r="G247" s="619">
        <f ca="1">INDEX(_Datos 247:247,,MATCH(_Búsqueda_Duración, _Datos _Headers,0))</f>
        <v>30</v>
      </c>
      <c r="H247" s="618"/>
      <c r="I247" s="76">
        <f t="shared" ca="1" si="16"/>
        <v>49555</v>
      </c>
      <c r="J247" s="619">
        <f ca="1">CONST_DIAS_BASE_INTERES + IF(DAY(_Fecha_Pago _Anterior)&gt;=Const_Dia_Corte_Aniversario,MAX(CONST_DIAS_LIMITE-DAY(_Fecha_Pago _Anterior),1))</f>
        <v>30</v>
      </c>
      <c r="K247" s="618"/>
      <c r="L247" s="76">
        <f t="shared" ca="1" si="18"/>
        <v>49552</v>
      </c>
      <c r="M247" s="30">
        <f>_DPP _Mensual_AEN</f>
        <v>30</v>
      </c>
      <c r="N247" s="618"/>
      <c r="O247" s="76">
        <f ca="1">IF(DAY(O246 + 1) &lt;= _DPP _Quincenal,
DATE(YEAR(O246 + 1),MONTH( O246 + 1), _DPP _Quincenal ),
EOMONTH( O246 + 1,0))</f>
        <v>46068</v>
      </c>
      <c r="P247" s="30">
        <f>_DPP _Quincenal</f>
        <v>15</v>
      </c>
      <c r="Q247" s="618"/>
      <c r="R247" s="76">
        <f ca="1">IF(DAY(R246 + 1) &lt;= _DPP _Decenal,
DATE(YEAR(R246 + 1),MONTH(R246 + 1),_DPP _Decenal),
IF(DAY(R246 + 1) &lt;= (_DPP _Decenal*2),
DATE(YEAR(R246 + 1),MONTH(R246 + 1),(_DPP _Decenal*2)),EOMONTH(R246 + 1,0)))</f>
        <v>44905</v>
      </c>
      <c r="S247" s="30">
        <f>_DPP _Decenal</f>
        <v>10</v>
      </c>
      <c r="T247" s="618"/>
      <c r="U247" s="76">
        <f t="shared" ca="1" si="17"/>
        <v>49454</v>
      </c>
      <c r="V247" s="30">
        <f t="shared" ca="1" si="19"/>
        <v>30</v>
      </c>
    </row>
    <row r="248" spans="5:22" x14ac:dyDescent="0.3">
      <c r="E248" s="98">
        <f t="shared" si="15"/>
        <v>30</v>
      </c>
      <c r="F248" s="583">
        <f ca="1">INDEX(_Datos 248:248,,MATCH(_Búsqueda_Fechas_Pago, _Datos _Headers,0))</f>
        <v>49585</v>
      </c>
      <c r="G248" s="619">
        <f ca="1">INDEX(_Datos 248:248,,MATCH(_Búsqueda_Duración, _Datos _Headers,0))</f>
        <v>30</v>
      </c>
      <c r="H248" s="618"/>
      <c r="I248" s="76">
        <f t="shared" ca="1" si="16"/>
        <v>49585</v>
      </c>
      <c r="J248" s="619">
        <f ca="1">CONST_DIAS_BASE_INTERES + IF(DAY(_Fecha_Pago _Anterior)&gt;=Const_Dia_Corte_Aniversario,MAX(CONST_DIAS_LIMITE-DAY(_Fecha_Pago _Anterior),1))</f>
        <v>30</v>
      </c>
      <c r="K248" s="618"/>
      <c r="L248" s="76">
        <f t="shared" ca="1" si="18"/>
        <v>49582</v>
      </c>
      <c r="M248" s="30">
        <f>_DPP _Mensual_AEN</f>
        <v>30</v>
      </c>
      <c r="N248" s="618"/>
      <c r="O248" s="76">
        <f ca="1">IF(DAY(O247 + 1) &lt;= _DPP _Quincenal,
DATE(YEAR(O247 + 1),MONTH( O247 + 1), _DPP _Quincenal ),
EOMONTH( O247 + 1,0))</f>
        <v>46081</v>
      </c>
      <c r="P248" s="30">
        <f>_DPP _Quincenal</f>
        <v>15</v>
      </c>
      <c r="Q248" s="618"/>
      <c r="R248" s="76">
        <f ca="1">IF(DAY(R247 + 1) &lt;= _DPP _Decenal,
DATE(YEAR(R247 + 1),MONTH(R247 + 1),_DPP _Decenal),
IF(DAY(R247 + 1) &lt;= (_DPP _Decenal*2),
DATE(YEAR(R247 + 1),MONTH(R247 + 1),(_DPP _Decenal*2)),EOMONTH(R247 + 1,0)))</f>
        <v>44915</v>
      </c>
      <c r="S248" s="30">
        <f>_DPP _Decenal</f>
        <v>10</v>
      </c>
      <c r="T248" s="618"/>
      <c r="U248" s="76">
        <f t="shared" ca="1" si="17"/>
        <v>49484</v>
      </c>
      <c r="V248" s="30">
        <f t="shared" ca="1" si="19"/>
        <v>30</v>
      </c>
    </row>
    <row r="249" spans="5:22" x14ac:dyDescent="0.3">
      <c r="E249" s="98">
        <f t="shared" si="15"/>
        <v>30</v>
      </c>
      <c r="F249" s="583">
        <f ca="1">INDEX(_Datos 249:249,,MATCH(_Búsqueda_Fechas_Pago, _Datos _Headers,0))</f>
        <v>49616</v>
      </c>
      <c r="G249" s="619">
        <f ca="1">INDEX(_Datos 249:249,,MATCH(_Búsqueda_Duración, _Datos _Headers,0))</f>
        <v>30</v>
      </c>
      <c r="H249" s="618"/>
      <c r="I249" s="76">
        <f t="shared" ca="1" si="16"/>
        <v>49616</v>
      </c>
      <c r="J249" s="619">
        <f ca="1">CONST_DIAS_BASE_INTERES + IF(DAY(_Fecha_Pago _Anterior)&gt;=Const_Dia_Corte_Aniversario,MAX(CONST_DIAS_LIMITE-DAY(_Fecha_Pago _Anterior),1))</f>
        <v>30</v>
      </c>
      <c r="K249" s="618"/>
      <c r="L249" s="76">
        <f t="shared" ca="1" si="18"/>
        <v>49613</v>
      </c>
      <c r="M249" s="30">
        <f>_DPP _Mensual_AEN</f>
        <v>30</v>
      </c>
      <c r="N249" s="618"/>
      <c r="O249" s="76">
        <f ca="1">IF(DAY(O248 + 1) &lt;= _DPP _Quincenal,
DATE(YEAR(O248 + 1),MONTH( O248 + 1), _DPP _Quincenal ),
EOMONTH( O248 + 1,0))</f>
        <v>46096</v>
      </c>
      <c r="P249" s="30">
        <f>_DPP _Quincenal</f>
        <v>15</v>
      </c>
      <c r="Q249" s="618"/>
      <c r="R249" s="76">
        <f ca="1">IF(DAY(R248 + 1) &lt;= _DPP _Decenal,
DATE(YEAR(R248 + 1),MONTH(R248 + 1),_DPP _Decenal),
IF(DAY(R248 + 1) &lt;= (_DPP _Decenal*2),
DATE(YEAR(R248 + 1),MONTH(R248 + 1),(_DPP _Decenal*2)),EOMONTH(R248 + 1,0)))</f>
        <v>44926</v>
      </c>
      <c r="S249" s="30">
        <f>_DPP _Decenal</f>
        <v>10</v>
      </c>
      <c r="T249" s="618"/>
      <c r="U249" s="76">
        <f t="shared" ca="1" si="17"/>
        <v>49514</v>
      </c>
      <c r="V249" s="30">
        <f t="shared" ca="1" si="19"/>
        <v>30</v>
      </c>
    </row>
    <row r="250" spans="5:22" x14ac:dyDescent="0.3">
      <c r="E250" s="98">
        <f t="shared" si="15"/>
        <v>30</v>
      </c>
      <c r="F250" s="583">
        <f ca="1">INDEX(_Datos 250:250,,MATCH(_Búsqueda_Fechas_Pago, _Datos _Headers,0))</f>
        <v>49646</v>
      </c>
      <c r="G250" s="619">
        <f ca="1">INDEX(_Datos 250:250,,MATCH(_Búsqueda_Duración, _Datos _Headers,0))</f>
        <v>30</v>
      </c>
      <c r="H250" s="618"/>
      <c r="I250" s="76">
        <f t="shared" ca="1" si="16"/>
        <v>49646</v>
      </c>
      <c r="J250" s="619">
        <f ca="1">CONST_DIAS_BASE_INTERES + IF(DAY(_Fecha_Pago _Anterior)&gt;=Const_Dia_Corte_Aniversario,MAX(CONST_DIAS_LIMITE-DAY(_Fecha_Pago _Anterior),1))</f>
        <v>30</v>
      </c>
      <c r="K250" s="618"/>
      <c r="L250" s="76">
        <f t="shared" ca="1" si="18"/>
        <v>49643</v>
      </c>
      <c r="M250" s="30">
        <f>_DPP _Mensual_AEN</f>
        <v>30</v>
      </c>
      <c r="N250" s="618"/>
      <c r="O250" s="76">
        <f ca="1">IF(DAY(O249 + 1) &lt;= _DPP _Quincenal,
DATE(YEAR(O249 + 1),MONTH( O249 + 1), _DPP _Quincenal ),
EOMONTH( O249 + 1,0))</f>
        <v>46112</v>
      </c>
      <c r="P250" s="30">
        <f>_DPP _Quincenal</f>
        <v>15</v>
      </c>
      <c r="Q250" s="618"/>
      <c r="R250" s="76">
        <f ca="1">IF(DAY(R249 + 1) &lt;= _DPP _Decenal,
DATE(YEAR(R249 + 1),MONTH(R249 + 1),_DPP _Decenal),
IF(DAY(R249 + 1) &lt;= (_DPP _Decenal*2),
DATE(YEAR(R249 + 1),MONTH(R249 + 1),(_DPP _Decenal*2)),EOMONTH(R249 + 1,0)))</f>
        <v>44936</v>
      </c>
      <c r="S250" s="30">
        <f>_DPP _Decenal</f>
        <v>10</v>
      </c>
      <c r="T250" s="618"/>
      <c r="U250" s="76">
        <f t="shared" ca="1" si="17"/>
        <v>49544</v>
      </c>
      <c r="V250" s="30">
        <f t="shared" ca="1" si="19"/>
        <v>30</v>
      </c>
    </row>
    <row r="251" spans="5:22" x14ac:dyDescent="0.3">
      <c r="E251" s="98">
        <f t="shared" si="15"/>
        <v>30</v>
      </c>
      <c r="F251" s="583">
        <f ca="1">INDEX(_Datos 251:251,,MATCH(_Búsqueda_Fechas_Pago, _Datos _Headers,0))</f>
        <v>49677</v>
      </c>
      <c r="G251" s="619">
        <f ca="1">INDEX(_Datos 251:251,,MATCH(_Búsqueda_Duración, _Datos _Headers,0))</f>
        <v>30</v>
      </c>
      <c r="H251" s="618"/>
      <c r="I251" s="76">
        <f t="shared" ca="1" si="16"/>
        <v>49677</v>
      </c>
      <c r="J251" s="619">
        <f ca="1">CONST_DIAS_BASE_INTERES + IF(DAY(_Fecha_Pago _Anterior)&gt;=Const_Dia_Corte_Aniversario,MAX(CONST_DIAS_LIMITE-DAY(_Fecha_Pago _Anterior),1))</f>
        <v>30</v>
      </c>
      <c r="K251" s="618"/>
      <c r="L251" s="76">
        <f t="shared" ca="1" si="18"/>
        <v>49674</v>
      </c>
      <c r="M251" s="30">
        <f>_DPP _Mensual_AEN</f>
        <v>30</v>
      </c>
      <c r="N251" s="618"/>
      <c r="O251" s="76">
        <f ca="1">IF(DAY(O250 + 1) &lt;= _DPP _Quincenal,
DATE(YEAR(O250 + 1),MONTH( O250 + 1), _DPP _Quincenal ),
EOMONTH( O250 + 1,0))</f>
        <v>46127</v>
      </c>
      <c r="P251" s="30">
        <f>_DPP _Quincenal</f>
        <v>15</v>
      </c>
      <c r="Q251" s="618"/>
      <c r="R251" s="76">
        <f ca="1">IF(DAY(R250 + 1) &lt;= _DPP _Decenal,
DATE(YEAR(R250 + 1),MONTH(R250 + 1),_DPP _Decenal),
IF(DAY(R250 + 1) &lt;= (_DPP _Decenal*2),
DATE(YEAR(R250 + 1),MONTH(R250 + 1),(_DPP _Decenal*2)),EOMONTH(R250 + 1,0)))</f>
        <v>44946</v>
      </c>
      <c r="S251" s="30">
        <f>_DPP _Decenal</f>
        <v>10</v>
      </c>
      <c r="T251" s="618"/>
      <c r="U251" s="76">
        <f t="shared" ca="1" si="17"/>
        <v>49574</v>
      </c>
      <c r="V251" s="30">
        <f t="shared" ca="1" si="19"/>
        <v>30</v>
      </c>
    </row>
    <row r="252" spans="5:22" x14ac:dyDescent="0.3">
      <c r="E252" s="98">
        <f t="shared" si="15"/>
        <v>30</v>
      </c>
      <c r="F252" s="583">
        <f ca="1">INDEX(_Datos 252:252,,MATCH(_Búsqueda_Fechas_Pago, _Datos _Headers,0))</f>
        <v>49708</v>
      </c>
      <c r="G252" s="619">
        <f ca="1">INDEX(_Datos 252:252,,MATCH(_Búsqueda_Duración, _Datos _Headers,0))</f>
        <v>30</v>
      </c>
      <c r="H252" s="618"/>
      <c r="I252" s="76">
        <f t="shared" ca="1" si="16"/>
        <v>49708</v>
      </c>
      <c r="J252" s="619">
        <f ca="1">CONST_DIAS_BASE_INTERES + IF(DAY(_Fecha_Pago _Anterior)&gt;=Const_Dia_Corte_Aniversario,MAX(CONST_DIAS_LIMITE-DAY(_Fecha_Pago _Anterior),1))</f>
        <v>30</v>
      </c>
      <c r="K252" s="618"/>
      <c r="L252" s="76">
        <f t="shared" ca="1" si="18"/>
        <v>49705</v>
      </c>
      <c r="M252" s="30">
        <f>_DPP _Mensual_AEN</f>
        <v>30</v>
      </c>
      <c r="N252" s="618"/>
      <c r="O252" s="76">
        <f ca="1">IF(DAY(O251 + 1) &lt;= _DPP _Quincenal,
DATE(YEAR(O251 + 1),MONTH( O251 + 1), _DPP _Quincenal ),
EOMONTH( O251 + 1,0))</f>
        <v>46142</v>
      </c>
      <c r="P252" s="30">
        <f>_DPP _Quincenal</f>
        <v>15</v>
      </c>
      <c r="Q252" s="618"/>
      <c r="R252" s="76">
        <f ca="1">IF(DAY(R251 + 1) &lt;= _DPP _Decenal,
DATE(YEAR(R251 + 1),MONTH(R251 + 1),_DPP _Decenal),
IF(DAY(R251 + 1) &lt;= (_DPP _Decenal*2),
DATE(YEAR(R251 + 1),MONTH(R251 + 1),(_DPP _Decenal*2)),EOMONTH(R251 + 1,0)))</f>
        <v>44957</v>
      </c>
      <c r="S252" s="30">
        <f>_DPP _Decenal</f>
        <v>10</v>
      </c>
      <c r="T252" s="618"/>
      <c r="U252" s="76">
        <f t="shared" ca="1" si="17"/>
        <v>49604</v>
      </c>
      <c r="V252" s="30">
        <f t="shared" ca="1" si="19"/>
        <v>30</v>
      </c>
    </row>
    <row r="253" spans="5:22" x14ac:dyDescent="0.3">
      <c r="E253" s="98">
        <f t="shared" si="15"/>
        <v>30</v>
      </c>
      <c r="F253" s="583">
        <f ca="1">INDEX(_Datos 253:253,,MATCH(_Búsqueda_Fechas_Pago, _Datos _Headers,0))</f>
        <v>49737</v>
      </c>
      <c r="G253" s="619">
        <f ca="1">INDEX(_Datos 253:253,,MATCH(_Búsqueda_Duración, _Datos _Headers,0))</f>
        <v>30</v>
      </c>
      <c r="H253" s="618"/>
      <c r="I253" s="76">
        <f t="shared" ca="1" si="16"/>
        <v>49737</v>
      </c>
      <c r="J253" s="619">
        <f ca="1">CONST_DIAS_BASE_INTERES + IF(DAY(_Fecha_Pago _Anterior)&gt;=Const_Dia_Corte_Aniversario,MAX(CONST_DIAS_LIMITE-DAY(_Fecha_Pago _Anterior),1))</f>
        <v>30</v>
      </c>
      <c r="K253" s="618"/>
      <c r="L253" s="76">
        <f t="shared" ca="1" si="18"/>
        <v>49734</v>
      </c>
      <c r="M253" s="30">
        <f>_DPP _Mensual_AEN</f>
        <v>30</v>
      </c>
      <c r="N253" s="618"/>
      <c r="O253" s="76">
        <f ca="1">IF(DAY(O252 + 1) &lt;= _DPP _Quincenal,
DATE(YEAR(O252 + 1),MONTH( O252 + 1), _DPP _Quincenal ),
EOMONTH( O252 + 1,0))</f>
        <v>46157</v>
      </c>
      <c r="P253" s="30">
        <f>_DPP _Quincenal</f>
        <v>15</v>
      </c>
      <c r="Q253" s="618"/>
      <c r="R253" s="76">
        <f ca="1">IF(DAY(R252 + 1) &lt;= _DPP _Decenal,
DATE(YEAR(R252 + 1),MONTH(R252 + 1),_DPP _Decenal),
IF(DAY(R252 + 1) &lt;= (_DPP _Decenal*2),
DATE(YEAR(R252 + 1),MONTH(R252 + 1),(_DPP _Decenal*2)),EOMONTH(R252 + 1,0)))</f>
        <v>44967</v>
      </c>
      <c r="S253" s="30">
        <f>_DPP _Decenal</f>
        <v>10</v>
      </c>
      <c r="T253" s="618"/>
      <c r="U253" s="76">
        <f t="shared" ca="1" si="17"/>
        <v>49634</v>
      </c>
      <c r="V253" s="30">
        <f t="shared" ca="1" si="19"/>
        <v>30</v>
      </c>
    </row>
    <row r="254" spans="5:22" x14ac:dyDescent="0.3">
      <c r="E254" s="98">
        <f t="shared" si="15"/>
        <v>30</v>
      </c>
      <c r="F254" s="583">
        <f ca="1">INDEX(_Datos 254:254,,MATCH(_Búsqueda_Fechas_Pago, _Datos _Headers,0))</f>
        <v>49768</v>
      </c>
      <c r="G254" s="619">
        <f ca="1">INDEX(_Datos 254:254,,MATCH(_Búsqueda_Duración, _Datos _Headers,0))</f>
        <v>30</v>
      </c>
      <c r="H254" s="618"/>
      <c r="I254" s="76">
        <f t="shared" ca="1" si="16"/>
        <v>49768</v>
      </c>
      <c r="J254" s="619">
        <f ca="1">CONST_DIAS_BASE_INTERES + IF(DAY(_Fecha_Pago _Anterior)&gt;=Const_Dia_Corte_Aniversario,MAX(CONST_DIAS_LIMITE-DAY(_Fecha_Pago _Anterior),1))</f>
        <v>30</v>
      </c>
      <c r="K254" s="618"/>
      <c r="L254" s="76">
        <f t="shared" ca="1" si="18"/>
        <v>49765</v>
      </c>
      <c r="M254" s="30">
        <f>_DPP _Mensual_AEN</f>
        <v>30</v>
      </c>
      <c r="N254" s="618"/>
      <c r="O254" s="76">
        <f ca="1">IF(DAY(O253 + 1) &lt;= _DPP _Quincenal,
DATE(YEAR(O253 + 1),MONTH( O253 + 1), _DPP _Quincenal ),
EOMONTH( O253 + 1,0))</f>
        <v>46173</v>
      </c>
      <c r="P254" s="30">
        <f>_DPP _Quincenal</f>
        <v>15</v>
      </c>
      <c r="Q254" s="618"/>
      <c r="R254" s="76">
        <f ca="1">IF(DAY(R253 + 1) &lt;= _DPP _Decenal,
DATE(YEAR(R253 + 1),MONTH(R253 + 1),_DPP _Decenal),
IF(DAY(R253 + 1) &lt;= (_DPP _Decenal*2),
DATE(YEAR(R253 + 1),MONTH(R253 + 1),(_DPP _Decenal*2)),EOMONTH(R253 + 1,0)))</f>
        <v>44977</v>
      </c>
      <c r="S254" s="30">
        <f>_DPP _Decenal</f>
        <v>10</v>
      </c>
      <c r="T254" s="618"/>
      <c r="U254" s="76">
        <f t="shared" ca="1" si="17"/>
        <v>49664</v>
      </c>
      <c r="V254" s="30">
        <f t="shared" ca="1" si="19"/>
        <v>30</v>
      </c>
    </row>
    <row r="255" spans="5:22" x14ac:dyDescent="0.3">
      <c r="E255" s="98">
        <f t="shared" si="15"/>
        <v>30</v>
      </c>
      <c r="F255" s="583">
        <f ca="1">INDEX(_Datos 255:255,,MATCH(_Búsqueda_Fechas_Pago, _Datos _Headers,0))</f>
        <v>49798</v>
      </c>
      <c r="G255" s="619">
        <f ca="1">INDEX(_Datos 255:255,,MATCH(_Búsqueda_Duración, _Datos _Headers,0))</f>
        <v>30</v>
      </c>
      <c r="H255" s="618"/>
      <c r="I255" s="76">
        <f t="shared" ca="1" si="16"/>
        <v>49798</v>
      </c>
      <c r="J255" s="619">
        <f ca="1">CONST_DIAS_BASE_INTERES + IF(DAY(_Fecha_Pago _Anterior)&gt;=Const_Dia_Corte_Aniversario,MAX(CONST_DIAS_LIMITE-DAY(_Fecha_Pago _Anterior),1))</f>
        <v>30</v>
      </c>
      <c r="K255" s="618"/>
      <c r="L255" s="76">
        <f t="shared" ca="1" si="18"/>
        <v>49795</v>
      </c>
      <c r="M255" s="30">
        <f>_DPP _Mensual_AEN</f>
        <v>30</v>
      </c>
      <c r="N255" s="618"/>
      <c r="O255" s="76">
        <f ca="1">IF(DAY(O254 + 1) &lt;= _DPP _Quincenal,
DATE(YEAR(O254 + 1),MONTH( O254 + 1), _DPP _Quincenal ),
EOMONTH( O254 + 1,0))</f>
        <v>46188</v>
      </c>
      <c r="P255" s="30">
        <f>_DPP _Quincenal</f>
        <v>15</v>
      </c>
      <c r="Q255" s="618"/>
      <c r="R255" s="76">
        <f ca="1">IF(DAY(R254 + 1) &lt;= _DPP _Decenal,
DATE(YEAR(R254 + 1),MONTH(R254 + 1),_DPP _Decenal),
IF(DAY(R254 + 1) &lt;= (_DPP _Decenal*2),
DATE(YEAR(R254 + 1),MONTH(R254 + 1),(_DPP _Decenal*2)),EOMONTH(R254 + 1,0)))</f>
        <v>44985</v>
      </c>
      <c r="S255" s="30">
        <f>_DPP _Decenal</f>
        <v>10</v>
      </c>
      <c r="T255" s="618"/>
      <c r="U255" s="76">
        <f t="shared" ca="1" si="17"/>
        <v>49694</v>
      </c>
      <c r="V255" s="30">
        <f t="shared" ca="1" si="19"/>
        <v>30</v>
      </c>
    </row>
    <row r="256" spans="5:22" x14ac:dyDescent="0.3">
      <c r="E256" s="98">
        <f t="shared" si="15"/>
        <v>30</v>
      </c>
      <c r="F256" s="583">
        <f ca="1">INDEX(_Datos 256:256,,MATCH(_Búsqueda_Fechas_Pago, _Datos _Headers,0))</f>
        <v>49829</v>
      </c>
      <c r="G256" s="619">
        <f ca="1">INDEX(_Datos 256:256,,MATCH(_Búsqueda_Duración, _Datos _Headers,0))</f>
        <v>30</v>
      </c>
      <c r="H256" s="618"/>
      <c r="I256" s="76">
        <f t="shared" ca="1" si="16"/>
        <v>49829</v>
      </c>
      <c r="J256" s="619">
        <f ca="1">CONST_DIAS_BASE_INTERES + IF(DAY(_Fecha_Pago _Anterior)&gt;=Const_Dia_Corte_Aniversario,MAX(CONST_DIAS_LIMITE-DAY(_Fecha_Pago _Anterior),1))</f>
        <v>30</v>
      </c>
      <c r="K256" s="618"/>
      <c r="L256" s="76">
        <f t="shared" ca="1" si="18"/>
        <v>49826</v>
      </c>
      <c r="M256" s="30">
        <f>_DPP _Mensual_AEN</f>
        <v>30</v>
      </c>
      <c r="N256" s="618"/>
      <c r="O256" s="76">
        <f ca="1">IF(DAY(O255 + 1) &lt;= _DPP _Quincenal,
DATE(YEAR(O255 + 1),MONTH( O255 + 1), _DPP _Quincenal ),
EOMONTH( O255 + 1,0))</f>
        <v>46203</v>
      </c>
      <c r="P256" s="30">
        <f>_DPP _Quincenal</f>
        <v>15</v>
      </c>
      <c r="Q256" s="618"/>
      <c r="R256" s="76">
        <f ca="1">IF(DAY(R255 + 1) &lt;= _DPP _Decenal,
DATE(YEAR(R255 + 1),MONTH(R255 + 1),_DPP _Decenal),
IF(DAY(R255 + 1) &lt;= (_DPP _Decenal*2),
DATE(YEAR(R255 + 1),MONTH(R255 + 1),(_DPP _Decenal*2)),EOMONTH(R255 + 1,0)))</f>
        <v>44995</v>
      </c>
      <c r="S256" s="30">
        <f>_DPP _Decenal</f>
        <v>10</v>
      </c>
      <c r="T256" s="618"/>
      <c r="U256" s="76">
        <f t="shared" ca="1" si="17"/>
        <v>49724</v>
      </c>
      <c r="V256" s="30">
        <f t="shared" ca="1" si="19"/>
        <v>30</v>
      </c>
    </row>
    <row r="257" spans="5:22" x14ac:dyDescent="0.3">
      <c r="E257" s="98">
        <f t="shared" si="15"/>
        <v>30</v>
      </c>
      <c r="F257" s="583">
        <f ca="1">INDEX(_Datos 257:257,,MATCH(_Búsqueda_Fechas_Pago, _Datos _Headers,0))</f>
        <v>49859</v>
      </c>
      <c r="G257" s="619">
        <f ca="1">INDEX(_Datos 257:257,,MATCH(_Búsqueda_Duración, _Datos _Headers,0))</f>
        <v>30</v>
      </c>
      <c r="H257" s="618"/>
      <c r="I257" s="76">
        <f t="shared" ca="1" si="16"/>
        <v>49859</v>
      </c>
      <c r="J257" s="619">
        <f ca="1">CONST_DIAS_BASE_INTERES + IF(DAY(_Fecha_Pago _Anterior)&gt;=Const_Dia_Corte_Aniversario,MAX(CONST_DIAS_LIMITE-DAY(_Fecha_Pago _Anterior),1))</f>
        <v>30</v>
      </c>
      <c r="K257" s="618"/>
      <c r="L257" s="76">
        <f t="shared" ca="1" si="18"/>
        <v>49856</v>
      </c>
      <c r="M257" s="30">
        <f>_DPP _Mensual_AEN</f>
        <v>30</v>
      </c>
      <c r="N257" s="618"/>
      <c r="O257" s="76">
        <f ca="1">IF(DAY(O256 + 1) &lt;= _DPP _Quincenal,
DATE(YEAR(O256 + 1),MONTH( O256 + 1), _DPP _Quincenal ),
EOMONTH( O256 + 1,0))</f>
        <v>46218</v>
      </c>
      <c r="P257" s="30">
        <f>_DPP _Quincenal</f>
        <v>15</v>
      </c>
      <c r="Q257" s="618"/>
      <c r="R257" s="76">
        <f ca="1">IF(DAY(R256 + 1) &lt;= _DPP _Decenal,
DATE(YEAR(R256 + 1),MONTH(R256 + 1),_DPP _Decenal),
IF(DAY(R256 + 1) &lt;= (_DPP _Decenal*2),
DATE(YEAR(R256 + 1),MONTH(R256 + 1),(_DPP _Decenal*2)),EOMONTH(R256 + 1,0)))</f>
        <v>45005</v>
      </c>
      <c r="S257" s="30">
        <f>_DPP _Decenal</f>
        <v>10</v>
      </c>
      <c r="T257" s="618"/>
      <c r="U257" s="76">
        <f t="shared" ca="1" si="17"/>
        <v>49754</v>
      </c>
      <c r="V257" s="30">
        <f t="shared" ca="1" si="19"/>
        <v>30</v>
      </c>
    </row>
    <row r="258" spans="5:22" x14ac:dyDescent="0.3">
      <c r="E258" s="98">
        <f t="shared" si="15"/>
        <v>30</v>
      </c>
      <c r="F258" s="583">
        <f ca="1">INDEX(_Datos 258:258,,MATCH(_Búsqueda_Fechas_Pago, _Datos _Headers,0))</f>
        <v>49890</v>
      </c>
      <c r="G258" s="619">
        <f ca="1">INDEX(_Datos 258:258,,MATCH(_Búsqueda_Duración, _Datos _Headers,0))</f>
        <v>30</v>
      </c>
      <c r="H258" s="618"/>
      <c r="I258" s="76">
        <f t="shared" ca="1" si="16"/>
        <v>49890</v>
      </c>
      <c r="J258" s="619">
        <f ca="1">CONST_DIAS_BASE_INTERES + IF(DAY(_Fecha_Pago _Anterior)&gt;=Const_Dia_Corte_Aniversario,MAX(CONST_DIAS_LIMITE-DAY(_Fecha_Pago _Anterior),1))</f>
        <v>30</v>
      </c>
      <c r="K258" s="618"/>
      <c r="L258" s="76">
        <f t="shared" ca="1" si="18"/>
        <v>49887</v>
      </c>
      <c r="M258" s="30">
        <f>_DPP _Mensual_AEN</f>
        <v>30</v>
      </c>
      <c r="N258" s="618"/>
      <c r="O258" s="76">
        <f ca="1">IF(DAY(O257 + 1) &lt;= _DPP _Quincenal,
DATE(YEAR(O257 + 1),MONTH( O257 + 1), _DPP _Quincenal ),
EOMONTH( O257 + 1,0))</f>
        <v>46234</v>
      </c>
      <c r="P258" s="30">
        <f>_DPP _Quincenal</f>
        <v>15</v>
      </c>
      <c r="Q258" s="618"/>
      <c r="R258" s="76">
        <f ca="1">IF(DAY(R257 + 1) &lt;= _DPP _Decenal,
DATE(YEAR(R257 + 1),MONTH(R257 + 1),_DPP _Decenal),
IF(DAY(R257 + 1) &lt;= (_DPP _Decenal*2),
DATE(YEAR(R257 + 1),MONTH(R257 + 1),(_DPP _Decenal*2)),EOMONTH(R257 + 1,0)))</f>
        <v>45016</v>
      </c>
      <c r="S258" s="30">
        <f>_DPP _Decenal</f>
        <v>10</v>
      </c>
      <c r="T258" s="618"/>
      <c r="U258" s="76">
        <f t="shared" ca="1" si="17"/>
        <v>49784</v>
      </c>
      <c r="V258" s="30">
        <f t="shared" ca="1" si="19"/>
        <v>30</v>
      </c>
    </row>
    <row r="259" spans="5:22" x14ac:dyDescent="0.3">
      <c r="E259" s="98">
        <f t="shared" si="15"/>
        <v>30</v>
      </c>
      <c r="F259" s="583">
        <f ca="1">INDEX(_Datos 259:259,,MATCH(_Búsqueda_Fechas_Pago, _Datos _Headers,0))</f>
        <v>49921</v>
      </c>
      <c r="G259" s="619">
        <f ca="1">INDEX(_Datos 259:259,,MATCH(_Búsqueda_Duración, _Datos _Headers,0))</f>
        <v>30</v>
      </c>
      <c r="H259" s="618"/>
      <c r="I259" s="76">
        <f t="shared" ca="1" si="16"/>
        <v>49921</v>
      </c>
      <c r="J259" s="619">
        <f ca="1">CONST_DIAS_BASE_INTERES + IF(DAY(_Fecha_Pago _Anterior)&gt;=Const_Dia_Corte_Aniversario,MAX(CONST_DIAS_LIMITE-DAY(_Fecha_Pago _Anterior),1))</f>
        <v>30</v>
      </c>
      <c r="K259" s="618"/>
      <c r="L259" s="76">
        <f t="shared" ca="1" si="18"/>
        <v>49918</v>
      </c>
      <c r="M259" s="30">
        <f>_DPP _Mensual_AEN</f>
        <v>30</v>
      </c>
      <c r="N259" s="618"/>
      <c r="O259" s="76">
        <f ca="1">IF(DAY(O258 + 1) &lt;= _DPP _Quincenal,
DATE(YEAR(O258 + 1),MONTH( O258 + 1), _DPP _Quincenal ),
EOMONTH( O258 + 1,0))</f>
        <v>46249</v>
      </c>
      <c r="P259" s="30">
        <f>_DPP _Quincenal</f>
        <v>15</v>
      </c>
      <c r="Q259" s="618"/>
      <c r="R259" s="76">
        <f ca="1">IF(DAY(R258 + 1) &lt;= _DPP _Decenal,
DATE(YEAR(R258 + 1),MONTH(R258 + 1),_DPP _Decenal),
IF(DAY(R258 + 1) &lt;= (_DPP _Decenal*2),
DATE(YEAR(R258 + 1),MONTH(R258 + 1),(_DPP _Decenal*2)),EOMONTH(R258 + 1,0)))</f>
        <v>45026</v>
      </c>
      <c r="S259" s="30">
        <f>_DPP _Decenal</f>
        <v>10</v>
      </c>
      <c r="T259" s="618"/>
      <c r="U259" s="76">
        <f t="shared" ca="1" si="17"/>
        <v>49814</v>
      </c>
      <c r="V259" s="30">
        <f t="shared" ca="1" si="19"/>
        <v>30</v>
      </c>
    </row>
    <row r="260" spans="5:22" x14ac:dyDescent="0.3">
      <c r="E260" s="98">
        <f t="shared" si="15"/>
        <v>30</v>
      </c>
      <c r="F260" s="583">
        <f ca="1">INDEX(_Datos 260:260,,MATCH(_Búsqueda_Fechas_Pago, _Datos _Headers,0))</f>
        <v>49951</v>
      </c>
      <c r="G260" s="619">
        <f ca="1">INDEX(_Datos 260:260,,MATCH(_Búsqueda_Duración, _Datos _Headers,0))</f>
        <v>30</v>
      </c>
      <c r="H260" s="618"/>
      <c r="I260" s="76">
        <f t="shared" ca="1" si="16"/>
        <v>49951</v>
      </c>
      <c r="J260" s="619">
        <f ca="1">CONST_DIAS_BASE_INTERES + IF(DAY(_Fecha_Pago _Anterior)&gt;=Const_Dia_Corte_Aniversario,MAX(CONST_DIAS_LIMITE-DAY(_Fecha_Pago _Anterior),1))</f>
        <v>30</v>
      </c>
      <c r="K260" s="618"/>
      <c r="L260" s="76">
        <f t="shared" ca="1" si="18"/>
        <v>49948</v>
      </c>
      <c r="M260" s="30">
        <f>_DPP _Mensual_AEN</f>
        <v>30</v>
      </c>
      <c r="N260" s="618"/>
      <c r="O260" s="76">
        <f ca="1">IF(DAY(O259 + 1) &lt;= _DPP _Quincenal,
DATE(YEAR(O259 + 1),MONTH( O259 + 1), _DPP _Quincenal ),
EOMONTH( O259 + 1,0))</f>
        <v>46265</v>
      </c>
      <c r="P260" s="30">
        <f>_DPP _Quincenal</f>
        <v>15</v>
      </c>
      <c r="Q260" s="618"/>
      <c r="R260" s="76">
        <f ca="1">IF(DAY(R259 + 1) &lt;= _DPP _Decenal,
DATE(YEAR(R259 + 1),MONTH(R259 + 1),_DPP _Decenal),
IF(DAY(R259 + 1) &lt;= (_DPP _Decenal*2),
DATE(YEAR(R259 + 1),MONTH(R259 + 1),(_DPP _Decenal*2)),EOMONTH(R259 + 1,0)))</f>
        <v>45036</v>
      </c>
      <c r="S260" s="30">
        <f>_DPP _Decenal</f>
        <v>10</v>
      </c>
      <c r="T260" s="618"/>
      <c r="U260" s="76">
        <f t="shared" ca="1" si="17"/>
        <v>49844</v>
      </c>
      <c r="V260" s="30">
        <f t="shared" ca="1" si="19"/>
        <v>30</v>
      </c>
    </row>
    <row r="261" spans="5:22" x14ac:dyDescent="0.3">
      <c r="E261" s="98">
        <f t="shared" si="15"/>
        <v>30</v>
      </c>
      <c r="F261" s="583">
        <f ca="1">INDEX(_Datos 261:261,,MATCH(_Búsqueda_Fechas_Pago, _Datos _Headers,0))</f>
        <v>49982</v>
      </c>
      <c r="G261" s="619">
        <f ca="1">INDEX(_Datos 261:261,,MATCH(_Búsqueda_Duración, _Datos _Headers,0))</f>
        <v>30</v>
      </c>
      <c r="H261" s="618"/>
      <c r="I261" s="76">
        <f t="shared" ca="1" si="16"/>
        <v>49982</v>
      </c>
      <c r="J261" s="619">
        <f ca="1">CONST_DIAS_BASE_INTERES + IF(DAY(_Fecha_Pago _Anterior)&gt;=Const_Dia_Corte_Aniversario,MAX(CONST_DIAS_LIMITE-DAY(_Fecha_Pago _Anterior),1))</f>
        <v>30</v>
      </c>
      <c r="K261" s="618"/>
      <c r="L261" s="76">
        <f t="shared" ca="1" si="18"/>
        <v>49979</v>
      </c>
      <c r="M261" s="30">
        <f>_DPP _Mensual_AEN</f>
        <v>30</v>
      </c>
      <c r="N261" s="618"/>
      <c r="O261" s="76">
        <f ca="1">IF(DAY(O260 + 1) &lt;= _DPP _Quincenal,
DATE(YEAR(O260 + 1),MONTH( O260 + 1), _DPP _Quincenal ),
EOMONTH( O260 + 1,0))</f>
        <v>46280</v>
      </c>
      <c r="P261" s="30">
        <f>_DPP _Quincenal</f>
        <v>15</v>
      </c>
      <c r="Q261" s="618"/>
      <c r="R261" s="76">
        <f ca="1">IF(DAY(R260 + 1) &lt;= _DPP _Decenal,
DATE(YEAR(R260 + 1),MONTH(R260 + 1),_DPP _Decenal),
IF(DAY(R260 + 1) &lt;= (_DPP _Decenal*2),
DATE(YEAR(R260 + 1),MONTH(R260 + 1),(_DPP _Decenal*2)),EOMONTH(R260 + 1,0)))</f>
        <v>45046</v>
      </c>
      <c r="S261" s="30">
        <f>_DPP _Decenal</f>
        <v>10</v>
      </c>
      <c r="T261" s="618"/>
      <c r="U261" s="76">
        <f t="shared" ca="1" si="17"/>
        <v>49874</v>
      </c>
      <c r="V261" s="30">
        <f t="shared" ca="1" si="19"/>
        <v>30</v>
      </c>
    </row>
    <row r="262" spans="5:22" x14ac:dyDescent="0.3">
      <c r="E262" s="98">
        <f t="shared" si="15"/>
        <v>30</v>
      </c>
      <c r="F262" s="583">
        <f ca="1">INDEX(_Datos 262:262,,MATCH(_Búsqueda_Fechas_Pago, _Datos _Headers,0))</f>
        <v>50012</v>
      </c>
      <c r="G262" s="619">
        <f ca="1">INDEX(_Datos 262:262,,MATCH(_Búsqueda_Duración, _Datos _Headers,0))</f>
        <v>30</v>
      </c>
      <c r="H262" s="618"/>
      <c r="I262" s="76">
        <f t="shared" ca="1" si="16"/>
        <v>50012</v>
      </c>
      <c r="J262" s="619">
        <f ca="1">CONST_DIAS_BASE_INTERES + IF(DAY(_Fecha_Pago _Anterior)&gt;=Const_Dia_Corte_Aniversario,MAX(CONST_DIAS_LIMITE-DAY(_Fecha_Pago _Anterior),1))</f>
        <v>30</v>
      </c>
      <c r="K262" s="618"/>
      <c r="L262" s="76">
        <f t="shared" ca="1" si="18"/>
        <v>50009</v>
      </c>
      <c r="M262" s="30">
        <f>_DPP _Mensual_AEN</f>
        <v>30</v>
      </c>
      <c r="N262" s="618"/>
      <c r="O262" s="76">
        <f ca="1">IF(DAY(O261 + 1) &lt;= _DPP _Quincenal,
DATE(YEAR(O261 + 1),MONTH( O261 + 1), _DPP _Quincenal ),
EOMONTH( O261 + 1,0))</f>
        <v>46295</v>
      </c>
      <c r="P262" s="30">
        <f>_DPP _Quincenal</f>
        <v>15</v>
      </c>
      <c r="Q262" s="618"/>
      <c r="R262" s="76">
        <f ca="1">IF(DAY(R261 + 1) &lt;= _DPP _Decenal,
DATE(YEAR(R261 + 1),MONTH(R261 + 1),_DPP _Decenal),
IF(DAY(R261 + 1) &lt;= (_DPP _Decenal*2),
DATE(YEAR(R261 + 1),MONTH(R261 + 1),(_DPP _Decenal*2)),EOMONTH(R261 + 1,0)))</f>
        <v>45056</v>
      </c>
      <c r="S262" s="30">
        <f>_DPP _Decenal</f>
        <v>10</v>
      </c>
      <c r="T262" s="618"/>
      <c r="U262" s="76">
        <f t="shared" ca="1" si="17"/>
        <v>49904</v>
      </c>
      <c r="V262" s="30">
        <f t="shared" ca="1" si="19"/>
        <v>30</v>
      </c>
    </row>
    <row r="263" spans="5:22" x14ac:dyDescent="0.3">
      <c r="E263" s="98">
        <f t="shared" si="15"/>
        <v>30</v>
      </c>
      <c r="F263" s="583">
        <f ca="1">INDEX(_Datos 263:263,,MATCH(_Búsqueda_Fechas_Pago, _Datos _Headers,0))</f>
        <v>50043</v>
      </c>
      <c r="G263" s="619">
        <f ca="1">INDEX(_Datos 263:263,,MATCH(_Búsqueda_Duración, _Datos _Headers,0))</f>
        <v>30</v>
      </c>
      <c r="H263" s="618"/>
      <c r="I263" s="76">
        <f t="shared" ca="1" si="16"/>
        <v>50043</v>
      </c>
      <c r="J263" s="619">
        <f ca="1">CONST_DIAS_BASE_INTERES + IF(DAY(_Fecha_Pago _Anterior)&gt;=Const_Dia_Corte_Aniversario,MAX(CONST_DIAS_LIMITE-DAY(_Fecha_Pago _Anterior),1))</f>
        <v>30</v>
      </c>
      <c r="K263" s="618"/>
      <c r="L263" s="76">
        <f t="shared" ca="1" si="18"/>
        <v>50040</v>
      </c>
      <c r="M263" s="30">
        <f>_DPP _Mensual_AEN</f>
        <v>30</v>
      </c>
      <c r="N263" s="618"/>
      <c r="O263" s="76">
        <f ca="1">IF(DAY(O262 + 1) &lt;= _DPP _Quincenal,
DATE(YEAR(O262 + 1),MONTH( O262 + 1), _DPP _Quincenal ),
EOMONTH( O262 + 1,0))</f>
        <v>46310</v>
      </c>
      <c r="P263" s="30">
        <f>_DPP _Quincenal</f>
        <v>15</v>
      </c>
      <c r="Q263" s="618"/>
      <c r="R263" s="76">
        <f ca="1">IF(DAY(R262 + 1) &lt;= _DPP _Decenal,
DATE(YEAR(R262 + 1),MONTH(R262 + 1),_DPP _Decenal),
IF(DAY(R262 + 1) &lt;= (_DPP _Decenal*2),
DATE(YEAR(R262 + 1),MONTH(R262 + 1),(_DPP _Decenal*2)),EOMONTH(R262 + 1,0)))</f>
        <v>45066</v>
      </c>
      <c r="S263" s="30">
        <f>_DPP _Decenal</f>
        <v>10</v>
      </c>
      <c r="T263" s="618"/>
      <c r="U263" s="76">
        <f t="shared" ca="1" si="17"/>
        <v>49934</v>
      </c>
      <c r="V263" s="30">
        <f t="shared" ca="1" si="19"/>
        <v>30</v>
      </c>
    </row>
    <row r="264" spans="5:22" x14ac:dyDescent="0.3">
      <c r="E264" s="98">
        <f t="shared" si="15"/>
        <v>30</v>
      </c>
      <c r="F264" s="583">
        <f ca="1">INDEX(_Datos 264:264,,MATCH(_Búsqueda_Fechas_Pago, _Datos _Headers,0))</f>
        <v>50074</v>
      </c>
      <c r="G264" s="619">
        <f ca="1">INDEX(_Datos 264:264,,MATCH(_Búsqueda_Duración, _Datos _Headers,0))</f>
        <v>30</v>
      </c>
      <c r="H264" s="618"/>
      <c r="I264" s="76">
        <f t="shared" ca="1" si="16"/>
        <v>50074</v>
      </c>
      <c r="J264" s="619">
        <f ca="1">CONST_DIAS_BASE_INTERES + IF(DAY(_Fecha_Pago _Anterior)&gt;=Const_Dia_Corte_Aniversario,MAX(CONST_DIAS_LIMITE-DAY(_Fecha_Pago _Anterior),1))</f>
        <v>30</v>
      </c>
      <c r="K264" s="618"/>
      <c r="L264" s="76">
        <f t="shared" ca="1" si="18"/>
        <v>50071</v>
      </c>
      <c r="M264" s="30">
        <f>_DPP _Mensual_AEN</f>
        <v>30</v>
      </c>
      <c r="N264" s="618"/>
      <c r="O264" s="76">
        <f ca="1">IF(DAY(O263 + 1) &lt;= _DPP _Quincenal,
DATE(YEAR(O263 + 1),MONTH( O263 + 1), _DPP _Quincenal ),
EOMONTH( O263 + 1,0))</f>
        <v>46326</v>
      </c>
      <c r="P264" s="30">
        <f>_DPP _Quincenal</f>
        <v>15</v>
      </c>
      <c r="Q264" s="618"/>
      <c r="R264" s="76">
        <f ca="1">IF(DAY(R263 + 1) &lt;= _DPP _Decenal,
DATE(YEAR(R263 + 1),MONTH(R263 + 1),_DPP _Decenal),
IF(DAY(R263 + 1) &lt;= (_DPP _Decenal*2),
DATE(YEAR(R263 + 1),MONTH(R263 + 1),(_DPP _Decenal*2)),EOMONTH(R263 + 1,0)))</f>
        <v>45077</v>
      </c>
      <c r="S264" s="30">
        <f>_DPP _Decenal</f>
        <v>10</v>
      </c>
      <c r="T264" s="618"/>
      <c r="U264" s="76">
        <f t="shared" ca="1" si="17"/>
        <v>49964</v>
      </c>
      <c r="V264" s="30">
        <f t="shared" ca="1" si="19"/>
        <v>30</v>
      </c>
    </row>
    <row r="265" spans="5:22" x14ac:dyDescent="0.3">
      <c r="E265" s="98">
        <f t="shared" si="15"/>
        <v>30</v>
      </c>
      <c r="F265" s="583">
        <f ca="1">INDEX(_Datos 265:265,,MATCH(_Búsqueda_Fechas_Pago, _Datos _Headers,0))</f>
        <v>50102</v>
      </c>
      <c r="G265" s="619">
        <f ca="1">INDEX(_Datos 265:265,,MATCH(_Búsqueda_Duración, _Datos _Headers,0))</f>
        <v>30</v>
      </c>
      <c r="H265" s="618"/>
      <c r="I265" s="76">
        <f t="shared" ca="1" si="16"/>
        <v>50102</v>
      </c>
      <c r="J265" s="619">
        <f ca="1">CONST_DIAS_BASE_INTERES + IF(DAY(_Fecha_Pago _Anterior)&gt;=Const_Dia_Corte_Aniversario,MAX(CONST_DIAS_LIMITE-DAY(_Fecha_Pago _Anterior),1))</f>
        <v>30</v>
      </c>
      <c r="K265" s="618"/>
      <c r="L265" s="76">
        <f t="shared" ca="1" si="18"/>
        <v>50099</v>
      </c>
      <c r="M265" s="30">
        <f>_DPP _Mensual_AEN</f>
        <v>30</v>
      </c>
      <c r="N265" s="618"/>
      <c r="O265" s="76">
        <f ca="1">IF(DAY(O264 + 1) &lt;= _DPP _Quincenal,
DATE(YEAR(O264 + 1),MONTH( O264 + 1), _DPP _Quincenal ),
EOMONTH( O264 + 1,0))</f>
        <v>46341</v>
      </c>
      <c r="P265" s="30">
        <f>_DPP _Quincenal</f>
        <v>15</v>
      </c>
      <c r="Q265" s="618"/>
      <c r="R265" s="76">
        <f ca="1">IF(DAY(R264 + 1) &lt;= _DPP _Decenal,
DATE(YEAR(R264 + 1),MONTH(R264 + 1),_DPP _Decenal),
IF(DAY(R264 + 1) &lt;= (_DPP _Decenal*2),
DATE(YEAR(R264 + 1),MONTH(R264 + 1),(_DPP _Decenal*2)),EOMONTH(R264 + 1,0)))</f>
        <v>45087</v>
      </c>
      <c r="S265" s="30">
        <f>_DPP _Decenal</f>
        <v>10</v>
      </c>
      <c r="T265" s="618"/>
      <c r="U265" s="76">
        <f t="shared" ca="1" si="17"/>
        <v>49994</v>
      </c>
      <c r="V265" s="30">
        <f t="shared" ca="1" si="19"/>
        <v>30</v>
      </c>
    </row>
    <row r="266" spans="5:22" x14ac:dyDescent="0.3">
      <c r="E266" s="98">
        <f t="shared" si="15"/>
        <v>30</v>
      </c>
      <c r="F266" s="583">
        <f ca="1">INDEX(_Datos 266:266,,MATCH(_Búsqueda_Fechas_Pago, _Datos _Headers,0))</f>
        <v>50133</v>
      </c>
      <c r="G266" s="619">
        <f ca="1">INDEX(_Datos 266:266,,MATCH(_Búsqueda_Duración, _Datos _Headers,0))</f>
        <v>30</v>
      </c>
      <c r="H266" s="618"/>
      <c r="I266" s="76">
        <f t="shared" ca="1" si="16"/>
        <v>50133</v>
      </c>
      <c r="J266" s="619">
        <f ca="1">CONST_DIAS_BASE_INTERES + IF(DAY(_Fecha_Pago _Anterior)&gt;=Const_Dia_Corte_Aniversario,MAX(CONST_DIAS_LIMITE-DAY(_Fecha_Pago _Anterior),1))</f>
        <v>30</v>
      </c>
      <c r="K266" s="618"/>
      <c r="L266" s="76">
        <f t="shared" ca="1" si="18"/>
        <v>50130</v>
      </c>
      <c r="M266" s="30">
        <f>_DPP _Mensual_AEN</f>
        <v>30</v>
      </c>
      <c r="N266" s="618"/>
      <c r="O266" s="76">
        <f ca="1">IF(DAY(O265 + 1) &lt;= _DPP _Quincenal,
DATE(YEAR(O265 + 1),MONTH( O265 + 1), _DPP _Quincenal ),
EOMONTH( O265 + 1,0))</f>
        <v>46356</v>
      </c>
      <c r="P266" s="30">
        <f>_DPP _Quincenal</f>
        <v>15</v>
      </c>
      <c r="Q266" s="618"/>
      <c r="R266" s="76">
        <f ca="1">IF(DAY(R265 + 1) &lt;= _DPP _Decenal,
DATE(YEAR(R265 + 1),MONTH(R265 + 1),_DPP _Decenal),
IF(DAY(R265 + 1) &lt;= (_DPP _Decenal*2),
DATE(YEAR(R265 + 1),MONTH(R265 + 1),(_DPP _Decenal*2)),EOMONTH(R265 + 1,0)))</f>
        <v>45097</v>
      </c>
      <c r="S266" s="30">
        <f>_DPP _Decenal</f>
        <v>10</v>
      </c>
      <c r="T266" s="618"/>
      <c r="U266" s="76">
        <f t="shared" ca="1" si="17"/>
        <v>50024</v>
      </c>
      <c r="V266" s="30">
        <f t="shared" ca="1" si="19"/>
        <v>30</v>
      </c>
    </row>
    <row r="267" spans="5:22" x14ac:dyDescent="0.3">
      <c r="E267" s="98">
        <f t="shared" si="15"/>
        <v>30</v>
      </c>
      <c r="F267" s="583">
        <f ca="1">INDEX(_Datos 267:267,,MATCH(_Búsqueda_Fechas_Pago, _Datos _Headers,0))</f>
        <v>50163</v>
      </c>
      <c r="G267" s="619">
        <f ca="1">INDEX(_Datos 267:267,,MATCH(_Búsqueda_Duración, _Datos _Headers,0))</f>
        <v>30</v>
      </c>
      <c r="H267" s="618"/>
      <c r="I267" s="76">
        <f t="shared" ca="1" si="16"/>
        <v>50163</v>
      </c>
      <c r="J267" s="619">
        <f ca="1">CONST_DIAS_BASE_INTERES + IF(DAY(_Fecha_Pago _Anterior)&gt;=Const_Dia_Corte_Aniversario,MAX(CONST_DIAS_LIMITE-DAY(_Fecha_Pago _Anterior),1))</f>
        <v>30</v>
      </c>
      <c r="K267" s="618"/>
      <c r="L267" s="76">
        <f t="shared" ca="1" si="18"/>
        <v>50160</v>
      </c>
      <c r="M267" s="30">
        <f>_DPP _Mensual_AEN</f>
        <v>30</v>
      </c>
      <c r="N267" s="618"/>
      <c r="O267" s="76">
        <f ca="1">IF(DAY(O266 + 1) &lt;= _DPP _Quincenal,
DATE(YEAR(O266 + 1),MONTH( O266 + 1), _DPP _Quincenal ),
EOMONTH( O266 + 1,0))</f>
        <v>46371</v>
      </c>
      <c r="P267" s="30">
        <f>_DPP _Quincenal</f>
        <v>15</v>
      </c>
      <c r="Q267" s="618"/>
      <c r="R267" s="76">
        <f ca="1">IF(DAY(R266 + 1) &lt;= _DPP _Decenal,
DATE(YEAR(R266 + 1),MONTH(R266 + 1),_DPP _Decenal),
IF(DAY(R266 + 1) &lt;= (_DPP _Decenal*2),
DATE(YEAR(R266 + 1),MONTH(R266 + 1),(_DPP _Decenal*2)),EOMONTH(R266 + 1,0)))</f>
        <v>45107</v>
      </c>
      <c r="S267" s="30">
        <f>_DPP _Decenal</f>
        <v>10</v>
      </c>
      <c r="T267" s="618"/>
      <c r="U267" s="76">
        <f t="shared" ca="1" si="17"/>
        <v>50054</v>
      </c>
      <c r="V267" s="30">
        <f t="shared" ca="1" si="19"/>
        <v>30</v>
      </c>
    </row>
    <row r="268" spans="5:22" x14ac:dyDescent="0.3">
      <c r="E268" s="98">
        <f t="shared" si="15"/>
        <v>30</v>
      </c>
      <c r="F268" s="583">
        <f ca="1">INDEX(_Datos 268:268,,MATCH(_Búsqueda_Fechas_Pago, _Datos _Headers,0))</f>
        <v>50194</v>
      </c>
      <c r="G268" s="619">
        <f ca="1">INDEX(_Datos 268:268,,MATCH(_Búsqueda_Duración, _Datos _Headers,0))</f>
        <v>30</v>
      </c>
      <c r="H268" s="618"/>
      <c r="I268" s="76">
        <f t="shared" ca="1" si="16"/>
        <v>50194</v>
      </c>
      <c r="J268" s="619">
        <f ca="1">CONST_DIAS_BASE_INTERES + IF(DAY(_Fecha_Pago _Anterior)&gt;=Const_Dia_Corte_Aniversario,MAX(CONST_DIAS_LIMITE-DAY(_Fecha_Pago _Anterior),1))</f>
        <v>30</v>
      </c>
      <c r="K268" s="618"/>
      <c r="L268" s="76">
        <f t="shared" ca="1" si="18"/>
        <v>50191</v>
      </c>
      <c r="M268" s="30">
        <f>_DPP _Mensual_AEN</f>
        <v>30</v>
      </c>
      <c r="N268" s="618"/>
      <c r="O268" s="76">
        <f ca="1">IF(DAY(O267 + 1) &lt;= _DPP _Quincenal,
DATE(YEAR(O267 + 1),MONTH( O267 + 1), _DPP _Quincenal ),
EOMONTH( O267 + 1,0))</f>
        <v>46387</v>
      </c>
      <c r="P268" s="30">
        <f>_DPP _Quincenal</f>
        <v>15</v>
      </c>
      <c r="Q268" s="618"/>
      <c r="R268" s="76">
        <f ca="1">IF(DAY(R267 + 1) &lt;= _DPP _Decenal,
DATE(YEAR(R267 + 1),MONTH(R267 + 1),_DPP _Decenal),
IF(DAY(R267 + 1) &lt;= (_DPP _Decenal*2),
DATE(YEAR(R267 + 1),MONTH(R267 + 1),(_DPP _Decenal*2)),EOMONTH(R267 + 1,0)))</f>
        <v>45117</v>
      </c>
      <c r="S268" s="30">
        <f>_DPP _Decenal</f>
        <v>10</v>
      </c>
      <c r="T268" s="618"/>
      <c r="U268" s="76">
        <f t="shared" ca="1" si="17"/>
        <v>50084</v>
      </c>
      <c r="V268" s="30">
        <f t="shared" ca="1" si="19"/>
        <v>30</v>
      </c>
    </row>
    <row r="269" spans="5:22" x14ac:dyDescent="0.3">
      <c r="E269" s="98">
        <f t="shared" si="15"/>
        <v>30</v>
      </c>
      <c r="F269" s="583">
        <f ca="1">INDEX(_Datos 269:269,,MATCH(_Búsqueda_Fechas_Pago, _Datos _Headers,0))</f>
        <v>50224</v>
      </c>
      <c r="G269" s="619">
        <f ca="1">INDEX(_Datos 269:269,,MATCH(_Búsqueda_Duración, _Datos _Headers,0))</f>
        <v>30</v>
      </c>
      <c r="H269" s="618"/>
      <c r="I269" s="76">
        <f t="shared" ca="1" si="16"/>
        <v>50224</v>
      </c>
      <c r="J269" s="619">
        <f ca="1">CONST_DIAS_BASE_INTERES + IF(DAY(_Fecha_Pago _Anterior)&gt;=Const_Dia_Corte_Aniversario,MAX(CONST_DIAS_LIMITE-DAY(_Fecha_Pago _Anterior),1))</f>
        <v>30</v>
      </c>
      <c r="K269" s="618"/>
      <c r="L269" s="76">
        <f t="shared" ca="1" si="18"/>
        <v>50221</v>
      </c>
      <c r="M269" s="30">
        <f>_DPP _Mensual_AEN</f>
        <v>30</v>
      </c>
      <c r="N269" s="618"/>
      <c r="O269" s="76">
        <f ca="1">IF(DAY(O268 + 1) &lt;= _DPP _Quincenal,
DATE(YEAR(O268 + 1),MONTH( O268 + 1), _DPP _Quincenal ),
EOMONTH( O268 + 1,0))</f>
        <v>46402</v>
      </c>
      <c r="P269" s="30">
        <f>_DPP _Quincenal</f>
        <v>15</v>
      </c>
      <c r="Q269" s="618"/>
      <c r="R269" s="76">
        <f ca="1">IF(DAY(R268 + 1) &lt;= _DPP _Decenal,
DATE(YEAR(R268 + 1),MONTH(R268 + 1),_DPP _Decenal),
IF(DAY(R268 + 1) &lt;= (_DPP _Decenal*2),
DATE(YEAR(R268 + 1),MONTH(R268 + 1),(_DPP _Decenal*2)),EOMONTH(R268 + 1,0)))</f>
        <v>45127</v>
      </c>
      <c r="S269" s="30">
        <f>_DPP _Decenal</f>
        <v>10</v>
      </c>
      <c r="T269" s="618"/>
      <c r="U269" s="76">
        <f t="shared" ca="1" si="17"/>
        <v>50114</v>
      </c>
      <c r="V269" s="30">
        <f t="shared" ca="1" si="19"/>
        <v>30</v>
      </c>
    </row>
    <row r="270" spans="5:22" x14ac:dyDescent="0.3">
      <c r="E270" s="98">
        <f t="shared" si="15"/>
        <v>30</v>
      </c>
      <c r="F270" s="583">
        <f ca="1">INDEX(_Datos 270:270,,MATCH(_Búsqueda_Fechas_Pago, _Datos _Headers,0))</f>
        <v>50255</v>
      </c>
      <c r="G270" s="619">
        <f ca="1">INDEX(_Datos 270:270,,MATCH(_Búsqueda_Duración, _Datos _Headers,0))</f>
        <v>30</v>
      </c>
      <c r="H270" s="618"/>
      <c r="I270" s="76">
        <f t="shared" ca="1" si="16"/>
        <v>50255</v>
      </c>
      <c r="J270" s="619">
        <f ca="1">CONST_DIAS_BASE_INTERES + IF(DAY(_Fecha_Pago _Anterior)&gt;=Const_Dia_Corte_Aniversario,MAX(CONST_DIAS_LIMITE-DAY(_Fecha_Pago _Anterior),1))</f>
        <v>30</v>
      </c>
      <c r="K270" s="618"/>
      <c r="L270" s="76">
        <f t="shared" ca="1" si="18"/>
        <v>50252</v>
      </c>
      <c r="M270" s="30">
        <f>_DPP _Mensual_AEN</f>
        <v>30</v>
      </c>
      <c r="N270" s="618"/>
      <c r="O270" s="76">
        <f ca="1">IF(DAY(O269 + 1) &lt;= _DPP _Quincenal,
DATE(YEAR(O269 + 1),MONTH( O269 + 1), _DPP _Quincenal ),
EOMONTH( O269 + 1,0))</f>
        <v>46418</v>
      </c>
      <c r="P270" s="30">
        <f>_DPP _Quincenal</f>
        <v>15</v>
      </c>
      <c r="Q270" s="618"/>
      <c r="R270" s="76">
        <f ca="1">IF(DAY(R269 + 1) &lt;= _DPP _Decenal,
DATE(YEAR(R269 + 1),MONTH(R269 + 1),_DPP _Decenal),
IF(DAY(R269 + 1) &lt;= (_DPP _Decenal*2),
DATE(YEAR(R269 + 1),MONTH(R269 + 1),(_DPP _Decenal*2)),EOMONTH(R269 + 1,0)))</f>
        <v>45138</v>
      </c>
      <c r="S270" s="30">
        <f>_DPP _Decenal</f>
        <v>10</v>
      </c>
      <c r="T270" s="618"/>
      <c r="U270" s="76">
        <f t="shared" ca="1" si="17"/>
        <v>50144</v>
      </c>
      <c r="V270" s="30">
        <f t="shared" ca="1" si="19"/>
        <v>30</v>
      </c>
    </row>
    <row r="271" spans="5:22" x14ac:dyDescent="0.3">
      <c r="E271" s="98">
        <f t="shared" si="15"/>
        <v>30</v>
      </c>
      <c r="F271" s="583">
        <f ca="1">INDEX(_Datos 271:271,,MATCH(_Búsqueda_Fechas_Pago, _Datos _Headers,0))</f>
        <v>50286</v>
      </c>
      <c r="G271" s="619">
        <f ca="1">INDEX(_Datos 271:271,,MATCH(_Búsqueda_Duración, _Datos _Headers,0))</f>
        <v>30</v>
      </c>
      <c r="H271" s="618"/>
      <c r="I271" s="76">
        <f t="shared" ca="1" si="16"/>
        <v>50286</v>
      </c>
      <c r="J271" s="619">
        <f ca="1">CONST_DIAS_BASE_INTERES + IF(DAY(_Fecha_Pago _Anterior)&gt;=Const_Dia_Corte_Aniversario,MAX(CONST_DIAS_LIMITE-DAY(_Fecha_Pago _Anterior),1))</f>
        <v>30</v>
      </c>
      <c r="K271" s="618"/>
      <c r="L271" s="76">
        <f t="shared" ca="1" si="18"/>
        <v>50283</v>
      </c>
      <c r="M271" s="30">
        <f>_DPP _Mensual_AEN</f>
        <v>30</v>
      </c>
      <c r="N271" s="618"/>
      <c r="O271" s="76">
        <f ca="1">IF(DAY(O270 + 1) &lt;= _DPP _Quincenal,
DATE(YEAR(O270 + 1),MONTH( O270 + 1), _DPP _Quincenal ),
EOMONTH( O270 + 1,0))</f>
        <v>46433</v>
      </c>
      <c r="P271" s="30">
        <f>_DPP _Quincenal</f>
        <v>15</v>
      </c>
      <c r="Q271" s="618"/>
      <c r="R271" s="76">
        <f ca="1">IF(DAY(R270 + 1) &lt;= _DPP _Decenal,
DATE(YEAR(R270 + 1),MONTH(R270 + 1),_DPP _Decenal),
IF(DAY(R270 + 1) &lt;= (_DPP _Decenal*2),
DATE(YEAR(R270 + 1),MONTH(R270 + 1),(_DPP _Decenal*2)),EOMONTH(R270 + 1,0)))</f>
        <v>45148</v>
      </c>
      <c r="S271" s="30">
        <f>_DPP _Decenal</f>
        <v>10</v>
      </c>
      <c r="T271" s="618"/>
      <c r="U271" s="76">
        <f t="shared" ca="1" si="17"/>
        <v>50174</v>
      </c>
      <c r="V271" s="30">
        <f t="shared" ca="1" si="19"/>
        <v>30</v>
      </c>
    </row>
    <row r="272" spans="5:22" x14ac:dyDescent="0.3">
      <c r="E272" s="98">
        <f t="shared" si="15"/>
        <v>30</v>
      </c>
      <c r="F272" s="583">
        <f ca="1">INDEX(_Datos 272:272,,MATCH(_Búsqueda_Fechas_Pago, _Datos _Headers,0))</f>
        <v>50316</v>
      </c>
      <c r="G272" s="619">
        <f ca="1">INDEX(_Datos 272:272,,MATCH(_Búsqueda_Duración, _Datos _Headers,0))</f>
        <v>30</v>
      </c>
      <c r="H272" s="618"/>
      <c r="I272" s="76">
        <f t="shared" ca="1" si="16"/>
        <v>50316</v>
      </c>
      <c r="J272" s="619">
        <f ca="1">CONST_DIAS_BASE_INTERES + IF(DAY(_Fecha_Pago _Anterior)&gt;=Const_Dia_Corte_Aniversario,MAX(CONST_DIAS_LIMITE-DAY(_Fecha_Pago _Anterior),1))</f>
        <v>30</v>
      </c>
      <c r="K272" s="618"/>
      <c r="L272" s="76">
        <f t="shared" ca="1" si="18"/>
        <v>50313</v>
      </c>
      <c r="M272" s="30">
        <f>_DPP _Mensual_AEN</f>
        <v>30</v>
      </c>
      <c r="N272" s="618"/>
      <c r="O272" s="76">
        <f ca="1">IF(DAY(O271 + 1) &lt;= _DPP _Quincenal,
DATE(YEAR(O271 + 1),MONTH( O271 + 1), _DPP _Quincenal ),
EOMONTH( O271 + 1,0))</f>
        <v>46446</v>
      </c>
      <c r="P272" s="30">
        <f>_DPP _Quincenal</f>
        <v>15</v>
      </c>
      <c r="Q272" s="618"/>
      <c r="R272" s="76">
        <f ca="1">IF(DAY(R271 + 1) &lt;= _DPP _Decenal,
DATE(YEAR(R271 + 1),MONTH(R271 + 1),_DPP _Decenal),
IF(DAY(R271 + 1) &lt;= (_DPP _Decenal*2),
DATE(YEAR(R271 + 1),MONTH(R271 + 1),(_DPP _Decenal*2)),EOMONTH(R271 + 1,0)))</f>
        <v>45158</v>
      </c>
      <c r="S272" s="30">
        <f>_DPP _Decenal</f>
        <v>10</v>
      </c>
      <c r="T272" s="618"/>
      <c r="U272" s="76">
        <f t="shared" ca="1" si="17"/>
        <v>50204</v>
      </c>
      <c r="V272" s="30">
        <f t="shared" ca="1" si="19"/>
        <v>30</v>
      </c>
    </row>
    <row r="273" spans="5:22" x14ac:dyDescent="0.3">
      <c r="E273" s="98">
        <f t="shared" si="15"/>
        <v>30</v>
      </c>
      <c r="F273" s="583">
        <f ca="1">INDEX(_Datos 273:273,,MATCH(_Búsqueda_Fechas_Pago, _Datos _Headers,0))</f>
        <v>50347</v>
      </c>
      <c r="G273" s="619">
        <f ca="1">INDEX(_Datos 273:273,,MATCH(_Búsqueda_Duración, _Datos _Headers,0))</f>
        <v>30</v>
      </c>
      <c r="H273" s="618"/>
      <c r="I273" s="76">
        <f t="shared" ca="1" si="16"/>
        <v>50347</v>
      </c>
      <c r="J273" s="619">
        <f ca="1">CONST_DIAS_BASE_INTERES + IF(DAY(_Fecha_Pago _Anterior)&gt;=Const_Dia_Corte_Aniversario,MAX(CONST_DIAS_LIMITE-DAY(_Fecha_Pago _Anterior),1))</f>
        <v>30</v>
      </c>
      <c r="K273" s="618"/>
      <c r="L273" s="76">
        <f t="shared" ca="1" si="18"/>
        <v>50344</v>
      </c>
      <c r="M273" s="30">
        <f>_DPP _Mensual_AEN</f>
        <v>30</v>
      </c>
      <c r="N273" s="618"/>
      <c r="O273" s="76">
        <f ca="1">IF(DAY(O272 + 1) &lt;= _DPP _Quincenal,
DATE(YEAR(O272 + 1),MONTH( O272 + 1), _DPP _Quincenal ),
EOMONTH( O272 + 1,0))</f>
        <v>46461</v>
      </c>
      <c r="P273" s="30">
        <f>_DPP _Quincenal</f>
        <v>15</v>
      </c>
      <c r="Q273" s="618"/>
      <c r="R273" s="76">
        <f ca="1">IF(DAY(R272 + 1) &lt;= _DPP _Decenal,
DATE(YEAR(R272 + 1),MONTH(R272 + 1),_DPP _Decenal),
IF(DAY(R272 + 1) &lt;= (_DPP _Decenal*2),
DATE(YEAR(R272 + 1),MONTH(R272 + 1),(_DPP _Decenal*2)),EOMONTH(R272 + 1,0)))</f>
        <v>45169</v>
      </c>
      <c r="S273" s="30">
        <f>_DPP _Decenal</f>
        <v>10</v>
      </c>
      <c r="T273" s="618"/>
      <c r="U273" s="76">
        <f t="shared" ca="1" si="17"/>
        <v>50234</v>
      </c>
      <c r="V273" s="30">
        <f t="shared" ca="1" si="19"/>
        <v>30</v>
      </c>
    </row>
    <row r="274" spans="5:22" x14ac:dyDescent="0.3">
      <c r="E274" s="98">
        <f t="shared" si="15"/>
        <v>30</v>
      </c>
      <c r="F274" s="583">
        <f ca="1">INDEX(_Datos 274:274,,MATCH(_Búsqueda_Fechas_Pago, _Datos _Headers,0))</f>
        <v>50377</v>
      </c>
      <c r="G274" s="619">
        <f ca="1">INDEX(_Datos 274:274,,MATCH(_Búsqueda_Duración, _Datos _Headers,0))</f>
        <v>30</v>
      </c>
      <c r="H274" s="618"/>
      <c r="I274" s="76">
        <f t="shared" ca="1" si="16"/>
        <v>50377</v>
      </c>
      <c r="J274" s="619">
        <f ca="1">CONST_DIAS_BASE_INTERES + IF(DAY(_Fecha_Pago _Anterior)&gt;=Const_Dia_Corte_Aniversario,MAX(CONST_DIAS_LIMITE-DAY(_Fecha_Pago _Anterior),1))</f>
        <v>30</v>
      </c>
      <c r="K274" s="618"/>
      <c r="L274" s="76">
        <f t="shared" ca="1" si="18"/>
        <v>50374</v>
      </c>
      <c r="M274" s="30">
        <f>_DPP _Mensual_AEN</f>
        <v>30</v>
      </c>
      <c r="N274" s="618"/>
      <c r="O274" s="76">
        <f ca="1">IF(DAY(O273 + 1) &lt;= _DPP _Quincenal,
DATE(YEAR(O273 + 1),MONTH( O273 + 1), _DPP _Quincenal ),
EOMONTH( O273 + 1,0))</f>
        <v>46477</v>
      </c>
      <c r="P274" s="30">
        <f>_DPP _Quincenal</f>
        <v>15</v>
      </c>
      <c r="Q274" s="618"/>
      <c r="R274" s="76">
        <f ca="1">IF(DAY(R273 + 1) &lt;= _DPP _Decenal,
DATE(YEAR(R273 + 1),MONTH(R273 + 1),_DPP _Decenal),
IF(DAY(R273 + 1) &lt;= (_DPP _Decenal*2),
DATE(YEAR(R273 + 1),MONTH(R273 + 1),(_DPP _Decenal*2)),EOMONTH(R273 + 1,0)))</f>
        <v>45179</v>
      </c>
      <c r="S274" s="30">
        <f>_DPP _Decenal</f>
        <v>10</v>
      </c>
      <c r="T274" s="618"/>
      <c r="U274" s="76">
        <f t="shared" ca="1" si="17"/>
        <v>50264</v>
      </c>
      <c r="V274" s="30">
        <f t="shared" ca="1" si="19"/>
        <v>30</v>
      </c>
    </row>
    <row r="275" spans="5:22" x14ac:dyDescent="0.3">
      <c r="E275" s="98">
        <f t="shared" ref="E275:E278" si="20">_Días_por_Periodo</f>
        <v>30</v>
      </c>
      <c r="F275" s="583">
        <f ca="1">INDEX(_Datos 275:275,,MATCH(_Búsqueda_Fechas_Pago, _Datos _Headers,0))</f>
        <v>50408</v>
      </c>
      <c r="G275" s="619">
        <f ca="1">INDEX(_Datos 275:275,,MATCH(_Búsqueda_Duración, _Datos _Headers,0))</f>
        <v>30</v>
      </c>
      <c r="H275" s="618"/>
      <c r="I275" s="76">
        <f t="shared" ca="1" si="16"/>
        <v>50408</v>
      </c>
      <c r="J275" s="619">
        <f ca="1">CONST_DIAS_BASE_INTERES + IF(DAY(_Fecha_Pago _Anterior)&gt;=Const_Dia_Corte_Aniversario,MAX(CONST_DIAS_LIMITE-DAY(_Fecha_Pago _Anterior),1))</f>
        <v>30</v>
      </c>
      <c r="K275" s="618"/>
      <c r="L275" s="76">
        <f t="shared" ca="1" si="18"/>
        <v>50405</v>
      </c>
      <c r="M275" s="30">
        <f>_DPP _Mensual_AEN</f>
        <v>30</v>
      </c>
      <c r="N275" s="618"/>
      <c r="O275" s="76">
        <f ca="1">IF(DAY(O274 + 1) &lt;= _DPP _Quincenal,
DATE(YEAR(O274 + 1),MONTH( O274 + 1), _DPP _Quincenal ),
EOMONTH( O274 + 1,0))</f>
        <v>46492</v>
      </c>
      <c r="P275" s="30">
        <f>_DPP _Quincenal</f>
        <v>15</v>
      </c>
      <c r="Q275" s="618"/>
      <c r="R275" s="76">
        <f ca="1">IF(DAY(R274 + 1) &lt;= _DPP _Decenal,
DATE(YEAR(R274 + 1),MONTH(R274 + 1),_DPP _Decenal),
IF(DAY(R274 + 1) &lt;= (_DPP _Decenal*2),
DATE(YEAR(R274 + 1),MONTH(R274 + 1),(_DPP _Decenal*2)),EOMONTH(R274 + 1,0)))</f>
        <v>45189</v>
      </c>
      <c r="S275" s="30">
        <f>_DPP _Decenal</f>
        <v>10</v>
      </c>
      <c r="T275" s="618"/>
      <c r="U275" s="76">
        <f t="shared" ca="1" si="17"/>
        <v>50294</v>
      </c>
      <c r="V275" s="30">
        <f t="shared" ca="1" si="19"/>
        <v>30</v>
      </c>
    </row>
    <row r="276" spans="5:22" x14ac:dyDescent="0.3">
      <c r="E276" s="98">
        <f t="shared" si="20"/>
        <v>30</v>
      </c>
      <c r="F276" s="583">
        <f ca="1">INDEX(_Datos 276:276,,MATCH(_Búsqueda_Fechas_Pago, _Datos _Headers,0))</f>
        <v>50439</v>
      </c>
      <c r="G276" s="619">
        <f ca="1">INDEX(_Datos 276:276,,MATCH(_Búsqueda_Duración, _Datos _Headers,0))</f>
        <v>30</v>
      </c>
      <c r="H276" s="618"/>
      <c r="I276" s="76">
        <f t="shared" ca="1" si="16"/>
        <v>50439</v>
      </c>
      <c r="J276" s="619">
        <f ca="1">CONST_DIAS_BASE_INTERES + IF(DAY(_Fecha_Pago _Anterior)&gt;=Const_Dia_Corte_Aniversario,MAX(CONST_DIAS_LIMITE-DAY(_Fecha_Pago _Anterior),1))</f>
        <v>30</v>
      </c>
      <c r="K276" s="618"/>
      <c r="L276" s="76">
        <f t="shared" ca="1" si="18"/>
        <v>50436</v>
      </c>
      <c r="M276" s="30">
        <f>_DPP _Mensual_AEN</f>
        <v>30</v>
      </c>
      <c r="N276" s="618"/>
      <c r="O276" s="76">
        <f ca="1">IF(DAY(O275 + 1) &lt;= _DPP _Quincenal,
DATE(YEAR(O275 + 1),MONTH( O275 + 1), _DPP _Quincenal ),
EOMONTH( O275 + 1,0))</f>
        <v>46507</v>
      </c>
      <c r="P276" s="30">
        <f>_DPP _Quincenal</f>
        <v>15</v>
      </c>
      <c r="Q276" s="618"/>
      <c r="R276" s="76">
        <f ca="1">IF(DAY(R275 + 1) &lt;= _DPP _Decenal,
DATE(YEAR(R275 + 1),MONTH(R275 + 1),_DPP _Decenal),
IF(DAY(R275 + 1) &lt;= (_DPP _Decenal*2),
DATE(YEAR(R275 + 1),MONTH(R275 + 1),(_DPP _Decenal*2)),EOMONTH(R275 + 1,0)))</f>
        <v>45199</v>
      </c>
      <c r="S276" s="30">
        <f>_DPP _Decenal</f>
        <v>10</v>
      </c>
      <c r="T276" s="618"/>
      <c r="U276" s="76">
        <f t="shared" ref="U276:U278" ca="1" si="21">U275 + _Días_por_Periodo</f>
        <v>50324</v>
      </c>
      <c r="V276" s="30">
        <f t="shared" ca="1" si="19"/>
        <v>30</v>
      </c>
    </row>
    <row r="277" spans="5:22" x14ac:dyDescent="0.3">
      <c r="E277" s="98">
        <f t="shared" si="20"/>
        <v>30</v>
      </c>
      <c r="F277" s="583">
        <f ca="1">INDEX(_Datos 277:277,,MATCH(_Búsqueda_Fechas_Pago, _Datos _Headers,0))</f>
        <v>50467</v>
      </c>
      <c r="G277" s="619">
        <f ca="1">INDEX(_Datos 277:277,,MATCH(_Búsqueda_Duración, _Datos _Headers,0))</f>
        <v>30</v>
      </c>
      <c r="H277" s="618"/>
      <c r="I277" s="76">
        <f t="shared" ca="1" si="16"/>
        <v>50467</v>
      </c>
      <c r="J277" s="619">
        <f ca="1">CONST_DIAS_BASE_INTERES + IF(DAY(_Fecha_Pago _Anterior)&gt;=Const_Dia_Corte_Aniversario,MAX(CONST_DIAS_LIMITE-DAY(_Fecha_Pago _Anterior),1))</f>
        <v>30</v>
      </c>
      <c r="K277" s="618"/>
      <c r="L277" s="76">
        <f t="shared" ref="L277:L278" ca="1" si="22">EOMONTH(L276 + 1,0)</f>
        <v>50464</v>
      </c>
      <c r="M277" s="30">
        <f>_DPP _Mensual_AEN</f>
        <v>30</v>
      </c>
      <c r="N277" s="618"/>
      <c r="O277" s="76">
        <f ca="1">IF(DAY(O276 + 1) &lt;= _DPP _Quincenal,
DATE(YEAR(O276 + 1),MONTH( O276 + 1), _DPP _Quincenal ),
EOMONTH( O276 + 1,0))</f>
        <v>46522</v>
      </c>
      <c r="P277" s="30">
        <f>_DPP _Quincenal</f>
        <v>15</v>
      </c>
      <c r="Q277" s="618"/>
      <c r="R277" s="76">
        <f ca="1">IF(DAY(R276 + 1) &lt;= _DPP _Decenal,
DATE(YEAR(R276 + 1),MONTH(R276 + 1),_DPP _Decenal),
IF(DAY(R276 + 1) &lt;= (_DPP _Decenal*2),
DATE(YEAR(R276 + 1),MONTH(R276 + 1),(_DPP _Decenal*2)),EOMONTH(R276 + 1,0)))</f>
        <v>45209</v>
      </c>
      <c r="S277" s="30">
        <f>_DPP _Decenal</f>
        <v>10</v>
      </c>
      <c r="T277" s="618"/>
      <c r="U277" s="76">
        <f t="shared" ca="1" si="21"/>
        <v>50354</v>
      </c>
      <c r="V277" s="30">
        <f t="shared" ref="V277:V278" ca="1" si="23">U277 - U276</f>
        <v>30</v>
      </c>
    </row>
    <row r="278" spans="5:22" x14ac:dyDescent="0.3">
      <c r="E278" s="98">
        <f t="shared" si="20"/>
        <v>30</v>
      </c>
      <c r="F278" s="583">
        <f ca="1">INDEX(_Datos 278:278,,MATCH(_Búsqueda_Fechas_Pago, _Datos _Headers,0))</f>
        <v>50498</v>
      </c>
      <c r="G278" s="573">
        <f ca="1">INDEX(_Datos 278:278,,MATCH(_Búsqueda_Duración, _Datos _Headers,0))</f>
        <v>30</v>
      </c>
      <c r="I278" s="76">
        <f t="shared" ca="1" si="16"/>
        <v>50498</v>
      </c>
      <c r="J278" s="12">
        <f ca="1">CONST_DIAS_BASE_INTERES + IF(DAY(_Fecha_Pago _Anterior)&gt;=Const_Dia_Corte_Aniversario,MAX(CONST_DIAS_LIMITE-DAY(_Fecha_Pago _Anterior),1))</f>
        <v>30</v>
      </c>
      <c r="L278" s="76">
        <f t="shared" ca="1" si="22"/>
        <v>50495</v>
      </c>
      <c r="M278" s="30">
        <f>_DPP _Mensual_AEN</f>
        <v>30</v>
      </c>
      <c r="N278" s="589"/>
      <c r="O278" s="76">
        <f ca="1">IF(DAY(O277 + 1) &lt;= _DPP _Quincenal,
DATE(YEAR(O277 + 1),MONTH( O277 + 1), _DPP _Quincenal ),
EOMONTH( O277 + 1,0))</f>
        <v>46538</v>
      </c>
      <c r="P278" s="30">
        <f>_DPP _Quincenal</f>
        <v>15</v>
      </c>
      <c r="R278" s="76">
        <f ca="1">IF(DAY(R277 + 1) &lt;= _DPP _Decenal,
DATE(YEAR(R277 + 1),MONTH(R277 + 1),_DPP _Decenal),
IF(DAY(R277 + 1) &lt;= (_DPP _Decenal*2),
DATE(YEAR(R277 + 1),MONTH(R277 + 1),(_DPP _Decenal*2)),EOMONTH(R277 + 1,0)))</f>
        <v>45219</v>
      </c>
      <c r="S278" s="30">
        <f>_DPP _Decenal</f>
        <v>10</v>
      </c>
      <c r="U278" s="76">
        <f t="shared" ca="1" si="21"/>
        <v>50384</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0" t="s">
        <v>41</v>
      </c>
      <c r="B1" s="10"/>
      <c r="C1" s="10"/>
      <c r="D1" s="10"/>
      <c r="E1" s="10"/>
      <c r="F1" s="10"/>
      <c r="G1" s="10"/>
      <c r="H1" s="10"/>
      <c r="I1" s="10"/>
      <c r="J1" s="10"/>
      <c r="K1" s="10"/>
    </row>
    <row r="2" spans="1:11" ht="15" thickTop="1" x14ac:dyDescent="0.3">
      <c r="I2" s="501"/>
      <c r="J2" s="501"/>
      <c r="K2" s="501"/>
    </row>
    <row r="3" spans="1:11" ht="15" thickBot="1" x14ac:dyDescent="0.35">
      <c r="A3" s="222" t="s">
        <v>104</v>
      </c>
      <c r="B3" s="222"/>
      <c r="C3" s="222"/>
      <c r="D3" s="222"/>
      <c r="E3" s="222"/>
      <c r="F3" s="222"/>
      <c r="G3" s="222"/>
      <c r="H3" s="222"/>
      <c r="I3" s="222"/>
      <c r="J3" s="222"/>
      <c r="K3" s="222"/>
    </row>
    <row r="5" spans="1:11" x14ac:dyDescent="0.3">
      <c r="A5" s="42" t="s">
        <v>132</v>
      </c>
      <c r="B5" s="42" t="s">
        <v>133</v>
      </c>
      <c r="D5" s="501"/>
      <c r="E5" s="501"/>
      <c r="F5" s="501"/>
      <c r="G5" s="42" t="s">
        <v>132</v>
      </c>
      <c r="H5" s="42" t="s">
        <v>133</v>
      </c>
      <c r="J5" s="42" t="s">
        <v>132</v>
      </c>
      <c r="K5" s="42" t="s">
        <v>133</v>
      </c>
    </row>
    <row r="6" spans="1:11" x14ac:dyDescent="0.3">
      <c r="A6" s="11" t="s">
        <v>106</v>
      </c>
      <c r="B6" s="11" t="s">
        <v>131</v>
      </c>
      <c r="D6" s="501"/>
      <c r="E6" s="501"/>
      <c r="F6" s="501"/>
      <c r="G6" s="11" t="s">
        <v>105</v>
      </c>
      <c r="H6" s="11" t="s">
        <v>131</v>
      </c>
      <c r="J6" s="11" t="s">
        <v>122</v>
      </c>
      <c r="K6" s="11" t="s">
        <v>123</v>
      </c>
    </row>
    <row r="7" spans="1:11" x14ac:dyDescent="0.3">
      <c r="D7" s="501"/>
      <c r="E7" s="501"/>
      <c r="F7" s="501"/>
    </row>
    <row r="8" spans="1:11" x14ac:dyDescent="0.3">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x14ac:dyDescent="0.3">
      <c r="A9" s="225" t="s">
        <v>20</v>
      </c>
      <c r="B9" s="585">
        <f>FREC.DiasPorPeriodo</f>
        <v>30</v>
      </c>
      <c r="D9" s="501"/>
      <c r="E9" s="501"/>
      <c r="F9" s="501"/>
      <c r="G9" s="225" t="s">
        <v>20</v>
      </c>
      <c r="H9" s="585">
        <f>FREC.DiasPorPeriodo</f>
        <v>30</v>
      </c>
      <c r="J9" s="225" t="s">
        <v>21</v>
      </c>
      <c r="K9" s="71">
        <f ca="1">PeriodosPorAño</f>
        <v>12</v>
      </c>
    </row>
    <row r="10" spans="1:11" x14ac:dyDescent="0.3">
      <c r="A10" s="225" t="s">
        <v>1663</v>
      </c>
      <c r="B10" s="71">
        <f ca="1">PeriodosPorAño</f>
        <v>12</v>
      </c>
      <c r="D10" s="501"/>
      <c r="E10" s="501"/>
      <c r="F10" s="501"/>
      <c r="G10" s="225" t="s">
        <v>1663</v>
      </c>
      <c r="H10" s="71">
        <f ca="1">PeriodosPorAño</f>
        <v>12</v>
      </c>
      <c r="J10" s="225" t="s">
        <v>22</v>
      </c>
      <c r="K10" s="71">
        <f ca="1">NumeroDePagos</f>
        <v>12</v>
      </c>
    </row>
    <row r="11" spans="1:11" x14ac:dyDescent="0.3">
      <c r="A11" s="225" t="s">
        <v>1660</v>
      </c>
      <c r="B11" s="71">
        <f ca="1">NumeroDePagos</f>
        <v>12</v>
      </c>
      <c r="D11" s="501"/>
      <c r="E11" s="501"/>
      <c r="F11" s="501"/>
      <c r="G11" s="225" t="s">
        <v>1660</v>
      </c>
      <c r="H11" s="71">
        <f ca="1">NumeroDePagos</f>
        <v>12</v>
      </c>
      <c r="J11" s="225" t="s">
        <v>1661</v>
      </c>
      <c r="K11" s="220">
        <f ca="1">IvaParaIntereses</f>
        <v>0.12</v>
      </c>
    </row>
    <row r="12" spans="1:11" x14ac:dyDescent="0.3">
      <c r="A12" s="225" t="s">
        <v>1661</v>
      </c>
      <c r="B12" s="220">
        <f ca="1">IvaParaIntereses</f>
        <v>0.12</v>
      </c>
      <c r="D12" s="501"/>
      <c r="E12" s="501"/>
      <c r="F12" s="501"/>
      <c r="G12" s="225" t="s">
        <v>1661</v>
      </c>
      <c r="H12" s="220">
        <f ca="1">IvaParaIntereses</f>
        <v>0.12</v>
      </c>
      <c r="J12" s="225" t="s">
        <v>24</v>
      </c>
      <c r="K12" s="220">
        <f ca="1">TasaInteres</f>
        <v>0.129</v>
      </c>
    </row>
    <row r="13" spans="1:11" x14ac:dyDescent="0.3">
      <c r="A13" s="225" t="s">
        <v>1647</v>
      </c>
      <c r="B13" s="220">
        <f ca="1">TasaInteres</f>
        <v>0.129</v>
      </c>
      <c r="D13" s="501"/>
      <c r="E13" s="501"/>
      <c r="F13" s="501"/>
      <c r="G13" s="225" t="s">
        <v>1647</v>
      </c>
      <c r="H13" s="220">
        <f ca="1">TasaInteres</f>
        <v>0.129</v>
      </c>
      <c r="J13" s="225" t="s">
        <v>14</v>
      </c>
      <c r="K13" s="71">
        <f>CONST_DIAS_EN_AÑO</f>
        <v>360</v>
      </c>
    </row>
    <row r="14" spans="1:11" x14ac:dyDescent="0.3">
      <c r="A14" s="225" t="s">
        <v>14</v>
      </c>
      <c r="B14" s="71">
        <f>CONST_DIAS_EN_AÑO</f>
        <v>360</v>
      </c>
      <c r="D14" s="501"/>
      <c r="E14" s="501"/>
      <c r="F14" s="501"/>
      <c r="G14" s="225" t="s">
        <v>14</v>
      </c>
      <c r="H14" s="71">
        <f>CONST_DIAS_EN_AÑO</f>
        <v>360</v>
      </c>
      <c r="J14" s="225" t="s">
        <v>25</v>
      </c>
      <c r="K14" s="71">
        <f ca="1">Id_Abono_Anticipado</f>
        <v>1</v>
      </c>
    </row>
    <row r="15" spans="1:11" x14ac:dyDescent="0.3">
      <c r="A15" s="226" t="s">
        <v>42</v>
      </c>
      <c r="B15" s="71" t="s">
        <v>1662</v>
      </c>
      <c r="D15" s="501"/>
      <c r="E15" s="501"/>
      <c r="F15" s="501"/>
      <c r="G15" s="226" t="s">
        <v>42</v>
      </c>
      <c r="H15" s="71" t="s">
        <v>1662</v>
      </c>
      <c r="J15" s="226" t="s">
        <v>119</v>
      </c>
      <c r="K15" s="71" t="s">
        <v>106</v>
      </c>
    </row>
    <row r="16" spans="1:11" x14ac:dyDescent="0.3">
      <c r="A16" s="226" t="s">
        <v>43</v>
      </c>
      <c r="B16" s="586" t="b">
        <v>0</v>
      </c>
      <c r="D16" s="501"/>
      <c r="E16" s="501"/>
      <c r="F16" s="501"/>
      <c r="G16" s="226" t="s">
        <v>43</v>
      </c>
      <c r="H16" s="36" t="b">
        <v>1</v>
      </c>
      <c r="J16" s="226" t="s">
        <v>120</v>
      </c>
      <c r="K16" s="71" t="s">
        <v>105</v>
      </c>
    </row>
    <row r="17" spans="1:11" x14ac:dyDescent="0.3">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x14ac:dyDescent="0.3">
      <c r="A18" s="225" t="s">
        <v>1657</v>
      </c>
      <c r="B18" s="71">
        <f ca="1">Id_Abono_Anticipado</f>
        <v>1</v>
      </c>
      <c r="D18" s="501"/>
      <c r="E18" s="501"/>
      <c r="F18" s="501"/>
      <c r="G18" s="225" t="s">
        <v>1657</v>
      </c>
      <c r="H18" s="71">
        <f ca="1">Id_Abono_Anticipado</f>
        <v>1</v>
      </c>
    </row>
    <row r="19" spans="1:11" x14ac:dyDescent="0.3">
      <c r="A19" s="226" t="s">
        <v>102</v>
      </c>
      <c r="B19" s="71" t="s">
        <v>5050</v>
      </c>
      <c r="D19" s="501"/>
      <c r="E19" s="501"/>
      <c r="F19" s="501"/>
      <c r="G19" s="226" t="s">
        <v>102</v>
      </c>
      <c r="H19" s="71" t="s">
        <v>5051</v>
      </c>
    </row>
    <row r="20" spans="1:11" x14ac:dyDescent="0.3">
      <c r="A20" s="227" t="s">
        <v>101</v>
      </c>
      <c r="B20" s="72" t="s">
        <v>2105</v>
      </c>
      <c r="D20" s="501"/>
      <c r="E20" s="501"/>
      <c r="F20" s="501"/>
      <c r="G20" s="227" t="s">
        <v>101</v>
      </c>
      <c r="H20" s="72" t="s">
        <v>2105</v>
      </c>
    </row>
    <row r="22" spans="1:11" ht="15" thickBot="1" x14ac:dyDescent="0.35">
      <c r="A22" s="222" t="s">
        <v>74</v>
      </c>
      <c r="B22" s="222"/>
      <c r="C22" s="222"/>
      <c r="D22" s="222"/>
      <c r="E22" s="222"/>
      <c r="F22" s="222"/>
      <c r="G22" s="222"/>
      <c r="H22" s="222"/>
      <c r="I22" s="222"/>
      <c r="J22" s="222"/>
      <c r="K22" s="222"/>
    </row>
    <row r="24" spans="1:11" x14ac:dyDescent="0.3">
      <c r="A24" s="42" t="s">
        <v>132</v>
      </c>
      <c r="B24" s="42" t="s">
        <v>133</v>
      </c>
      <c r="D24" s="42" t="s">
        <v>132</v>
      </c>
      <c r="E24" s="42" t="s">
        <v>133</v>
      </c>
      <c r="G24" s="42" t="s">
        <v>132</v>
      </c>
      <c r="H24" s="42" t="s">
        <v>133</v>
      </c>
      <c r="J24" s="42" t="s">
        <v>132</v>
      </c>
      <c r="K24" s="42" t="s">
        <v>133</v>
      </c>
    </row>
    <row r="25" spans="1:11" x14ac:dyDescent="0.3">
      <c r="A25" s="11" t="s">
        <v>72</v>
      </c>
      <c r="B25" s="11" t="s">
        <v>73</v>
      </c>
      <c r="C25" s="618" t="s">
        <v>488</v>
      </c>
      <c r="D25" s="11" t="s">
        <v>75</v>
      </c>
      <c r="E25" s="11" t="s">
        <v>73</v>
      </c>
      <c r="F25" s="618" t="s">
        <v>488</v>
      </c>
      <c r="G25" s="11" t="s">
        <v>76</v>
      </c>
      <c r="H25" s="11" t="s">
        <v>73</v>
      </c>
      <c r="I25" s="618" t="s">
        <v>488</v>
      </c>
      <c r="J25" s="11" t="s">
        <v>2398</v>
      </c>
      <c r="K25" s="241" t="s">
        <v>2399</v>
      </c>
    </row>
    <row r="27" spans="1:11" x14ac:dyDescent="0.3">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x14ac:dyDescent="0.3">
      <c r="A28" s="33" t="s">
        <v>20</v>
      </c>
      <c r="B28" s="585">
        <f>FREC.DiasPorPeriodo</f>
        <v>30</v>
      </c>
      <c r="D28" s="33" t="s">
        <v>20</v>
      </c>
      <c r="E28" s="585">
        <f>FREC.DiasPorPeriodo</f>
        <v>30</v>
      </c>
      <c r="G28" s="33" t="s">
        <v>20</v>
      </c>
      <c r="H28" s="585">
        <f>FREC.DiasPorPeriodo</f>
        <v>30</v>
      </c>
      <c r="J28" s="33" t="s">
        <v>2395</v>
      </c>
      <c r="K28" s="71">
        <f ca="1">PeriodosPorAño</f>
        <v>12</v>
      </c>
    </row>
    <row r="29" spans="1:11" x14ac:dyDescent="0.3">
      <c r="A29" s="33" t="s">
        <v>1663</v>
      </c>
      <c r="B29" s="71">
        <f ca="1">PeriodosPorAño</f>
        <v>12</v>
      </c>
      <c r="D29" s="33" t="s">
        <v>1663</v>
      </c>
      <c r="E29" s="71">
        <f ca="1">PeriodosPorAño</f>
        <v>12</v>
      </c>
      <c r="G29" s="33" t="s">
        <v>1663</v>
      </c>
      <c r="H29" s="71">
        <f ca="1">PeriodosPorAño</f>
        <v>12</v>
      </c>
      <c r="J29" s="37" t="s">
        <v>2396</v>
      </c>
      <c r="K29" s="72">
        <f ca="1">NumeroDePagos</f>
        <v>12</v>
      </c>
    </row>
    <row r="30" spans="1:11" x14ac:dyDescent="0.3">
      <c r="A30" s="33" t="s">
        <v>1660</v>
      </c>
      <c r="B30" s="71">
        <f ca="1">NumeroDePagos</f>
        <v>12</v>
      </c>
      <c r="D30" s="33" t="s">
        <v>1660</v>
      </c>
      <c r="E30" s="71">
        <f ca="1">NumeroDePagos</f>
        <v>12</v>
      </c>
      <c r="G30" s="33" t="s">
        <v>1660</v>
      </c>
      <c r="H30" s="71">
        <f ca="1">NumeroDePagos</f>
        <v>12</v>
      </c>
    </row>
    <row r="31" spans="1:11" x14ac:dyDescent="0.3">
      <c r="A31" s="33" t="s">
        <v>1661</v>
      </c>
      <c r="B31" s="220">
        <f ca="1">IvaParaIntereses</f>
        <v>0.12</v>
      </c>
      <c r="D31" s="33" t="s">
        <v>1661</v>
      </c>
      <c r="E31" s="220">
        <f ca="1">IvaParaIntereses</f>
        <v>0.12</v>
      </c>
      <c r="G31" s="33" t="s">
        <v>1661</v>
      </c>
      <c r="H31" s="220">
        <f ca="1">IvaParaIntereses</f>
        <v>0.12</v>
      </c>
    </row>
    <row r="32" spans="1:11" x14ac:dyDescent="0.3">
      <c r="A32" s="33" t="s">
        <v>1647</v>
      </c>
      <c r="B32" s="220">
        <f ca="1">TasaInteres</f>
        <v>0.129</v>
      </c>
      <c r="D32" s="33" t="s">
        <v>1647</v>
      </c>
      <c r="E32" s="220">
        <f ca="1">TasaInteres</f>
        <v>0.129</v>
      </c>
      <c r="G32" s="33" t="s">
        <v>1647</v>
      </c>
      <c r="H32" s="220">
        <f ca="1">TasaInteres</f>
        <v>0.129</v>
      </c>
    </row>
    <row r="33" spans="1:8" x14ac:dyDescent="0.3">
      <c r="A33" s="33" t="s">
        <v>14</v>
      </c>
      <c r="B33" s="71">
        <f>CONST_DIAS_EN_AÑO</f>
        <v>360</v>
      </c>
      <c r="D33" s="33" t="s">
        <v>14</v>
      </c>
      <c r="E33" s="71">
        <f>CONST_DIAS_EN_AÑO</f>
        <v>360</v>
      </c>
      <c r="G33" s="33" t="s">
        <v>14</v>
      </c>
      <c r="H33" s="71">
        <f>CONST_DIAS_EN_AÑO</f>
        <v>360</v>
      </c>
    </row>
    <row r="34" spans="1:8" x14ac:dyDescent="0.3">
      <c r="A34" s="33" t="s">
        <v>42</v>
      </c>
      <c r="B34" s="71" t="s">
        <v>1662</v>
      </c>
      <c r="D34" s="33" t="s">
        <v>42</v>
      </c>
      <c r="E34" s="71" t="s">
        <v>1662</v>
      </c>
      <c r="G34" s="33" t="s">
        <v>42</v>
      </c>
      <c r="H34" s="71" t="s">
        <v>1662</v>
      </c>
    </row>
    <row r="35" spans="1:8" x14ac:dyDescent="0.3">
      <c r="A35" s="33" t="s">
        <v>43</v>
      </c>
      <c r="B35" s="71" t="b">
        <v>0</v>
      </c>
      <c r="D35" s="33" t="s">
        <v>43</v>
      </c>
      <c r="E35" s="71" t="b">
        <v>0</v>
      </c>
      <c r="G35" s="33" t="s">
        <v>43</v>
      </c>
      <c r="H35" s="71" t="b">
        <v>1</v>
      </c>
    </row>
    <row r="36" spans="1:8" x14ac:dyDescent="0.3">
      <c r="A36" s="33" t="s">
        <v>44</v>
      </c>
      <c r="B36" s="70">
        <v>0</v>
      </c>
      <c r="D36" s="33" t="s">
        <v>44</v>
      </c>
      <c r="E36" s="70">
        <v>0</v>
      </c>
      <c r="G36" s="33" t="s">
        <v>44</v>
      </c>
      <c r="H36" s="182">
        <f ca="1">DañosValFac1erAño * Seguro.EsAnual? * Seguro.EsFinanciado?</f>
        <v>181.62846000000002</v>
      </c>
    </row>
    <row r="37" spans="1:8" x14ac:dyDescent="0.3">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619" customWidth="1"/>
    <col min="2" max="2" width="32.5546875" style="619" customWidth="1"/>
    <col min="3" max="3" width="1.6640625" style="618" customWidth="1"/>
    <col min="4" max="4" width="13.44140625" style="619" customWidth="1"/>
    <col min="5" max="5" width="1.6640625" style="619" bestFit="1" customWidth="1"/>
    <col min="6" max="6" width="13" style="18" customWidth="1"/>
    <col min="7" max="9" width="14.44140625" style="18" customWidth="1"/>
    <col min="10" max="12" width="13" style="18" customWidth="1"/>
    <col min="13" max="13" width="14.44140625" style="18" customWidth="1"/>
    <col min="14" max="14" width="13" style="18" customWidth="1"/>
    <col min="15" max="15" width="1.44140625" style="619" customWidth="1"/>
    <col min="16" max="16" width="14.5546875" style="619" customWidth="1"/>
    <col min="17" max="17" width="1.6640625" style="619" customWidth="1"/>
    <col min="18" max="20" width="14.5546875" style="619" customWidth="1"/>
    <col min="21" max="21" width="1.6640625" style="619" customWidth="1"/>
    <col min="22" max="22" width="14.44140625" style="619" customWidth="1"/>
    <col min="23" max="23" width="1.44140625" style="619" customWidth="1"/>
    <col min="24" max="25" width="14.5546875" style="619" customWidth="1"/>
    <col min="26" max="26" width="1.44140625" style="619" customWidth="1"/>
    <col min="27" max="28" width="14.5546875" style="619" customWidth="1"/>
    <col min="29" max="29" width="1.44140625" style="619" customWidth="1"/>
    <col min="30" max="31" width="14.5546875" style="619" customWidth="1"/>
    <col min="32" max="34" width="9.109375" style="619"/>
    <col min="35" max="35" width="12" style="619" bestFit="1" customWidth="1"/>
    <col min="36" max="16384" width="9.109375" style="619"/>
  </cols>
  <sheetData>
    <row r="1" spans="1:31" ht="20.399999999999999" thickBot="1" x14ac:dyDescent="0.4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 thickTop="1" x14ac:dyDescent="0.3">
      <c r="A2" s="632" t="s">
        <v>5042</v>
      </c>
      <c r="C2" s="618"/>
      <c r="D2" s="248"/>
      <c r="E2" s="438"/>
      <c r="F2" s="208"/>
      <c r="G2" s="440"/>
      <c r="H2" s="440"/>
      <c r="I2" s="440"/>
      <c r="J2" s="440"/>
      <c r="K2" s="440"/>
      <c r="L2" s="440"/>
      <c r="M2" s="440"/>
      <c r="N2" s="440"/>
    </row>
    <row r="3" spans="1:31" s="438" customFormat="1" x14ac:dyDescent="0.3">
      <c r="A3" s="618"/>
      <c r="B3" s="618"/>
      <c r="C3" s="618"/>
    </row>
    <row r="4" spans="1:31" s="439" customFormat="1" hidden="1" x14ac:dyDescent="0.3">
      <c r="A4" s="618"/>
      <c r="B4" s="618"/>
      <c r="C4" s="618"/>
    </row>
    <row r="5" spans="1:31" hidden="1" x14ac:dyDescent="0.3">
      <c r="A5" s="618"/>
      <c r="B5" s="618"/>
      <c r="D5" s="438"/>
      <c r="E5" s="438"/>
      <c r="F5" s="438"/>
      <c r="G5" s="209"/>
      <c r="H5" s="209"/>
      <c r="I5" s="209"/>
      <c r="J5" s="209"/>
      <c r="K5" s="209"/>
      <c r="L5" s="209"/>
      <c r="M5" s="209"/>
      <c r="N5" s="209"/>
    </row>
    <row r="6" spans="1:31" hidden="1" x14ac:dyDescent="0.3">
      <c r="A6" s="618"/>
      <c r="B6" s="618"/>
      <c r="E6" s="34"/>
      <c r="F6" s="35"/>
      <c r="H6" s="667"/>
      <c r="I6" s="667"/>
    </row>
    <row r="7" spans="1:31" hidden="1" x14ac:dyDescent="0.3">
      <c r="A7" s="618"/>
      <c r="B7" s="618"/>
      <c r="E7" s="34"/>
      <c r="F7" s="35"/>
      <c r="H7" s="667"/>
      <c r="I7" s="667"/>
      <c r="J7" s="90"/>
    </row>
    <row r="8" spans="1:31" hidden="1" x14ac:dyDescent="0.3">
      <c r="A8" s="618"/>
      <c r="B8" s="618"/>
      <c r="E8" s="34"/>
      <c r="F8" s="35"/>
      <c r="H8" s="667"/>
      <c r="I8" s="667"/>
      <c r="J8" s="90"/>
      <c r="M8" s="86"/>
    </row>
    <row r="9" spans="1:31" hidden="1" x14ac:dyDescent="0.3">
      <c r="A9" s="618"/>
      <c r="B9" s="618"/>
      <c r="E9" s="34"/>
      <c r="F9" s="35"/>
      <c r="H9" s="667"/>
      <c r="I9" s="667"/>
      <c r="M9" s="86"/>
    </row>
    <row r="10" spans="1:31" hidden="1" x14ac:dyDescent="0.3">
      <c r="A10" s="618"/>
      <c r="B10" s="618"/>
      <c r="E10" s="34"/>
      <c r="F10" s="35"/>
      <c r="H10" s="667"/>
      <c r="I10" s="667"/>
      <c r="J10" s="90"/>
      <c r="L10" s="91"/>
    </row>
    <row r="11" spans="1:31" hidden="1" x14ac:dyDescent="0.3">
      <c r="A11" s="618"/>
      <c r="B11" s="618"/>
      <c r="E11" s="34"/>
      <c r="F11" s="35"/>
      <c r="H11" s="667"/>
      <c r="I11" s="667"/>
    </row>
    <row r="12" spans="1:31" hidden="1" x14ac:dyDescent="0.3">
      <c r="A12" s="618"/>
      <c r="B12" s="618"/>
      <c r="E12" s="34"/>
      <c r="F12" s="35"/>
    </row>
    <row r="13" spans="1:31" x14ac:dyDescent="0.3">
      <c r="A13" s="618"/>
      <c r="B13" s="618"/>
      <c r="K13" s="90"/>
      <c r="R13" s="993" t="s">
        <v>1633</v>
      </c>
      <c r="S13" s="994"/>
      <c r="T13" s="995"/>
      <c r="V13" s="666" t="s">
        <v>108</v>
      </c>
      <c r="W13" s="665"/>
      <c r="X13" s="996" t="s">
        <v>109</v>
      </c>
      <c r="Y13" s="996"/>
      <c r="Z13" s="665"/>
      <c r="AA13" s="996" t="s">
        <v>110</v>
      </c>
      <c r="AB13" s="996"/>
      <c r="AC13" s="665"/>
      <c r="AD13" s="996" t="s">
        <v>111</v>
      </c>
      <c r="AE13" s="997"/>
    </row>
    <row r="14" spans="1:31" s="439" customFormat="1" ht="15" customHeight="1" x14ac:dyDescent="0.3">
      <c r="A14" s="618"/>
      <c r="B14" s="618"/>
      <c r="C14" s="618"/>
      <c r="F14" s="660"/>
      <c r="G14" s="440"/>
      <c r="H14" s="440"/>
      <c r="I14" s="440"/>
      <c r="J14" s="440"/>
      <c r="K14" s="440"/>
      <c r="L14" s="440"/>
      <c r="M14" s="440"/>
      <c r="N14" s="440"/>
    </row>
    <row r="15" spans="1:31" s="80" customFormat="1" ht="45" customHeight="1" x14ac:dyDescent="0.3">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x14ac:dyDescent="0.3">
      <c r="A16" s="228" t="s">
        <v>20</v>
      </c>
      <c r="B16" s="626">
        <f>'Configuración de Tablas'!K8</f>
        <v>30</v>
      </c>
      <c r="C16" s="417"/>
    </row>
    <row r="17" spans="1:36" x14ac:dyDescent="0.3">
      <c r="A17" s="230" t="s">
        <v>21</v>
      </c>
      <c r="B17" s="626">
        <f ca="1">'Configuración de Tablas'!K9</f>
        <v>12</v>
      </c>
      <c r="C17" s="417"/>
      <c r="D17" s="620" t="s">
        <v>1643</v>
      </c>
      <c r="G17" s="261">
        <f ca="1">SUM(__Capital)</f>
        <v>149041.75685999999</v>
      </c>
      <c r="H17" s="261"/>
      <c r="I17" s="261"/>
      <c r="J17" s="261">
        <f ca="1">SUM(__Interes)</f>
        <v>10749.532258459431</v>
      </c>
      <c r="K17" s="261">
        <f ca="1">SUM(__IVA)</f>
        <v>1289.9438710151317</v>
      </c>
      <c r="M17" s="261">
        <f>SUM(__Abono_Anticipado)</f>
        <v>0</v>
      </c>
      <c r="X17" s="998" t="s">
        <v>116</v>
      </c>
      <c r="Y17" s="998"/>
      <c r="AH17" s="649" t="s">
        <v>56</v>
      </c>
    </row>
    <row r="18" spans="1:36" x14ac:dyDescent="0.3">
      <c r="A18" s="230" t="s">
        <v>22</v>
      </c>
      <c r="B18" s="626">
        <f ca="1">'Configuración de Tablas'!K10</f>
        <v>12</v>
      </c>
      <c r="C18" s="417"/>
      <c r="P18" s="618"/>
      <c r="R18" s="618"/>
      <c r="S18" s="618"/>
      <c r="T18" s="618"/>
      <c r="W18" s="618"/>
      <c r="X18" s="618"/>
      <c r="Y18" s="618"/>
      <c r="Z18" s="618"/>
      <c r="AA18" s="618"/>
      <c r="AB18" s="618"/>
      <c r="AC18" s="618"/>
      <c r="AD18" s="618"/>
      <c r="AE18" s="618"/>
    </row>
    <row r="19" spans="1:36" x14ac:dyDescent="0.3">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11619.004092347395</v>
      </c>
      <c r="H19" s="83">
        <f t="shared" ref="H19:H82" ca="1" si="0" xml:space="preserve"> __Saldo_Inicial * _Tasa.Diaria</f>
        <v>53.406629541499996</v>
      </c>
      <c r="I19" s="84">
        <f ca="1">T_AutoYSeguroMulti!__Dias_Interes_Periodo</f>
        <v>32</v>
      </c>
      <c r="J19" s="84">
        <f t="shared" ref="J19:J82" ca="1" si="1" xml:space="preserve"> __Interes_Diario * __Dias_Interes_Periodo</f>
        <v>1709.0121453279999</v>
      </c>
      <c r="K19" s="84">
        <f t="shared" ref="K19:K82" ca="1" si="2" xml:space="preserve"> __Interes * i.Iva.Intereses</f>
        <v>205.08145743935998</v>
      </c>
      <c r="L19" s="84">
        <f t="shared" ref="L19:L82" ca="1" si="3" xml:space="preserve"> __Capital + __Interes + __IVA</f>
        <v>13533.097695114755</v>
      </c>
      <c r="M19" s="646">
        <f>INDEX(TablaCliente!_CapturaAbonoAnticipadoTablaCliente,__Amortizacion)</f>
        <v>0</v>
      </c>
      <c r="N19" s="84">
        <f t="shared" ref="N19:N82" ca="1" si="4">MAX( __Saldo_Inicial-__Capital-__Abono_Anticipado, 0)</f>
        <v>137422.75276765259</v>
      </c>
      <c r="P19" s="618" t="b">
        <v>1</v>
      </c>
      <c r="Q19" s="98"/>
      <c r="R19" s="84">
        <f ca="1" xml:space="preserve"> T_AutoYSeguroMulti!_Pago.Fijo + T_SeguroAnual!__Pago_Fijo</f>
        <v>13413.466844941795</v>
      </c>
      <c r="S19" s="84">
        <f ca="1" xml:space="preserve"> T_AutoYSeguroMulti!__Capital + T_SeguroAnual!__Capital</f>
        <v>11619.004092347395</v>
      </c>
      <c r="T19" s="84">
        <f t="shared" ref="T19:T82" ca="1" si="5">__Pago_Fijo - (__Interes_Diario * i.Dias.Por.Periodo * (1+i.Iva.Intereses))</f>
        <v>11619.004092347395</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x14ac:dyDescent="0.3">
      <c r="A20" s="230" t="s">
        <v>24</v>
      </c>
      <c r="B20" s="633">
        <f ca="1">'Configuración de Tablas'!K12</f>
        <v>0.129</v>
      </c>
      <c r="C20" s="417"/>
      <c r="D20" s="619">
        <v>2</v>
      </c>
      <c r="F20" s="18">
        <f ca="1" xml:space="preserve"> ( __Saldo_Final _Anterior + T_SeguroAnual!__Saldo_Ciclico ) * ( __Stopper_Saldo_Inicial )</f>
        <v>137422.75276765259</v>
      </c>
      <c r="G20" s="83">
        <f ca="1">MIN( CHOOSE(i.Opcion.Abono, __Capital_Opcion_1, __Capital_Opcion_2, __Capital_Opcion_3) _Actual, __Saldo_Inicial _Actual)</f>
        <v>11758.896901619257</v>
      </c>
      <c r="H20" s="83">
        <f t="shared" ca="1" si="0"/>
        <v>49.243153075075512</v>
      </c>
      <c r="I20" s="84">
        <f ca="1">T_AutoYSeguroMulti!__Dias_Interes_Periodo</f>
        <v>30</v>
      </c>
      <c r="J20" s="84">
        <f t="shared" ca="1" si="1"/>
        <v>1477.2945922522654</v>
      </c>
      <c r="K20" s="84">
        <f t="shared" ca="1" si="2"/>
        <v>177.27535107027182</v>
      </c>
      <c r="L20" s="83">
        <f t="shared" ca="1" si="3"/>
        <v>13413.466844941793</v>
      </c>
      <c r="M20" s="646">
        <f>INDEX(TablaCliente!_CapturaAbonoAnticipadoTablaCliente,__Amortizacion)</f>
        <v>0</v>
      </c>
      <c r="N20" s="84">
        <f t="shared" ca="1" si="4"/>
        <v>125663.85586603334</v>
      </c>
      <c r="P20" s="618" t="b">
        <f ca="1">__Saldo_Final _Anterior &gt; 0</f>
        <v>1</v>
      </c>
      <c r="Q20" s="98"/>
      <c r="R20" s="84">
        <f ca="1" xml:space="preserve"> T_AutoYSeguroMulti!_Pago.Fijo + T_SeguroAnual!__Pago_Fijo</f>
        <v>13413.466844941795</v>
      </c>
      <c r="S20" s="84">
        <f ca="1" xml:space="preserve"> T_AutoYSeguroMulti!__Capital + T_SeguroAnual!__Capital</f>
        <v>11758.896901619257</v>
      </c>
      <c r="T20" s="84">
        <f t="shared" ca="1" si="5"/>
        <v>11758.896901619257</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x14ac:dyDescent="0.3">
      <c r="A21" s="230" t="s">
        <v>14</v>
      </c>
      <c r="B21" s="627">
        <f>'Configuración de Tablas'!K13</f>
        <v>360</v>
      </c>
      <c r="C21" s="417"/>
      <c r="D21" s="619">
        <v>3</v>
      </c>
      <c r="F21" s="18">
        <f ca="1" xml:space="preserve"> ( __Saldo_Final _Anterior + T_SeguroAnual!__Saldo_Ciclico ) * ( __Stopper_Saldo_Inicial )</f>
        <v>125663.85586603334</v>
      </c>
      <c r="G21" s="83">
        <f ca="1">MIN( CHOOSE(i.Opcion.Abono, __Capital_Opcion_1, __Capital_Opcion_2, __Capital_Opcion_3) _Actual, __Saldo_Inicial _Actual)</f>
        <v>11900.474020314754</v>
      </c>
      <c r="H21" s="83">
        <f t="shared" ca="1" si="0"/>
        <v>45.029548351995281</v>
      </c>
      <c r="I21" s="84">
        <f ca="1">T_AutoYSeguroMulti!__Dias_Interes_Periodo</f>
        <v>30</v>
      </c>
      <c r="J21" s="84">
        <f t="shared" ca="1" si="1"/>
        <v>1350.8864505598585</v>
      </c>
      <c r="K21" s="84">
        <f t="shared" ca="1" si="2"/>
        <v>162.10637406718303</v>
      </c>
      <c r="L21" s="83">
        <f t="shared" ca="1" si="3"/>
        <v>13413.466844941797</v>
      </c>
      <c r="M21" s="646">
        <f>INDEX(TablaCliente!_CapturaAbonoAnticipadoTablaCliente,__Amortizacion)</f>
        <v>0</v>
      </c>
      <c r="N21" s="84">
        <f t="shared" ca="1" si="4"/>
        <v>113763.38184571858</v>
      </c>
      <c r="P21" s="618" t="b">
        <f ca="1">__Saldo_Final _Anterior &gt; 0</f>
        <v>1</v>
      </c>
      <c r="Q21" s="98"/>
      <c r="R21" s="84">
        <f ca="1" xml:space="preserve"> T_AutoYSeguroMulti!_Pago.Fijo + T_SeguroAnual!__Pago_Fijo</f>
        <v>13413.466844941795</v>
      </c>
      <c r="S21" s="84">
        <f ca="1" xml:space="preserve"> T_AutoYSeguroMulti!__Capital + T_SeguroAnual!__Capital</f>
        <v>11900.474020314754</v>
      </c>
      <c r="T21" s="84">
        <f t="shared" ca="1" si="5"/>
        <v>11900.474020314754</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x14ac:dyDescent="0.3">
      <c r="A22" s="230" t="s">
        <v>25</v>
      </c>
      <c r="B22" s="627">
        <f ca="1">'Configuración de Tablas'!K14</f>
        <v>1</v>
      </c>
      <c r="C22" s="417"/>
      <c r="D22" s="619">
        <v>4</v>
      </c>
      <c r="F22" s="18">
        <f ca="1" xml:space="preserve"> ( __Saldo_Final _Anterior + T_SeguroAnual!__Saldo_Ciclico ) * ( __Stopper_Saldo_Inicial )</f>
        <v>113763.38184571858</v>
      </c>
      <c r="G22" s="83">
        <f ca="1">MIN( CHOOSE(i.Opcion.Abono, __Capital_Opcion_1, __Capital_Opcion_2, __Capital_Opcion_3) _Actual, __Saldo_Inicial _Actual)</f>
        <v>12043.755727519343</v>
      </c>
      <c r="H22" s="83">
        <f t="shared" ca="1" si="0"/>
        <v>40.765211828049161</v>
      </c>
      <c r="I22" s="84">
        <f ca="1">T_AutoYSeguroMulti!__Dias_Interes_Periodo</f>
        <v>30</v>
      </c>
      <c r="J22" s="84">
        <f t="shared" ca="1" si="1"/>
        <v>1222.9563548414749</v>
      </c>
      <c r="K22" s="84">
        <f t="shared" ca="1" si="2"/>
        <v>146.75476258097697</v>
      </c>
      <c r="L22" s="83">
        <f t="shared" ca="1" si="3"/>
        <v>13413.466844941795</v>
      </c>
      <c r="M22" s="646">
        <f>INDEX(TablaCliente!_CapturaAbonoAnticipadoTablaCliente,__Amortizacion)</f>
        <v>0</v>
      </c>
      <c r="N22" s="84">
        <f t="shared" ca="1" si="4"/>
        <v>101719.62611819924</v>
      </c>
      <c r="P22" s="618" t="b">
        <f ca="1">__Saldo_Final _Anterior &gt; 0</f>
        <v>1</v>
      </c>
      <c r="Q22" s="98"/>
      <c r="R22" s="84">
        <f ca="1" xml:space="preserve"> T_AutoYSeguroMulti!_Pago.Fijo + T_SeguroAnual!__Pago_Fijo</f>
        <v>13413.466844941795</v>
      </c>
      <c r="S22" s="84">
        <f ca="1" xml:space="preserve"> T_AutoYSeguroMulti!__Capital + T_SeguroAnual!__Capital</f>
        <v>12043.755727519343</v>
      </c>
      <c r="T22" s="84">
        <f t="shared" ca="1" si="5"/>
        <v>12043.755727519343</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x14ac:dyDescent="0.3">
      <c r="A23" s="89" t="s">
        <v>119</v>
      </c>
      <c r="B23" s="98" t="str">
        <f>'Configuración de Tablas'!K15</f>
        <v>T_AutoYSeguroMulti</v>
      </c>
      <c r="C23" s="417"/>
      <c r="D23" s="619">
        <v>5</v>
      </c>
      <c r="F23" s="18">
        <f ca="1" xml:space="preserve"> ( __Saldo_Final _Anterior + T_SeguroAnual!__Saldo_Ciclico ) * ( __Stopper_Saldo_Inicial )</f>
        <v>101719.62611819924</v>
      </c>
      <c r="G23" s="83">
        <f ca="1">MIN( CHOOSE(i.Opcion.Abono, __Capital_Opcion_1, __Capital_Opcion_2, __Capital_Opcion_3) _Actual, __Saldo_Inicial _Actual)</f>
        <v>12188.762546478676</v>
      </c>
      <c r="H23" s="83">
        <f t="shared" ca="1" si="0"/>
        <v>36.44953269235473</v>
      </c>
      <c r="I23" s="84">
        <f ca="1">T_AutoYSeguroMulti!__Dias_Interes_Periodo</f>
        <v>30</v>
      </c>
      <c r="J23" s="84">
        <f t="shared" ca="1" si="1"/>
        <v>1093.4859807706418</v>
      </c>
      <c r="K23" s="84">
        <f t="shared" ca="1" si="2"/>
        <v>131.21831769247703</v>
      </c>
      <c r="L23" s="83">
        <f t="shared" ca="1" si="3"/>
        <v>13413.466844941795</v>
      </c>
      <c r="M23" s="646">
        <f>INDEX(TablaCliente!_CapturaAbonoAnticipadoTablaCliente,__Amortizacion)</f>
        <v>0</v>
      </c>
      <c r="N23" s="84">
        <f t="shared" ca="1" si="4"/>
        <v>89530.863571720576</v>
      </c>
      <c r="P23" s="618" t="b">
        <f ca="1">__Saldo_Final _Anterior &gt; 0</f>
        <v>1</v>
      </c>
      <c r="Q23" s="98"/>
      <c r="R23" s="84">
        <f ca="1" xml:space="preserve"> T_AutoYSeguroMulti!_Pago.Fijo + T_SeguroAnual!__Pago_Fijo</f>
        <v>13413.466844941795</v>
      </c>
      <c r="S23" s="84">
        <f ca="1" xml:space="preserve"> T_AutoYSeguroMulti!__Capital + T_SeguroAnual!__Capital</f>
        <v>12188.762546478676</v>
      </c>
      <c r="T23" s="84">
        <f t="shared" ca="1" si="5"/>
        <v>12188.762546478676</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x14ac:dyDescent="0.3">
      <c r="A24" s="89" t="s">
        <v>120</v>
      </c>
      <c r="B24" s="98" t="str">
        <f>'Configuración de Tablas'!K16</f>
        <v>T_SeguroAnual</v>
      </c>
      <c r="C24" s="417"/>
      <c r="D24" s="619">
        <v>6</v>
      </c>
      <c r="F24" s="18">
        <f ca="1" xml:space="preserve"> ( __Saldo_Final _Anterior + T_SeguroAnual!__Saldo_Ciclico ) * ( __Stopper_Saldo_Inicial )</f>
        <v>89530.863571720576</v>
      </c>
      <c r="G24" s="83">
        <f ca="1">MIN( CHOOSE(i.Opcion.Abono, __Capital_Opcion_1, __Capital_Opcion_2, __Capital_Opcion_3) _Actual, __Saldo_Inicial _Actual)</f>
        <v>12335.51524753828</v>
      </c>
      <c r="H24" s="83">
        <f t="shared" ca="1" si="0"/>
        <v>32.081892779866543</v>
      </c>
      <c r="I24" s="84">
        <f ca="1">T_AutoYSeguroMulti!__Dias_Interes_Periodo</f>
        <v>30</v>
      </c>
      <c r="J24" s="84">
        <f t="shared" ca="1" si="1"/>
        <v>962.45678339599624</v>
      </c>
      <c r="K24" s="84">
        <f t="shared" ca="1" si="2"/>
        <v>115.49481400751955</v>
      </c>
      <c r="L24" s="83">
        <f t="shared" ca="1" si="3"/>
        <v>13413.466844941795</v>
      </c>
      <c r="M24" s="646">
        <f>INDEX(TablaCliente!_CapturaAbonoAnticipadoTablaCliente,__Amortizacion)</f>
        <v>0</v>
      </c>
      <c r="N24" s="84">
        <f t="shared" ca="1" si="4"/>
        <v>77195.348324182298</v>
      </c>
      <c r="P24" s="618" t="b">
        <f ca="1">__Saldo_Final _Anterior &gt; 0</f>
        <v>1</v>
      </c>
      <c r="Q24" s="98"/>
      <c r="R24" s="84">
        <f ca="1" xml:space="preserve"> T_AutoYSeguroMulti!_Pago.Fijo + T_SeguroAnual!__Pago_Fijo</f>
        <v>13413.466844941795</v>
      </c>
      <c r="S24" s="84">
        <f ca="1" xml:space="preserve"> T_AutoYSeguroMulti!__Capital + T_SeguroAnual!__Capital</f>
        <v>12335.51524753828</v>
      </c>
      <c r="T24" s="84">
        <f t="shared" ca="1" si="5"/>
        <v>12335.515247538278</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x14ac:dyDescent="0.3">
      <c r="A25" s="89" t="s">
        <v>102</v>
      </c>
      <c r="B25" s="98" t="str">
        <f>'Configuración de Tablas'!K17</f>
        <v>TablaCliente!_CapturaAbonoAnticipadoTablaCliente</v>
      </c>
      <c r="C25" s="417"/>
      <c r="D25" s="619">
        <v>7</v>
      </c>
      <c r="F25" s="18">
        <f ca="1" xml:space="preserve"> ( __Saldo_Final _Anterior + T_SeguroAnual!__Saldo_Ciclico ) * ( __Stopper_Saldo_Inicial )</f>
        <v>77195.348324182298</v>
      </c>
      <c r="G25" s="83">
        <f ca="1">MIN( CHOOSE(i.Opcion.Abono, __Capital_Opcion_1, __Capital_Opcion_2, __Capital_Opcion_3) _Actual, __Saldo_Inicial _Actual)</f>
        <v>12484.03485111864</v>
      </c>
      <c r="H25" s="83">
        <f t="shared" ca="1" si="0"/>
        <v>27.66166648283199</v>
      </c>
      <c r="I25" s="84">
        <f ca="1">T_AutoYSeguroMulti!__Dias_Interes_Periodo</f>
        <v>30</v>
      </c>
      <c r="J25" s="84">
        <f t="shared" ca="1" si="1"/>
        <v>829.84999448495967</v>
      </c>
      <c r="K25" s="84">
        <f t="shared" ca="1" si="2"/>
        <v>99.58199933819516</v>
      </c>
      <c r="L25" s="83">
        <f t="shared" ca="1" si="3"/>
        <v>13413.466844941795</v>
      </c>
      <c r="M25" s="646">
        <f>INDEX(TablaCliente!_CapturaAbonoAnticipadoTablaCliente,__Amortizacion)</f>
        <v>0</v>
      </c>
      <c r="N25" s="84">
        <f t="shared" ca="1" si="4"/>
        <v>64711.313473063659</v>
      </c>
      <c r="P25" s="618" t="b">
        <f ca="1">__Saldo_Final _Anterior &gt; 0</f>
        <v>1</v>
      </c>
      <c r="Q25" s="98"/>
      <c r="R25" s="84">
        <f ca="1" xml:space="preserve"> T_AutoYSeguroMulti!_Pago.Fijo + T_SeguroAnual!__Pago_Fijo</f>
        <v>13413.466844941795</v>
      </c>
      <c r="S25" s="84">
        <f ca="1" xml:space="preserve"> T_AutoYSeguroMulti!__Capital + T_SeguroAnual!__Capital</f>
        <v>12484.03485111864</v>
      </c>
      <c r="T25" s="84">
        <f t="shared" ca="1" si="5"/>
        <v>12484.03485111864</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x14ac:dyDescent="0.3">
      <c r="A26" s="215"/>
      <c r="B26" s="653"/>
      <c r="C26" s="417"/>
      <c r="D26" s="619">
        <v>8</v>
      </c>
      <c r="F26" s="18">
        <f ca="1" xml:space="preserve"> ( __Saldo_Final _Anterior + T_SeguroAnual!__Saldo_Ciclico ) * ( __Stopper_Saldo_Inicial )</f>
        <v>64711.313473063659</v>
      </c>
      <c r="G26" s="83">
        <f ca="1">MIN( CHOOSE(i.Opcion.Abono, __Capital_Opcion_1, __Capital_Opcion_2, __Capital_Opcion_3) _Actual, __Saldo_Inicial _Actual)</f>
        <v>12634.342630726109</v>
      </c>
      <c r="H26" s="83">
        <f t="shared" ca="1" si="0"/>
        <v>23.188220661181145</v>
      </c>
      <c r="I26" s="84">
        <f ca="1">T_AutoYSeguroMulti!__Dias_Interes_Periodo</f>
        <v>30</v>
      </c>
      <c r="J26" s="84">
        <f t="shared" ca="1" si="1"/>
        <v>695.64661983543431</v>
      </c>
      <c r="K26" s="84">
        <f t="shared" ca="1" si="2"/>
        <v>83.477594380252114</v>
      </c>
      <c r="L26" s="83">
        <f t="shared" ca="1" si="3"/>
        <v>13413.466844941795</v>
      </c>
      <c r="M26" s="646">
        <f>INDEX(TablaCliente!_CapturaAbonoAnticipadoTablaCliente,__Amortizacion)</f>
        <v>0</v>
      </c>
      <c r="N26" s="84">
        <f t="shared" ca="1" si="4"/>
        <v>52076.970842337549</v>
      </c>
      <c r="P26" s="618" t="b">
        <f ca="1">__Saldo_Final _Anterior &gt; 0</f>
        <v>1</v>
      </c>
      <c r="Q26" s="98"/>
      <c r="R26" s="84">
        <f ca="1" xml:space="preserve"> T_AutoYSeguroMulti!_Pago.Fijo + T_SeguroAnual!__Pago_Fijo</f>
        <v>13413.466844941795</v>
      </c>
      <c r="S26" s="84">
        <f ca="1" xml:space="preserve"> T_AutoYSeguroMulti!__Capital + T_SeguroAnual!__Capital</f>
        <v>12634.342630726109</v>
      </c>
      <c r="T26" s="84">
        <f t="shared" ca="1" si="5"/>
        <v>12634.342630726109</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x14ac:dyDescent="0.3">
      <c r="A27" s="255" t="s">
        <v>425</v>
      </c>
      <c r="B27" s="247"/>
      <c r="C27" s="417"/>
      <c r="D27" s="619">
        <v>9</v>
      </c>
      <c r="F27" s="18">
        <f ca="1" xml:space="preserve"> ( __Saldo_Final _Anterior + T_SeguroAnual!__Saldo_Ciclico ) * ( __Stopper_Saldo_Inicial )</f>
        <v>52076.970842337549</v>
      </c>
      <c r="G27" s="83">
        <f ca="1">MIN( CHOOSE(i.Opcion.Abono, __Capital_Opcion_1, __Capital_Opcion_2, __Capital_Opcion_3) _Actual, __Saldo_Inicial _Actual)</f>
        <v>12786.460116000051</v>
      </c>
      <c r="H27" s="83">
        <f t="shared" ca="1" si="0"/>
        <v>18.660914551837621</v>
      </c>
      <c r="I27" s="84">
        <f ca="1">T_AutoYSeguroMulti!__Dias_Interes_Periodo</f>
        <v>30</v>
      </c>
      <c r="J27" s="84">
        <f t="shared" ca="1" si="1"/>
        <v>559.82743655512866</v>
      </c>
      <c r="K27" s="84">
        <f t="shared" ca="1" si="2"/>
        <v>67.17929238661543</v>
      </c>
      <c r="L27" s="83">
        <f t="shared" ca="1" si="3"/>
        <v>13413.466844941795</v>
      </c>
      <c r="M27" s="646">
        <f>INDEX(TablaCliente!_CapturaAbonoAnticipadoTablaCliente,__Amortizacion)</f>
        <v>0</v>
      </c>
      <c r="N27" s="84">
        <f t="shared" ca="1" si="4"/>
        <v>39290.510726337496</v>
      </c>
      <c r="P27" s="618" t="b">
        <f ca="1">__Saldo_Final _Anterior &gt; 0</f>
        <v>1</v>
      </c>
      <c r="Q27" s="98"/>
      <c r="R27" s="84">
        <f ca="1" xml:space="preserve"> T_AutoYSeguroMulti!_Pago.Fijo + T_SeguroAnual!__Pago_Fijo</f>
        <v>13413.466844941795</v>
      </c>
      <c r="S27" s="84">
        <f ca="1" xml:space="preserve"> T_AutoYSeguroMulti!__Capital + T_SeguroAnual!__Capital</f>
        <v>12786.460116000051</v>
      </c>
      <c r="T27" s="84">
        <f t="shared" ca="1" si="5"/>
        <v>12786.460116000051</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x14ac:dyDescent="0.3">
      <c r="A28" s="214" t="s">
        <v>17</v>
      </c>
      <c r="B28" s="229">
        <f ca="1">i.Tasa.Interes/i.Periodos.Por.Año</f>
        <v>1.0750000000000001E-2</v>
      </c>
      <c r="C28" s="417"/>
      <c r="D28" s="619">
        <v>10</v>
      </c>
      <c r="F28" s="18">
        <f ca="1" xml:space="preserve"> ( __Saldo_Final _Anterior + T_SeguroAnual!__Saldo_Ciclico ) * ( __Stopper_Saldo_Inicial )</f>
        <v>39290.510726337496</v>
      </c>
      <c r="G28" s="83">
        <f ca="1">MIN( CHOOSE(i.Opcion.Abono, __Capital_Opcion_1, __Capital_Opcion_2, __Capital_Opcion_3) _Actual, __Saldo_Inicial _Actual)</f>
        <v>12940.409095796691</v>
      </c>
      <c r="H28" s="83">
        <f t="shared" ca="1" si="0"/>
        <v>14.079099676937602</v>
      </c>
      <c r="I28" s="84">
        <f ca="1">T_AutoYSeguroMulti!__Dias_Interes_Periodo</f>
        <v>30</v>
      </c>
      <c r="J28" s="84">
        <f t="shared" ca="1" si="1"/>
        <v>422.37299030812807</v>
      </c>
      <c r="K28" s="84">
        <f t="shared" ca="1" si="2"/>
        <v>50.684758836975369</v>
      </c>
      <c r="L28" s="83">
        <f t="shared" ca="1" si="3"/>
        <v>13413.466844941793</v>
      </c>
      <c r="M28" s="646">
        <f>INDEX(TablaCliente!_CapturaAbonoAnticipadoTablaCliente,__Amortizacion)</f>
        <v>0</v>
      </c>
      <c r="N28" s="84">
        <f t="shared" ca="1" si="4"/>
        <v>26350.101630540805</v>
      </c>
      <c r="P28" s="618" t="b">
        <f ca="1">__Saldo_Final _Anterior &gt; 0</f>
        <v>1</v>
      </c>
      <c r="Q28" s="98"/>
      <c r="R28" s="84">
        <f ca="1" xml:space="preserve"> T_AutoYSeguroMulti!_Pago.Fijo + T_SeguroAnual!__Pago_Fijo</f>
        <v>13413.466844941795</v>
      </c>
      <c r="S28" s="84">
        <f ca="1" xml:space="preserve"> T_AutoYSeguroMulti!__Capital + T_SeguroAnual!__Capital</f>
        <v>12940.409095796691</v>
      </c>
      <c r="T28" s="84">
        <f t="shared" ca="1" si="5"/>
        <v>12940.409095796691</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x14ac:dyDescent="0.3">
      <c r="A29" s="214" t="s">
        <v>13</v>
      </c>
      <c r="B29" s="229">
        <f ca="1">i.Tasa.Interes/i.Dias.En.Año</f>
        <v>3.5833333333333333E-4</v>
      </c>
      <c r="C29" s="417"/>
      <c r="D29" s="619">
        <v>11</v>
      </c>
      <c r="F29" s="18">
        <f ca="1" xml:space="preserve"> ( __Saldo_Final _Anterior + T_SeguroAnual!__Saldo_Ciclico ) * ( __Stopper_Saldo_Inicial )</f>
        <v>26350.101630540805</v>
      </c>
      <c r="G29" s="83">
        <f ca="1">MIN( CHOOSE(i.Opcion.Abono, __Capital_Opcion_1, __Capital_Opcion_2, __Capital_Opcion_3) _Actual, __Saldo_Inicial _Actual)</f>
        <v>13096.211621310084</v>
      </c>
      <c r="H29" s="83">
        <f t="shared" ca="1" si="0"/>
        <v>9.4421197509437889</v>
      </c>
      <c r="I29" s="84">
        <f ca="1">T_AutoYSeguroMulti!__Dias_Interes_Periodo</f>
        <v>30</v>
      </c>
      <c r="J29" s="84">
        <f t="shared" ca="1" si="1"/>
        <v>283.26359252831367</v>
      </c>
      <c r="K29" s="84">
        <f t="shared" ca="1" si="2"/>
        <v>33.991631103397637</v>
      </c>
      <c r="L29" s="83">
        <f t="shared" ca="1" si="3"/>
        <v>13413.466844941795</v>
      </c>
      <c r="M29" s="646">
        <f>INDEX(TablaCliente!_CapturaAbonoAnticipadoTablaCliente,__Amortizacion)</f>
        <v>0</v>
      </c>
      <c r="N29" s="84">
        <f t="shared" ca="1" si="4"/>
        <v>13253.890009230721</v>
      </c>
      <c r="P29" s="618" t="b">
        <f ca="1">__Saldo_Final _Anterior &gt; 0</f>
        <v>1</v>
      </c>
      <c r="Q29" s="98"/>
      <c r="R29" s="84">
        <f ca="1" xml:space="preserve"> T_AutoYSeguroMulti!_Pago.Fijo + T_SeguroAnual!__Pago_Fijo</f>
        <v>13413.466844941795</v>
      </c>
      <c r="S29" s="84">
        <f ca="1" xml:space="preserve"> T_AutoYSeguroMulti!__Capital + T_SeguroAnual!__Capital</f>
        <v>13096.211621310084</v>
      </c>
      <c r="T29" s="84">
        <f t="shared" ca="1" si="5"/>
        <v>13096.211621310084</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x14ac:dyDescent="0.3">
      <c r="A30" s="231" t="s">
        <v>23</v>
      </c>
      <c r="B30" s="232">
        <f ca="1" xml:space="preserve"> _Tasa.Diaria * i.Dias.Por.Periodo</f>
        <v>1.0749999999999999E-2</v>
      </c>
      <c r="D30" s="619">
        <v>12</v>
      </c>
      <c r="F30" s="18">
        <f ca="1" xml:space="preserve"> ( __Saldo_Final _Anterior + T_SeguroAnual!__Saldo_Ciclico ) * ( __Stopper_Saldo_Inicial )</f>
        <v>13253.890009230721</v>
      </c>
      <c r="G30" s="83">
        <f ca="1">MIN( CHOOSE(i.Opcion.Abono, __Capital_Opcion_1, __Capital_Opcion_2, __Capital_Opcion_3) _Actual, __Saldo_Inicial _Actual)</f>
        <v>13253.890009230714</v>
      </c>
      <c r="H30" s="83">
        <f t="shared" ca="1" si="0"/>
        <v>4.7493105866410081</v>
      </c>
      <c r="I30" s="84">
        <f ca="1">T_AutoYSeguroMulti!__Dias_Interes_Periodo</f>
        <v>30</v>
      </c>
      <c r="J30" s="84">
        <f t="shared" ca="1" si="1"/>
        <v>142.47931759923026</v>
      </c>
      <c r="K30" s="84">
        <f t="shared" ca="1" si="2"/>
        <v>17.097518111907629</v>
      </c>
      <c r="L30" s="83">
        <f t="shared" ca="1" si="3"/>
        <v>13413.466844941853</v>
      </c>
      <c r="M30" s="646">
        <f>INDEX(TablaCliente!_CapturaAbonoAnticipadoTablaCliente,__Amortizacion)</f>
        <v>0</v>
      </c>
      <c r="N30" s="84">
        <f t="shared" ca="1" si="4"/>
        <v>7.2759576141834259E-12</v>
      </c>
      <c r="P30" s="618" t="b">
        <f ca="1">__Saldo_Final _Anterior &gt; 0</f>
        <v>1</v>
      </c>
      <c r="Q30" s="98"/>
      <c r="R30" s="84">
        <f ca="1" xml:space="preserve"> T_AutoYSeguroMulti!_Pago.Fijo + T_SeguroAnual!__Pago_Fijo</f>
        <v>13413.466844941795</v>
      </c>
      <c r="S30" s="84">
        <f ca="1" xml:space="preserve"> T_AutoYSeguroMulti!__Capital + T_SeguroAnual!__Capital</f>
        <v>13253.890009230714</v>
      </c>
      <c r="T30" s="84">
        <f t="shared" ca="1" si="5"/>
        <v>13253.890009230658</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x14ac:dyDescent="0.3">
      <c r="A31" s="215"/>
      <c r="B31" s="233"/>
      <c r="D31" s="619">
        <v>13</v>
      </c>
      <c r="F31" s="18">
        <f ca="1" xml:space="preserve"> ( __Saldo_Final _Anterior + T_SeguroAnual!__Saldo_Ciclico ) * ( __Stopper_Saldo_Inicial )</f>
        <v>7.2759576141834259E-12</v>
      </c>
      <c r="G31" s="83">
        <f ca="1">MIN( CHOOSE(i.Opcion.Abono, __Capital_Opcion_1, __Capital_Opcion_2, __Capital_Opcion_3) _Actual, __Saldo_Inicial _Actual)</f>
        <v>0</v>
      </c>
      <c r="H31" s="83">
        <f t="shared" ca="1" si="0"/>
        <v>2.6072181450823943E-15</v>
      </c>
      <c r="I31" s="84">
        <f ca="1">T_AutoYSeguroMulti!__Dias_Interes_Periodo</f>
        <v>30</v>
      </c>
      <c r="J31" s="84">
        <f t="shared" ca="1" si="1"/>
        <v>7.8216544352471822E-14</v>
      </c>
      <c r="K31" s="84">
        <f t="shared" ca="1" si="2"/>
        <v>9.3859853222966188E-15</v>
      </c>
      <c r="L31" s="83">
        <f t="shared" ca="1" si="3"/>
        <v>8.7602529674768438E-14</v>
      </c>
      <c r="M31" s="646">
        <f>INDEX(TablaCliente!_CapturaAbonoAnticipadoTablaCliente,__Amortizacion)</f>
        <v>0</v>
      </c>
      <c r="N31" s="84">
        <f t="shared" ca="1" si="4"/>
        <v>7.2759576141834259E-12</v>
      </c>
      <c r="P31" s="618" t="b">
        <f ca="1">__Saldo_Final _Anterior &gt; 0</f>
        <v>1</v>
      </c>
      <c r="Q31" s="98"/>
      <c r="R31" s="84">
        <f ca="1" xml:space="preserve"> T_AutoYSeguroMulti!_Pago.Fijo + T_SeguroAnual!__Pago_Fijo</f>
        <v>12689.724443555469</v>
      </c>
      <c r="S31" s="84">
        <f ca="1" xml:space="preserve"> T_AutoYSeguroMulti!__Capital + T_SeguroAnual!__Capital</f>
        <v>0</v>
      </c>
      <c r="T31" s="84">
        <f t="shared" ca="1" si="5"/>
        <v>12689.724443555469</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x14ac:dyDescent="0.3">
      <c r="A32" s="618" t="s">
        <v>5049</v>
      </c>
      <c r="B32" s="618" t="str">
        <f>CONCATENATE(i.Nombre.Tabla.Estandar,"!",A32)</f>
        <v>T_AutoYSeguroMulti!i.Monto.Financiar</v>
      </c>
      <c r="D32" s="619">
        <v>14</v>
      </c>
      <c r="F32" s="18">
        <f ca="1" xml:space="preserve"> ( __Saldo_Final _Anterior + T_SeguroAnual!__Saldo_Ciclico ) * ( __Stopper_Saldo_Inicial )</f>
        <v>7.2759576141834259E-12</v>
      </c>
      <c r="G32" s="83">
        <f ca="1">MIN( CHOOSE(i.Opcion.Abono, __Capital_Opcion_1, __Capital_Opcion_2, __Capital_Opcion_3) _Actual, __Saldo_Inicial _Actual)</f>
        <v>0</v>
      </c>
      <c r="H32" s="83">
        <f t="shared" ca="1" si="0"/>
        <v>2.6072181450823943E-15</v>
      </c>
      <c r="I32" s="84">
        <f ca="1">T_AutoYSeguroMulti!__Dias_Interes_Periodo</f>
        <v>30</v>
      </c>
      <c r="J32" s="84">
        <f t="shared" ca="1" si="1"/>
        <v>7.8216544352471822E-14</v>
      </c>
      <c r="K32" s="84">
        <f t="shared" ca="1" si="2"/>
        <v>9.3859853222966188E-15</v>
      </c>
      <c r="L32" s="83">
        <f t="shared" ca="1" si="3"/>
        <v>8.7602529674768438E-14</v>
      </c>
      <c r="M32" s="646">
        <f>INDEX(TablaCliente!_CapturaAbonoAnticipadoTablaCliente,__Amortizacion)</f>
        <v>0</v>
      </c>
      <c r="N32" s="84">
        <f t="shared" ca="1" si="4"/>
        <v>7.2759576141834259E-12</v>
      </c>
      <c r="P32" s="618" t="b">
        <f ca="1">__Saldo_Final _Anterior &gt; 0</f>
        <v>1</v>
      </c>
      <c r="Q32" s="98"/>
      <c r="R32" s="84">
        <f ca="1" xml:space="preserve"> T_AutoYSeguroMulti!_Pago.Fijo + T_SeguroAnual!__Pago_Fijo</f>
        <v>12689.724443555469</v>
      </c>
      <c r="S32" s="84">
        <f ca="1" xml:space="preserve"> T_AutoYSeguroMulti!__Capital + T_SeguroAnual!__Capital</f>
        <v>0</v>
      </c>
      <c r="T32" s="84">
        <f t="shared" ca="1" si="5"/>
        <v>12689.724443555469</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x14ac:dyDescent="0.3">
      <c r="A33" s="618" t="s">
        <v>5043</v>
      </c>
      <c r="B33" s="618" t="str">
        <f>CONCATENATE(i.Nombre.Tabla.Estandar,"!",A33)</f>
        <v>T_AutoYSeguroMulti!_Pago.Fijo</v>
      </c>
      <c r="D33" s="619">
        <v>15</v>
      </c>
      <c r="F33" s="18">
        <f ca="1" xml:space="preserve"> ( __Saldo_Final _Anterior + T_SeguroAnual!__Saldo_Ciclico ) * ( __Stopper_Saldo_Inicial )</f>
        <v>7.2759576141834259E-12</v>
      </c>
      <c r="G33" s="83">
        <f ca="1">MIN( CHOOSE(i.Opcion.Abono, __Capital_Opcion_1, __Capital_Opcion_2, __Capital_Opcion_3) _Actual, __Saldo_Inicial _Actual)</f>
        <v>0</v>
      </c>
      <c r="H33" s="83">
        <f t="shared" ca="1" si="0"/>
        <v>2.6072181450823943E-15</v>
      </c>
      <c r="I33" s="84">
        <f ca="1">T_AutoYSeguroMulti!__Dias_Interes_Periodo</f>
        <v>30</v>
      </c>
      <c r="J33" s="84">
        <f t="shared" ca="1" si="1"/>
        <v>7.8216544352471822E-14</v>
      </c>
      <c r="K33" s="84">
        <f t="shared" ca="1" si="2"/>
        <v>9.3859853222966188E-15</v>
      </c>
      <c r="L33" s="83">
        <f t="shared" ca="1" si="3"/>
        <v>8.7602529674768438E-14</v>
      </c>
      <c r="M33" s="646">
        <f>INDEX(TablaCliente!_CapturaAbonoAnticipadoTablaCliente,__Amortizacion)</f>
        <v>0</v>
      </c>
      <c r="N33" s="84">
        <f t="shared" ca="1" si="4"/>
        <v>7.2759576141834259E-12</v>
      </c>
      <c r="P33" s="618" t="b">
        <f ca="1">__Saldo_Final _Anterior &gt; 0</f>
        <v>1</v>
      </c>
      <c r="Q33" s="98"/>
      <c r="R33" s="84">
        <f ca="1" xml:space="preserve"> T_AutoYSeguroMulti!_Pago.Fijo + T_SeguroAnual!__Pago_Fijo</f>
        <v>12689.724443555469</v>
      </c>
      <c r="S33" s="84">
        <f ca="1" xml:space="preserve"> T_AutoYSeguroMulti!__Capital + T_SeguroAnual!__Capital</f>
        <v>0</v>
      </c>
      <c r="T33" s="84">
        <f t="shared" ca="1" si="5"/>
        <v>12689.724443555469</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x14ac:dyDescent="0.3">
      <c r="A34" s="618" t="s">
        <v>5044</v>
      </c>
      <c r="B34" s="618" t="str">
        <f>CONCATENATE(i.Nombre.Tabla.Estandar,"!",A34)</f>
        <v>T_AutoYSeguroMulti!__Capital</v>
      </c>
      <c r="D34" s="619">
        <v>16</v>
      </c>
      <c r="F34" s="18">
        <f ca="1" xml:space="preserve"> ( __Saldo_Final _Anterior + T_SeguroAnual!__Saldo_Ciclico ) * ( __Stopper_Saldo_Inicial )</f>
        <v>7.2759576141834259E-12</v>
      </c>
      <c r="G34" s="83">
        <f ca="1">MIN( CHOOSE(i.Opcion.Abono, __Capital_Opcion_1, __Capital_Opcion_2, __Capital_Opcion_3) _Actual, __Saldo_Inicial _Actual)</f>
        <v>0</v>
      </c>
      <c r="H34" s="83">
        <f t="shared" ca="1" si="0"/>
        <v>2.6072181450823943E-15</v>
      </c>
      <c r="I34" s="84">
        <f ca="1">T_AutoYSeguroMulti!__Dias_Interes_Periodo</f>
        <v>30</v>
      </c>
      <c r="J34" s="84">
        <f t="shared" ca="1" si="1"/>
        <v>7.8216544352471822E-14</v>
      </c>
      <c r="K34" s="84">
        <f t="shared" ca="1" si="2"/>
        <v>9.3859853222966188E-15</v>
      </c>
      <c r="L34" s="83">
        <f t="shared" ca="1" si="3"/>
        <v>8.7602529674768438E-14</v>
      </c>
      <c r="M34" s="646">
        <f>INDEX(TablaCliente!_CapturaAbonoAnticipadoTablaCliente,__Amortizacion)</f>
        <v>0</v>
      </c>
      <c r="N34" s="84">
        <f t="shared" ca="1" si="4"/>
        <v>7.2759576141834259E-12</v>
      </c>
      <c r="P34" s="618" t="b">
        <f ca="1">__Saldo_Final _Anterior &gt; 0</f>
        <v>1</v>
      </c>
      <c r="Q34" s="98"/>
      <c r="R34" s="84">
        <f ca="1" xml:space="preserve"> T_AutoYSeguroMulti!_Pago.Fijo + T_SeguroAnual!__Pago_Fijo</f>
        <v>12689.724443555469</v>
      </c>
      <c r="S34" s="84">
        <f ca="1" xml:space="preserve"> T_AutoYSeguroMulti!__Capital + T_SeguroAnual!__Capital</f>
        <v>0</v>
      </c>
      <c r="T34" s="84">
        <f t="shared" ca="1" si="5"/>
        <v>12689.724443555469</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x14ac:dyDescent="0.3">
      <c r="A35" s="618" t="s">
        <v>5045</v>
      </c>
      <c r="B35" s="618" t="str">
        <f>CONCATENATE(i.Nombre.Tabla.Estandar,"!",A35)</f>
        <v>T_AutoYSeguroMulti!__Dias_Interes_Periodo</v>
      </c>
      <c r="D35" s="619">
        <v>17</v>
      </c>
      <c r="F35" s="18">
        <f ca="1" xml:space="preserve"> ( __Saldo_Final _Anterior + T_SeguroAnual!__Saldo_Ciclico ) * ( __Stopper_Saldo_Inicial )</f>
        <v>7.2759576141834259E-12</v>
      </c>
      <c r="G35" s="83">
        <f ca="1">MIN( CHOOSE(i.Opcion.Abono, __Capital_Opcion_1, __Capital_Opcion_2, __Capital_Opcion_3) _Actual, __Saldo_Inicial _Actual)</f>
        <v>0</v>
      </c>
      <c r="H35" s="83">
        <f t="shared" ca="1" si="0"/>
        <v>2.6072181450823943E-15</v>
      </c>
      <c r="I35" s="84">
        <f ca="1">T_AutoYSeguroMulti!__Dias_Interes_Periodo</f>
        <v>30</v>
      </c>
      <c r="J35" s="84">
        <f t="shared" ca="1" si="1"/>
        <v>7.8216544352471822E-14</v>
      </c>
      <c r="K35" s="84">
        <f t="shared" ca="1" si="2"/>
        <v>9.3859853222966188E-15</v>
      </c>
      <c r="L35" s="83">
        <f t="shared" ca="1" si="3"/>
        <v>8.7602529674768438E-14</v>
      </c>
      <c r="M35" s="646">
        <f>INDEX(TablaCliente!_CapturaAbonoAnticipadoTablaCliente,__Amortizacion)</f>
        <v>0</v>
      </c>
      <c r="N35" s="84">
        <f t="shared" ca="1" si="4"/>
        <v>7.2759576141834259E-12</v>
      </c>
      <c r="P35" s="618" t="b">
        <f ca="1">__Saldo_Final _Anterior &gt; 0</f>
        <v>1</v>
      </c>
      <c r="Q35" s="98"/>
      <c r="R35" s="84">
        <f ca="1" xml:space="preserve"> T_AutoYSeguroMulti!_Pago.Fijo + T_SeguroAnual!__Pago_Fijo</f>
        <v>12689.724443555469</v>
      </c>
      <c r="S35" s="84">
        <f ca="1" xml:space="preserve"> T_AutoYSeguroMulti!__Capital + T_SeguroAnual!__Capital</f>
        <v>0</v>
      </c>
      <c r="T35" s="84">
        <f t="shared" ca="1" si="5"/>
        <v>12689.724443555469</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x14ac:dyDescent="0.3">
      <c r="A36" s="618" t="s">
        <v>5046</v>
      </c>
      <c r="B36" s="618" t="str">
        <f>CONCATENATE(i.Nombre.Tabla.Ciclica,"!",A36)</f>
        <v>T_SeguroAnual!__Saldo_Ciclico</v>
      </c>
      <c r="D36" s="619">
        <v>18</v>
      </c>
      <c r="F36" s="18">
        <f ca="1" xml:space="preserve"> ( __Saldo_Final _Anterior + T_SeguroAnual!__Saldo_Ciclico ) * ( __Stopper_Saldo_Inicial )</f>
        <v>7.2759576141834259E-12</v>
      </c>
      <c r="G36" s="83">
        <f ca="1">MIN( CHOOSE(i.Opcion.Abono, __Capital_Opcion_1, __Capital_Opcion_2, __Capital_Opcion_3) _Actual, __Saldo_Inicial _Actual)</f>
        <v>0</v>
      </c>
      <c r="H36" s="83">
        <f t="shared" ca="1" si="0"/>
        <v>2.6072181450823943E-15</v>
      </c>
      <c r="I36" s="84">
        <f ca="1">T_AutoYSeguroMulti!__Dias_Interes_Periodo</f>
        <v>30</v>
      </c>
      <c r="J36" s="84">
        <f t="shared" ca="1" si="1"/>
        <v>7.8216544352471822E-14</v>
      </c>
      <c r="K36" s="84">
        <f t="shared" ca="1" si="2"/>
        <v>9.3859853222966188E-15</v>
      </c>
      <c r="L36" s="83">
        <f t="shared" ca="1" si="3"/>
        <v>8.7602529674768438E-14</v>
      </c>
      <c r="M36" s="646">
        <f>INDEX(TablaCliente!_CapturaAbonoAnticipadoTablaCliente,__Amortizacion)</f>
        <v>0</v>
      </c>
      <c r="N36" s="84">
        <f t="shared" ca="1" si="4"/>
        <v>7.2759576141834259E-12</v>
      </c>
      <c r="P36" s="618" t="b">
        <f ca="1">__Saldo_Final _Anterior &gt; 0</f>
        <v>1</v>
      </c>
      <c r="Q36" s="98"/>
      <c r="R36" s="84">
        <f ca="1" xml:space="preserve"> T_AutoYSeguroMulti!_Pago.Fijo + T_SeguroAnual!__Pago_Fijo</f>
        <v>12689.724443555469</v>
      </c>
      <c r="S36" s="84">
        <f ca="1" xml:space="preserve"> T_AutoYSeguroMulti!__Capital + T_SeguroAnual!__Capital</f>
        <v>0</v>
      </c>
      <c r="T36" s="84">
        <f t="shared" ca="1" si="5"/>
        <v>12689.724443555469</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x14ac:dyDescent="0.3">
      <c r="A37" s="618" t="s">
        <v>5047</v>
      </c>
      <c r="B37" s="618" t="str">
        <f>CONCATENATE(i.Nombre.Tabla.Ciclica,"!",A37)</f>
        <v>T_SeguroAnual!__Pago_Fijo</v>
      </c>
      <c r="D37" s="619">
        <v>19</v>
      </c>
      <c r="F37" s="18">
        <f ca="1" xml:space="preserve"> ( __Saldo_Final _Anterior + T_SeguroAnual!__Saldo_Ciclico ) * ( __Stopper_Saldo_Inicial )</f>
        <v>7.2759576141834259E-12</v>
      </c>
      <c r="G37" s="83">
        <f ca="1">MIN( CHOOSE(i.Opcion.Abono, __Capital_Opcion_1, __Capital_Opcion_2, __Capital_Opcion_3) _Actual, __Saldo_Inicial _Actual)</f>
        <v>0</v>
      </c>
      <c r="H37" s="83">
        <f t="shared" ca="1" si="0"/>
        <v>2.6072181450823943E-15</v>
      </c>
      <c r="I37" s="84">
        <f ca="1">T_AutoYSeguroMulti!__Dias_Interes_Periodo</f>
        <v>30</v>
      </c>
      <c r="J37" s="84">
        <f t="shared" ca="1" si="1"/>
        <v>7.8216544352471822E-14</v>
      </c>
      <c r="K37" s="84">
        <f t="shared" ca="1" si="2"/>
        <v>9.3859853222966188E-15</v>
      </c>
      <c r="L37" s="83">
        <f t="shared" ca="1" si="3"/>
        <v>8.7602529674768438E-14</v>
      </c>
      <c r="M37" s="646">
        <f>INDEX(TablaCliente!_CapturaAbonoAnticipadoTablaCliente,__Amortizacion)</f>
        <v>0</v>
      </c>
      <c r="N37" s="84">
        <f t="shared" ca="1" si="4"/>
        <v>7.2759576141834259E-12</v>
      </c>
      <c r="P37" s="618" t="b">
        <f ca="1">__Saldo_Final _Anterior &gt; 0</f>
        <v>1</v>
      </c>
      <c r="Q37" s="98"/>
      <c r="R37" s="84">
        <f ca="1" xml:space="preserve"> T_AutoYSeguroMulti!_Pago.Fijo + T_SeguroAnual!__Pago_Fijo</f>
        <v>12689.724443555469</v>
      </c>
      <c r="S37" s="84">
        <f ca="1" xml:space="preserve"> T_AutoYSeguroMulti!__Capital + T_SeguroAnual!__Capital</f>
        <v>0</v>
      </c>
      <c r="T37" s="84">
        <f t="shared" ca="1" si="5"/>
        <v>12689.724443555469</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x14ac:dyDescent="0.3">
      <c r="A38" s="618" t="s">
        <v>5044</v>
      </c>
      <c r="B38" s="618" t="str">
        <f>CONCATENATE(i.Nombre.Tabla.Ciclica,"!",A38)</f>
        <v>T_SeguroAnual!__Capital</v>
      </c>
      <c r="D38" s="619">
        <v>20</v>
      </c>
      <c r="F38" s="18">
        <f ca="1" xml:space="preserve"> ( __Saldo_Final _Anterior + T_SeguroAnual!__Saldo_Ciclico ) * ( __Stopper_Saldo_Inicial )</f>
        <v>7.2759576141834259E-12</v>
      </c>
      <c r="G38" s="83">
        <f ca="1">MIN( CHOOSE(i.Opcion.Abono, __Capital_Opcion_1, __Capital_Opcion_2, __Capital_Opcion_3) _Actual, __Saldo_Inicial _Actual)</f>
        <v>0</v>
      </c>
      <c r="H38" s="83">
        <f t="shared" ca="1" si="0"/>
        <v>2.6072181450823943E-15</v>
      </c>
      <c r="I38" s="84">
        <f ca="1">T_AutoYSeguroMulti!__Dias_Interes_Periodo</f>
        <v>30</v>
      </c>
      <c r="J38" s="84">
        <f t="shared" ca="1" si="1"/>
        <v>7.8216544352471822E-14</v>
      </c>
      <c r="K38" s="84">
        <f t="shared" ca="1" si="2"/>
        <v>9.3859853222966188E-15</v>
      </c>
      <c r="L38" s="83">
        <f t="shared" ca="1" si="3"/>
        <v>8.7602529674768438E-14</v>
      </c>
      <c r="M38" s="646">
        <f>INDEX(TablaCliente!_CapturaAbonoAnticipadoTablaCliente,__Amortizacion)</f>
        <v>0</v>
      </c>
      <c r="N38" s="84">
        <f t="shared" ca="1" si="4"/>
        <v>7.2759576141834259E-12</v>
      </c>
      <c r="P38" s="618" t="b">
        <f ca="1">__Saldo_Final _Anterior &gt; 0</f>
        <v>1</v>
      </c>
      <c r="Q38" s="98"/>
      <c r="R38" s="84">
        <f ca="1" xml:space="preserve"> T_AutoYSeguroMulti!_Pago.Fijo + T_SeguroAnual!__Pago_Fijo</f>
        <v>12689.724443555469</v>
      </c>
      <c r="S38" s="84">
        <f ca="1" xml:space="preserve"> T_AutoYSeguroMulti!__Capital + T_SeguroAnual!__Capital</f>
        <v>0</v>
      </c>
      <c r="T38" s="84">
        <f t="shared" ca="1" si="5"/>
        <v>12689.724443555469</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x14ac:dyDescent="0.3">
      <c r="A39" s="618" t="s">
        <v>5048</v>
      </c>
      <c r="B39" s="618" t="str">
        <f>CONCATENATE(i.Nombre.Tabla.Ciclica,"!",A39)</f>
        <v>T_SeguroAnual!__Abono_Sobrante</v>
      </c>
      <c r="D39" s="619">
        <v>21</v>
      </c>
      <c r="F39" s="18">
        <f ca="1" xml:space="preserve"> ( __Saldo_Final _Anterior + T_SeguroAnual!__Saldo_Ciclico ) * ( __Stopper_Saldo_Inicial )</f>
        <v>7.2759576141834259E-12</v>
      </c>
      <c r="G39" s="83">
        <f ca="1">MIN( CHOOSE(i.Opcion.Abono, __Capital_Opcion_1, __Capital_Opcion_2, __Capital_Opcion_3) _Actual, __Saldo_Inicial _Actual)</f>
        <v>0</v>
      </c>
      <c r="H39" s="83">
        <f t="shared" ca="1" si="0"/>
        <v>2.6072181450823943E-15</v>
      </c>
      <c r="I39" s="84">
        <f ca="1">T_AutoYSeguroMulti!__Dias_Interes_Periodo</f>
        <v>30</v>
      </c>
      <c r="J39" s="84">
        <f t="shared" ca="1" si="1"/>
        <v>7.8216544352471822E-14</v>
      </c>
      <c r="K39" s="84">
        <f t="shared" ca="1" si="2"/>
        <v>9.3859853222966188E-15</v>
      </c>
      <c r="L39" s="83">
        <f t="shared" ca="1" si="3"/>
        <v>8.7602529674768438E-14</v>
      </c>
      <c r="M39" s="646">
        <f>INDEX(TablaCliente!_CapturaAbonoAnticipadoTablaCliente,__Amortizacion)</f>
        <v>0</v>
      </c>
      <c r="N39" s="84">
        <f t="shared" ca="1" si="4"/>
        <v>7.2759576141834259E-12</v>
      </c>
      <c r="P39" s="618" t="b">
        <f ca="1">__Saldo_Final _Anterior &gt; 0</f>
        <v>1</v>
      </c>
      <c r="Q39" s="98"/>
      <c r="R39" s="84">
        <f ca="1" xml:space="preserve"> T_AutoYSeguroMulti!_Pago.Fijo + T_SeguroAnual!__Pago_Fijo</f>
        <v>12689.724443555469</v>
      </c>
      <c r="S39" s="84">
        <f ca="1" xml:space="preserve"> T_AutoYSeguroMulti!__Capital + T_SeguroAnual!__Capital</f>
        <v>0</v>
      </c>
      <c r="T39" s="84">
        <f t="shared" ca="1" si="5"/>
        <v>12689.724443555469</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x14ac:dyDescent="0.3">
      <c r="D40" s="619">
        <v>22</v>
      </c>
      <c r="F40" s="18">
        <f ca="1" xml:space="preserve"> ( __Saldo_Final _Anterior + T_SeguroAnual!__Saldo_Ciclico ) * ( __Stopper_Saldo_Inicial )</f>
        <v>7.2759576141834259E-12</v>
      </c>
      <c r="G40" s="83">
        <f ca="1">MIN( CHOOSE(i.Opcion.Abono, __Capital_Opcion_1, __Capital_Opcion_2, __Capital_Opcion_3) _Actual, __Saldo_Inicial _Actual)</f>
        <v>0</v>
      </c>
      <c r="H40" s="83">
        <f t="shared" ca="1" si="0"/>
        <v>2.6072181450823943E-15</v>
      </c>
      <c r="I40" s="84">
        <f ca="1">T_AutoYSeguroMulti!__Dias_Interes_Periodo</f>
        <v>30</v>
      </c>
      <c r="J40" s="84">
        <f t="shared" ca="1" si="1"/>
        <v>7.8216544352471822E-14</v>
      </c>
      <c r="K40" s="84">
        <f t="shared" ca="1" si="2"/>
        <v>9.3859853222966188E-15</v>
      </c>
      <c r="L40" s="83">
        <f t="shared" ca="1" si="3"/>
        <v>8.7602529674768438E-14</v>
      </c>
      <c r="M40" s="646">
        <f>INDEX(TablaCliente!_CapturaAbonoAnticipadoTablaCliente,__Amortizacion)</f>
        <v>0</v>
      </c>
      <c r="N40" s="84">
        <f t="shared" ca="1" si="4"/>
        <v>7.2759576141834259E-12</v>
      </c>
      <c r="P40" s="618" t="b">
        <f ca="1">__Saldo_Final _Anterior &gt; 0</f>
        <v>1</v>
      </c>
      <c r="Q40" s="98"/>
      <c r="R40" s="84">
        <f ca="1" xml:space="preserve"> T_AutoYSeguroMulti!_Pago.Fijo + T_SeguroAnual!__Pago_Fijo</f>
        <v>12689.724443555469</v>
      </c>
      <c r="S40" s="84">
        <f ca="1" xml:space="preserve"> T_AutoYSeguroMulti!__Capital + T_SeguroAnual!__Capital</f>
        <v>0</v>
      </c>
      <c r="T40" s="84">
        <f t="shared" ca="1" si="5"/>
        <v>12689.724443555469</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x14ac:dyDescent="0.3">
      <c r="A41" s="231" t="s">
        <v>121</v>
      </c>
      <c r="B41" s="235" t="e">
        <f ca="1">MIN( MATCH(0, __Saldo_Final,0), i.Numero.pagos )</f>
        <v>#N/A</v>
      </c>
      <c r="D41" s="619">
        <v>23</v>
      </c>
      <c r="F41" s="18">
        <f ca="1" xml:space="preserve"> ( __Saldo_Final _Anterior + T_SeguroAnual!__Saldo_Ciclico ) * ( __Stopper_Saldo_Inicial )</f>
        <v>7.2759576141834259E-12</v>
      </c>
      <c r="G41" s="83">
        <f ca="1">MIN( CHOOSE(i.Opcion.Abono, __Capital_Opcion_1, __Capital_Opcion_2, __Capital_Opcion_3) _Actual, __Saldo_Inicial _Actual)</f>
        <v>0</v>
      </c>
      <c r="H41" s="83">
        <f t="shared" ca="1" si="0"/>
        <v>2.6072181450823943E-15</v>
      </c>
      <c r="I41" s="84">
        <f ca="1">T_AutoYSeguroMulti!__Dias_Interes_Periodo</f>
        <v>30</v>
      </c>
      <c r="J41" s="84">
        <f t="shared" ca="1" si="1"/>
        <v>7.8216544352471822E-14</v>
      </c>
      <c r="K41" s="84">
        <f t="shared" ca="1" si="2"/>
        <v>9.3859853222966188E-15</v>
      </c>
      <c r="L41" s="83">
        <f t="shared" ca="1" si="3"/>
        <v>8.7602529674768438E-14</v>
      </c>
      <c r="M41" s="646">
        <f>INDEX(TablaCliente!_CapturaAbonoAnticipadoTablaCliente,__Amortizacion)</f>
        <v>0</v>
      </c>
      <c r="N41" s="84">
        <f t="shared" ca="1" si="4"/>
        <v>7.2759576141834259E-12</v>
      </c>
      <c r="P41" s="618" t="b">
        <f ca="1">__Saldo_Final _Anterior &gt; 0</f>
        <v>1</v>
      </c>
      <c r="Q41" s="98"/>
      <c r="R41" s="84">
        <f ca="1" xml:space="preserve"> T_AutoYSeguroMulti!_Pago.Fijo + T_SeguroAnual!__Pago_Fijo</f>
        <v>12689.724443555469</v>
      </c>
      <c r="S41" s="84">
        <f ca="1" xml:space="preserve"> T_AutoYSeguroMulti!__Capital + T_SeguroAnual!__Capital</f>
        <v>0</v>
      </c>
      <c r="T41" s="84">
        <f t="shared" ca="1" si="5"/>
        <v>12689.724443555469</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x14ac:dyDescent="0.3">
      <c r="D42" s="619">
        <v>24</v>
      </c>
      <c r="F42" s="18">
        <f ca="1" xml:space="preserve"> ( __Saldo_Final _Anterior + T_SeguroAnual!__Saldo_Ciclico ) * ( __Stopper_Saldo_Inicial )</f>
        <v>7.2759576141834259E-12</v>
      </c>
      <c r="G42" s="83">
        <f ca="1">MIN( CHOOSE(i.Opcion.Abono, __Capital_Opcion_1, __Capital_Opcion_2, __Capital_Opcion_3) _Actual, __Saldo_Inicial _Actual)</f>
        <v>0</v>
      </c>
      <c r="H42" s="83">
        <f t="shared" ca="1" si="0"/>
        <v>2.6072181450823943E-15</v>
      </c>
      <c r="I42" s="84">
        <f ca="1">T_AutoYSeguroMulti!__Dias_Interes_Periodo</f>
        <v>30</v>
      </c>
      <c r="J42" s="84">
        <f t="shared" ca="1" si="1"/>
        <v>7.8216544352471822E-14</v>
      </c>
      <c r="K42" s="84">
        <f t="shared" ca="1" si="2"/>
        <v>9.3859853222966188E-15</v>
      </c>
      <c r="L42" s="83">
        <f t="shared" ca="1" si="3"/>
        <v>8.7602529674768438E-14</v>
      </c>
      <c r="M42" s="646">
        <f>INDEX(TablaCliente!_CapturaAbonoAnticipadoTablaCliente,__Amortizacion)</f>
        <v>0</v>
      </c>
      <c r="N42" s="84">
        <f t="shared" ca="1" si="4"/>
        <v>7.2759576141834259E-12</v>
      </c>
      <c r="P42" s="618" t="b">
        <f ca="1">__Saldo_Final _Anterior &gt; 0</f>
        <v>1</v>
      </c>
      <c r="Q42" s="98"/>
      <c r="R42" s="84">
        <f ca="1" xml:space="preserve"> T_AutoYSeguroMulti!_Pago.Fijo + T_SeguroAnual!__Pago_Fijo</f>
        <v>12689.724443555469</v>
      </c>
      <c r="S42" s="84">
        <f ca="1" xml:space="preserve"> T_AutoYSeguroMulti!__Capital + T_SeguroAnual!__Capital</f>
        <v>0</v>
      </c>
      <c r="T42" s="84">
        <f t="shared" ca="1" si="5"/>
        <v>12689.724443555469</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x14ac:dyDescent="0.3">
      <c r="A43" s="651" t="s">
        <v>5021</v>
      </c>
      <c r="B43" s="650"/>
      <c r="C43" s="618"/>
      <c r="D43" s="98">
        <v>25</v>
      </c>
      <c r="F43" s="18">
        <f ca="1" xml:space="preserve"> ( __Saldo_Final _Anterior + T_SeguroAnual!__Saldo_Ciclico ) * ( __Stopper_Saldo_Inicial )</f>
        <v>7.2759576141834259E-12</v>
      </c>
      <c r="G43" s="83">
        <f ca="1">MIN( CHOOSE(i.Opcion.Abono, __Capital_Opcion_1, __Capital_Opcion_2, __Capital_Opcion_3) _Actual, __Saldo_Inicial _Actual)</f>
        <v>0</v>
      </c>
      <c r="H43" s="83">
        <f t="shared" ca="1" si="0"/>
        <v>2.6072181450823943E-15</v>
      </c>
      <c r="I43" s="84">
        <f ca="1">T_AutoYSeguroMulti!__Dias_Interes_Periodo</f>
        <v>30</v>
      </c>
      <c r="J43" s="84">
        <f t="shared" ca="1" si="1"/>
        <v>7.8216544352471822E-14</v>
      </c>
      <c r="K43" s="84">
        <f t="shared" ca="1" si="2"/>
        <v>9.3859853222966188E-15</v>
      </c>
      <c r="L43" s="83">
        <f t="shared" ca="1" si="3"/>
        <v>8.7602529674768438E-14</v>
      </c>
      <c r="M43" s="646">
        <f>INDEX(TablaCliente!_CapturaAbonoAnticipadoTablaCliente,__Amortizacion)</f>
        <v>0</v>
      </c>
      <c r="N43" s="84">
        <f t="shared" ca="1" si="4"/>
        <v>7.2759576141834259E-12</v>
      </c>
      <c r="P43" s="618" t="b">
        <f ca="1">__Saldo_Final _Anterior &gt; 0</f>
        <v>1</v>
      </c>
      <c r="R43" s="84">
        <f ca="1" xml:space="preserve"> T_AutoYSeguroMulti!_Pago.Fijo + T_SeguroAnual!__Pago_Fijo</f>
        <v>12689.724443555469</v>
      </c>
      <c r="S43" s="84">
        <f ca="1" xml:space="preserve"> T_AutoYSeguroMulti!__Capital + T_SeguroAnual!__Capital</f>
        <v>0</v>
      </c>
      <c r="T43" s="84">
        <f t="shared" ca="1" si="5"/>
        <v>12689.724443555469</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x14ac:dyDescent="0.3">
      <c r="A44" s="663" t="s">
        <v>5028</v>
      </c>
      <c r="B44" s="219"/>
      <c r="D44" s="619">
        <v>26</v>
      </c>
      <c r="F44" s="18">
        <f ca="1" xml:space="preserve"> ( __Saldo_Final _Anterior + T_SeguroAnual!__Saldo_Ciclico ) * ( __Stopper_Saldo_Inicial )</f>
        <v>7.2759576141834259E-12</v>
      </c>
      <c r="G44" s="83">
        <f ca="1">MIN( CHOOSE(i.Opcion.Abono, __Capital_Opcion_1, __Capital_Opcion_2, __Capital_Opcion_3) _Actual, __Saldo_Inicial _Actual)</f>
        <v>0</v>
      </c>
      <c r="H44" s="83">
        <f t="shared" ca="1" si="0"/>
        <v>2.6072181450823943E-15</v>
      </c>
      <c r="I44" s="84">
        <f ca="1">T_AutoYSeguroMulti!__Dias_Interes_Periodo</f>
        <v>30</v>
      </c>
      <c r="J44" s="84">
        <f t="shared" ca="1" si="1"/>
        <v>7.8216544352471822E-14</v>
      </c>
      <c r="K44" s="84">
        <f t="shared" ca="1" si="2"/>
        <v>9.3859853222966188E-15</v>
      </c>
      <c r="L44" s="83">
        <f t="shared" ca="1" si="3"/>
        <v>8.7602529674768438E-14</v>
      </c>
      <c r="M44" s="646">
        <f>INDEX(TablaCliente!_CapturaAbonoAnticipadoTablaCliente,__Amortizacion)</f>
        <v>0</v>
      </c>
      <c r="N44" s="84">
        <f t="shared" ca="1" si="4"/>
        <v>7.2759576141834259E-12</v>
      </c>
      <c r="P44" s="618" t="b">
        <f ca="1">__Saldo_Final _Anterior &gt; 0</f>
        <v>1</v>
      </c>
      <c r="Q44" s="98"/>
      <c r="R44" s="84">
        <f ca="1" xml:space="preserve"> T_AutoYSeguroMulti!_Pago.Fijo + T_SeguroAnual!__Pago_Fijo</f>
        <v>12689.724443555469</v>
      </c>
      <c r="S44" s="84">
        <f ca="1" xml:space="preserve"> T_AutoYSeguroMulti!__Capital + T_SeguroAnual!__Capital</f>
        <v>0</v>
      </c>
      <c r="T44" s="84">
        <f t="shared" ca="1" si="5"/>
        <v>12689.724443555469</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x14ac:dyDescent="0.3">
      <c r="A45" s="662" t="s">
        <v>5023</v>
      </c>
      <c r="B45" s="662" t="s">
        <v>456</v>
      </c>
      <c r="D45" s="619">
        <v>27</v>
      </c>
      <c r="F45" s="18">
        <f ca="1" xml:space="preserve"> ( __Saldo_Final _Anterior + T_SeguroAnual!__Saldo_Ciclico ) * ( __Stopper_Saldo_Inicial )</f>
        <v>7.2759576141834259E-12</v>
      </c>
      <c r="G45" s="83">
        <f ca="1">MIN( CHOOSE(i.Opcion.Abono, __Capital_Opcion_1, __Capital_Opcion_2, __Capital_Opcion_3) _Actual, __Saldo_Inicial _Actual)</f>
        <v>0</v>
      </c>
      <c r="H45" s="83">
        <f t="shared" ca="1" si="0"/>
        <v>2.6072181450823943E-15</v>
      </c>
      <c r="I45" s="84">
        <f ca="1">T_AutoYSeguroMulti!__Dias_Interes_Periodo</f>
        <v>30</v>
      </c>
      <c r="J45" s="84">
        <f t="shared" ca="1" si="1"/>
        <v>7.8216544352471822E-14</v>
      </c>
      <c r="K45" s="84">
        <f t="shared" ca="1" si="2"/>
        <v>9.3859853222966188E-15</v>
      </c>
      <c r="L45" s="83">
        <f t="shared" ca="1" si="3"/>
        <v>8.7602529674768438E-14</v>
      </c>
      <c r="M45" s="646">
        <f>INDEX(TablaCliente!_CapturaAbonoAnticipadoTablaCliente,__Amortizacion)</f>
        <v>0</v>
      </c>
      <c r="N45" s="84">
        <f t="shared" ca="1" si="4"/>
        <v>7.2759576141834259E-12</v>
      </c>
      <c r="P45" s="618" t="b">
        <f ca="1">__Saldo_Final _Anterior &gt; 0</f>
        <v>1</v>
      </c>
      <c r="Q45" s="98"/>
      <c r="R45" s="84">
        <f ca="1" xml:space="preserve"> T_AutoYSeguroMulti!_Pago.Fijo + T_SeguroAnual!__Pago_Fijo</f>
        <v>12689.724443555469</v>
      </c>
      <c r="S45" s="84">
        <f ca="1" xml:space="preserve"> T_AutoYSeguroMulti!__Capital + T_SeguroAnual!__Capital</f>
        <v>0</v>
      </c>
      <c r="T45" s="84">
        <f t="shared" ca="1" si="5"/>
        <v>12689.724443555469</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x14ac:dyDescent="0.3">
      <c r="A46" s="619" t="s">
        <v>5040</v>
      </c>
      <c r="B46" s="30" t="str">
        <f>_Rango.Ciclico.Abono.Sobrante</f>
        <v>T_SeguroAnual!__Abono_Sobrante</v>
      </c>
      <c r="D46" s="619">
        <v>28</v>
      </c>
      <c r="F46" s="18">
        <f ca="1" xml:space="preserve"> ( __Saldo_Final _Anterior + T_SeguroAnual!__Saldo_Ciclico ) * ( __Stopper_Saldo_Inicial )</f>
        <v>7.2759576141834259E-12</v>
      </c>
      <c r="G46" s="83">
        <f ca="1">MIN( CHOOSE(i.Opcion.Abono, __Capital_Opcion_1, __Capital_Opcion_2, __Capital_Opcion_3) _Actual, __Saldo_Inicial _Actual)</f>
        <v>0</v>
      </c>
      <c r="H46" s="83">
        <f t="shared" ca="1" si="0"/>
        <v>2.6072181450823943E-15</v>
      </c>
      <c r="I46" s="84">
        <f ca="1">T_AutoYSeguroMulti!__Dias_Interes_Periodo</f>
        <v>30</v>
      </c>
      <c r="J46" s="84">
        <f t="shared" ca="1" si="1"/>
        <v>7.8216544352471822E-14</v>
      </c>
      <c r="K46" s="84">
        <f t="shared" ca="1" si="2"/>
        <v>9.3859853222966188E-15</v>
      </c>
      <c r="L46" s="83">
        <f t="shared" ca="1" si="3"/>
        <v>8.7602529674768438E-14</v>
      </c>
      <c r="M46" s="646">
        <f>INDEX(TablaCliente!_CapturaAbonoAnticipadoTablaCliente,__Amortizacion)</f>
        <v>0</v>
      </c>
      <c r="N46" s="84">
        <f t="shared" ca="1" si="4"/>
        <v>7.2759576141834259E-12</v>
      </c>
      <c r="P46" s="618" t="b">
        <f ca="1">__Saldo_Final _Anterior &gt; 0</f>
        <v>1</v>
      </c>
      <c r="Q46" s="98"/>
      <c r="R46" s="84">
        <f ca="1" xml:space="preserve"> T_AutoYSeguroMulti!_Pago.Fijo + T_SeguroAnual!__Pago_Fijo</f>
        <v>12689.724443555469</v>
      </c>
      <c r="S46" s="84">
        <f ca="1" xml:space="preserve"> T_AutoYSeguroMulti!__Capital + T_SeguroAnual!__Capital</f>
        <v>0</v>
      </c>
      <c r="T46" s="84">
        <f t="shared" ca="1" si="5"/>
        <v>12689.724443555469</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x14ac:dyDescent="0.3">
      <c r="A47" s="619" t="s">
        <v>5039</v>
      </c>
      <c r="B47" s="30" t="str">
        <f>_Rango.Ciclico.Capital</f>
        <v>T_SeguroAnual!__Capital</v>
      </c>
      <c r="D47" s="619">
        <v>29</v>
      </c>
      <c r="F47" s="18">
        <f ca="1" xml:space="preserve"> ( __Saldo_Final _Anterior + T_SeguroAnual!__Saldo_Ciclico ) * ( __Stopper_Saldo_Inicial )</f>
        <v>7.2759576141834259E-12</v>
      </c>
      <c r="G47" s="83">
        <f ca="1">MIN( CHOOSE(i.Opcion.Abono, __Capital_Opcion_1, __Capital_Opcion_2, __Capital_Opcion_3) _Actual, __Saldo_Inicial _Actual)</f>
        <v>0</v>
      </c>
      <c r="H47" s="83">
        <f t="shared" ca="1" si="0"/>
        <v>2.6072181450823943E-15</v>
      </c>
      <c r="I47" s="84">
        <f ca="1">T_AutoYSeguroMulti!__Dias_Interes_Periodo</f>
        <v>30</v>
      </c>
      <c r="J47" s="84">
        <f t="shared" ca="1" si="1"/>
        <v>7.8216544352471822E-14</v>
      </c>
      <c r="K47" s="84">
        <f t="shared" ca="1" si="2"/>
        <v>9.3859853222966188E-15</v>
      </c>
      <c r="L47" s="83">
        <f t="shared" ca="1" si="3"/>
        <v>8.7602529674768438E-14</v>
      </c>
      <c r="M47" s="646">
        <f>INDEX(TablaCliente!_CapturaAbonoAnticipadoTablaCliente,__Amortizacion)</f>
        <v>0</v>
      </c>
      <c r="N47" s="84">
        <f t="shared" ca="1" si="4"/>
        <v>7.2759576141834259E-12</v>
      </c>
      <c r="P47" s="618" t="b">
        <f ca="1">__Saldo_Final _Anterior &gt; 0</f>
        <v>1</v>
      </c>
      <c r="Q47" s="98"/>
      <c r="R47" s="84">
        <f ca="1" xml:space="preserve"> T_AutoYSeguroMulti!_Pago.Fijo + T_SeguroAnual!__Pago_Fijo</f>
        <v>12689.724443555469</v>
      </c>
      <c r="S47" s="84">
        <f ca="1" xml:space="preserve"> T_AutoYSeguroMulti!__Capital + T_SeguroAnual!__Capital</f>
        <v>0</v>
      </c>
      <c r="T47" s="84">
        <f t="shared" ca="1" si="5"/>
        <v>12689.724443555469</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x14ac:dyDescent="0.3">
      <c r="A48" s="619" t="s">
        <v>5038</v>
      </c>
      <c r="B48" s="30" t="str">
        <f>_Rango.Ciclico.Pago</f>
        <v>T_SeguroAnual!__Pago_Fijo</v>
      </c>
      <c r="D48" s="619">
        <v>30</v>
      </c>
      <c r="F48" s="18">
        <f ca="1" xml:space="preserve"> ( __Saldo_Final _Anterior + T_SeguroAnual!__Saldo_Ciclico ) * ( __Stopper_Saldo_Inicial )</f>
        <v>7.2759576141834259E-12</v>
      </c>
      <c r="G48" s="83">
        <f ca="1">MIN( CHOOSE(i.Opcion.Abono, __Capital_Opcion_1, __Capital_Opcion_2, __Capital_Opcion_3) _Actual, __Saldo_Inicial _Actual)</f>
        <v>0</v>
      </c>
      <c r="H48" s="83">
        <f t="shared" ca="1" si="0"/>
        <v>2.6072181450823943E-15</v>
      </c>
      <c r="I48" s="84">
        <f ca="1">T_AutoYSeguroMulti!__Dias_Interes_Periodo</f>
        <v>30</v>
      </c>
      <c r="J48" s="84">
        <f t="shared" ca="1" si="1"/>
        <v>7.8216544352471822E-14</v>
      </c>
      <c r="K48" s="84">
        <f t="shared" ca="1" si="2"/>
        <v>9.3859853222966188E-15</v>
      </c>
      <c r="L48" s="83">
        <f t="shared" ca="1" si="3"/>
        <v>8.7602529674768438E-14</v>
      </c>
      <c r="M48" s="646">
        <f>INDEX(TablaCliente!_CapturaAbonoAnticipadoTablaCliente,__Amortizacion)</f>
        <v>0</v>
      </c>
      <c r="N48" s="84">
        <f t="shared" ca="1" si="4"/>
        <v>7.2759576141834259E-12</v>
      </c>
      <c r="P48" s="618" t="b">
        <f ca="1">__Saldo_Final _Anterior &gt; 0</f>
        <v>1</v>
      </c>
      <c r="Q48" s="98"/>
      <c r="R48" s="84">
        <f ca="1" xml:space="preserve"> T_AutoYSeguroMulti!_Pago.Fijo + T_SeguroAnual!__Pago_Fijo</f>
        <v>12689.724443555469</v>
      </c>
      <c r="S48" s="84">
        <f ca="1" xml:space="preserve"> T_AutoYSeguroMulti!__Capital + T_SeguroAnual!__Capital</f>
        <v>0</v>
      </c>
      <c r="T48" s="84">
        <f t="shared" ca="1" si="5"/>
        <v>12689.724443555469</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x14ac:dyDescent="0.3">
      <c r="A49" s="619" t="s">
        <v>5037</v>
      </c>
      <c r="B49" s="30" t="str">
        <f>_Rango.Ciclico.Saldo</f>
        <v>T_SeguroAnual!__Saldo_Ciclico</v>
      </c>
      <c r="D49" s="619">
        <v>31</v>
      </c>
      <c r="F49" s="18">
        <f ca="1" xml:space="preserve"> ( __Saldo_Final _Anterior + T_SeguroAnual!__Saldo_Ciclico ) * ( __Stopper_Saldo_Inicial )</f>
        <v>7.2759576141834259E-12</v>
      </c>
      <c r="G49" s="83">
        <f ca="1">MIN( CHOOSE(i.Opcion.Abono, __Capital_Opcion_1, __Capital_Opcion_2, __Capital_Opcion_3) _Actual, __Saldo_Inicial _Actual)</f>
        <v>0</v>
      </c>
      <c r="H49" s="83">
        <f t="shared" ca="1" si="0"/>
        <v>2.6072181450823943E-15</v>
      </c>
      <c r="I49" s="84">
        <f ca="1">T_AutoYSeguroMulti!__Dias_Interes_Periodo</f>
        <v>30</v>
      </c>
      <c r="J49" s="84">
        <f t="shared" ca="1" si="1"/>
        <v>7.8216544352471822E-14</v>
      </c>
      <c r="K49" s="84">
        <f t="shared" ca="1" si="2"/>
        <v>9.3859853222966188E-15</v>
      </c>
      <c r="L49" s="83">
        <f t="shared" ca="1" si="3"/>
        <v>8.7602529674768438E-14</v>
      </c>
      <c r="M49" s="646">
        <f>INDEX(TablaCliente!_CapturaAbonoAnticipadoTablaCliente,__Amortizacion)</f>
        <v>0</v>
      </c>
      <c r="N49" s="84">
        <f t="shared" ca="1" si="4"/>
        <v>7.2759576141834259E-12</v>
      </c>
      <c r="P49" s="618" t="b">
        <f ca="1">__Saldo_Final _Anterior &gt; 0</f>
        <v>1</v>
      </c>
      <c r="Q49" s="98"/>
      <c r="R49" s="84">
        <f ca="1" xml:space="preserve"> T_AutoYSeguroMulti!_Pago.Fijo + T_SeguroAnual!__Pago_Fijo</f>
        <v>12689.724443555469</v>
      </c>
      <c r="S49" s="84">
        <f ca="1" xml:space="preserve"> T_AutoYSeguroMulti!__Capital + T_SeguroAnual!__Capital</f>
        <v>0</v>
      </c>
      <c r="T49" s="84">
        <f t="shared" ca="1" si="5"/>
        <v>12689.724443555469</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x14ac:dyDescent="0.3">
      <c r="A50" s="619" t="s">
        <v>5036</v>
      </c>
      <c r="B50" s="30" t="str">
        <f>_Rango.Estandar.Capital</f>
        <v>T_AutoYSeguroMulti!__Capital</v>
      </c>
      <c r="D50" s="619">
        <v>32</v>
      </c>
      <c r="F50" s="18">
        <f ca="1" xml:space="preserve"> ( __Saldo_Final _Anterior + T_SeguroAnual!__Saldo_Ciclico ) * ( __Stopper_Saldo_Inicial )</f>
        <v>7.2759576141834259E-12</v>
      </c>
      <c r="G50" s="83">
        <f ca="1">MIN( CHOOSE(i.Opcion.Abono, __Capital_Opcion_1, __Capital_Opcion_2, __Capital_Opcion_3) _Actual, __Saldo_Inicial _Actual)</f>
        <v>0</v>
      </c>
      <c r="H50" s="83">
        <f t="shared" ca="1" si="0"/>
        <v>2.6072181450823943E-15</v>
      </c>
      <c r="I50" s="84">
        <f ca="1">T_AutoYSeguroMulti!__Dias_Interes_Periodo</f>
        <v>30</v>
      </c>
      <c r="J50" s="84">
        <f t="shared" ca="1" si="1"/>
        <v>7.8216544352471822E-14</v>
      </c>
      <c r="K50" s="84">
        <f t="shared" ca="1" si="2"/>
        <v>9.3859853222966188E-15</v>
      </c>
      <c r="L50" s="83">
        <f t="shared" ca="1" si="3"/>
        <v>8.7602529674768438E-14</v>
      </c>
      <c r="M50" s="646">
        <f>INDEX(TablaCliente!_CapturaAbonoAnticipadoTablaCliente,__Amortizacion)</f>
        <v>0</v>
      </c>
      <c r="N50" s="84">
        <f t="shared" ca="1" si="4"/>
        <v>7.2759576141834259E-12</v>
      </c>
      <c r="P50" s="618" t="b">
        <f ca="1">__Saldo_Final _Anterior &gt; 0</f>
        <v>1</v>
      </c>
      <c r="Q50" s="98"/>
      <c r="R50" s="84">
        <f ca="1" xml:space="preserve"> T_AutoYSeguroMulti!_Pago.Fijo + T_SeguroAnual!__Pago_Fijo</f>
        <v>12689.724443555469</v>
      </c>
      <c r="S50" s="84">
        <f ca="1" xml:space="preserve"> T_AutoYSeguroMulti!__Capital + T_SeguroAnual!__Capital</f>
        <v>0</v>
      </c>
      <c r="T50" s="84">
        <f t="shared" ca="1" si="5"/>
        <v>12689.724443555469</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x14ac:dyDescent="0.3">
      <c r="A51" s="619" t="s">
        <v>5035</v>
      </c>
      <c r="B51" s="30" t="str">
        <f>_Rango.Estandar.Pago</f>
        <v>T_AutoYSeguroMulti!_Pago.Fijo</v>
      </c>
      <c r="D51" s="619">
        <v>33</v>
      </c>
      <c r="F51" s="18">
        <f ca="1" xml:space="preserve"> ( __Saldo_Final _Anterior + T_SeguroAnual!__Saldo_Ciclico ) * ( __Stopper_Saldo_Inicial )</f>
        <v>7.2759576141834259E-12</v>
      </c>
      <c r="G51" s="83">
        <f ca="1">MIN( CHOOSE(i.Opcion.Abono, __Capital_Opcion_1, __Capital_Opcion_2, __Capital_Opcion_3) _Actual, __Saldo_Inicial _Actual)</f>
        <v>0</v>
      </c>
      <c r="H51" s="83">
        <f t="shared" ca="1" si="0"/>
        <v>2.6072181450823943E-15</v>
      </c>
      <c r="I51" s="84">
        <f ca="1">T_AutoYSeguroMulti!__Dias_Interes_Periodo</f>
        <v>30</v>
      </c>
      <c r="J51" s="84">
        <f t="shared" ca="1" si="1"/>
        <v>7.8216544352471822E-14</v>
      </c>
      <c r="K51" s="84">
        <f t="shared" ca="1" si="2"/>
        <v>9.3859853222966188E-15</v>
      </c>
      <c r="L51" s="83">
        <f t="shared" ca="1" si="3"/>
        <v>8.7602529674768438E-14</v>
      </c>
      <c r="M51" s="646">
        <f>INDEX(TablaCliente!_CapturaAbonoAnticipadoTablaCliente,__Amortizacion)</f>
        <v>0</v>
      </c>
      <c r="N51" s="84">
        <f t="shared" ca="1" si="4"/>
        <v>7.2759576141834259E-12</v>
      </c>
      <c r="P51" s="618" t="b">
        <f ca="1">__Saldo_Final _Anterior &gt; 0</f>
        <v>1</v>
      </c>
      <c r="Q51" s="98"/>
      <c r="R51" s="84">
        <f ca="1" xml:space="preserve"> T_AutoYSeguroMulti!_Pago.Fijo + T_SeguroAnual!__Pago_Fijo</f>
        <v>12689.724443555469</v>
      </c>
      <c r="S51" s="84">
        <f ca="1" xml:space="preserve"> T_AutoYSeguroMulti!__Capital + T_SeguroAnual!__Capital</f>
        <v>0</v>
      </c>
      <c r="T51" s="84">
        <f t="shared" ca="1" si="5"/>
        <v>12689.724443555469</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x14ac:dyDescent="0.3">
      <c r="A52" s="619" t="s">
        <v>5034</v>
      </c>
      <c r="B52" s="30" t="str">
        <f>_Rango.Estandar.Saldo</f>
        <v>T_AutoYSeguroMulti!i.Monto.Financiar</v>
      </c>
      <c r="D52" s="619">
        <v>34</v>
      </c>
      <c r="F52" s="18">
        <f ca="1" xml:space="preserve"> ( __Saldo_Final _Anterior + T_SeguroAnual!__Saldo_Ciclico ) * ( __Stopper_Saldo_Inicial )</f>
        <v>7.2759576141834259E-12</v>
      </c>
      <c r="G52" s="83">
        <f ca="1">MIN( CHOOSE(i.Opcion.Abono, __Capital_Opcion_1, __Capital_Opcion_2, __Capital_Opcion_3) _Actual, __Saldo_Inicial _Actual)</f>
        <v>0</v>
      </c>
      <c r="H52" s="83">
        <f t="shared" ca="1" si="0"/>
        <v>2.6072181450823943E-15</v>
      </c>
      <c r="I52" s="84">
        <f ca="1">T_AutoYSeguroMulti!__Dias_Interes_Periodo</f>
        <v>30</v>
      </c>
      <c r="J52" s="84">
        <f t="shared" ca="1" si="1"/>
        <v>7.8216544352471822E-14</v>
      </c>
      <c r="K52" s="84">
        <f t="shared" ca="1" si="2"/>
        <v>9.3859853222966188E-15</v>
      </c>
      <c r="L52" s="83">
        <f t="shared" ca="1" si="3"/>
        <v>8.7602529674768438E-14</v>
      </c>
      <c r="M52" s="646">
        <f>INDEX(TablaCliente!_CapturaAbonoAnticipadoTablaCliente,__Amortizacion)</f>
        <v>0</v>
      </c>
      <c r="N52" s="84">
        <f t="shared" ca="1" si="4"/>
        <v>7.2759576141834259E-12</v>
      </c>
      <c r="P52" s="618" t="b">
        <f ca="1">__Saldo_Final _Anterior &gt; 0</f>
        <v>1</v>
      </c>
      <c r="Q52" s="98"/>
      <c r="R52" s="84">
        <f ca="1" xml:space="preserve"> T_AutoYSeguroMulti!_Pago.Fijo + T_SeguroAnual!__Pago_Fijo</f>
        <v>12689.724443555469</v>
      </c>
      <c r="S52" s="84">
        <f ca="1" xml:space="preserve"> T_AutoYSeguroMulti!__Capital + T_SeguroAnual!__Capital</f>
        <v>0</v>
      </c>
      <c r="T52" s="84">
        <f t="shared" ca="1" si="5"/>
        <v>12689.724443555469</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x14ac:dyDescent="0.3">
      <c r="A53" s="619" t="s">
        <v>5033</v>
      </c>
      <c r="B53" s="30" t="str">
        <f>_Rango.Estandar.Dias.Periodo</f>
        <v>T_AutoYSeguroMulti!__Dias_Interes_Periodo</v>
      </c>
      <c r="D53" s="619">
        <v>35</v>
      </c>
      <c r="F53" s="18">
        <f ca="1" xml:space="preserve"> ( __Saldo_Final _Anterior + T_SeguroAnual!__Saldo_Ciclico ) * ( __Stopper_Saldo_Inicial )</f>
        <v>7.2759576141834259E-12</v>
      </c>
      <c r="G53" s="83">
        <f ca="1">MIN( CHOOSE(i.Opcion.Abono, __Capital_Opcion_1, __Capital_Opcion_2, __Capital_Opcion_3) _Actual, __Saldo_Inicial _Actual)</f>
        <v>0</v>
      </c>
      <c r="H53" s="83">
        <f t="shared" ca="1" si="0"/>
        <v>2.6072181450823943E-15</v>
      </c>
      <c r="I53" s="84">
        <f ca="1">T_AutoYSeguroMulti!__Dias_Interes_Periodo</f>
        <v>30</v>
      </c>
      <c r="J53" s="84">
        <f t="shared" ca="1" si="1"/>
        <v>7.8216544352471822E-14</v>
      </c>
      <c r="K53" s="84">
        <f t="shared" ca="1" si="2"/>
        <v>9.3859853222966188E-15</v>
      </c>
      <c r="L53" s="83">
        <f t="shared" ca="1" si="3"/>
        <v>8.7602529674768438E-14</v>
      </c>
      <c r="M53" s="646">
        <f>INDEX(TablaCliente!_CapturaAbonoAnticipadoTablaCliente,__Amortizacion)</f>
        <v>0</v>
      </c>
      <c r="N53" s="84">
        <f t="shared" ca="1" si="4"/>
        <v>7.2759576141834259E-12</v>
      </c>
      <c r="P53" s="618" t="b">
        <f ca="1">__Saldo_Final _Anterior &gt; 0</f>
        <v>1</v>
      </c>
      <c r="Q53" s="98"/>
      <c r="R53" s="84">
        <f ca="1" xml:space="preserve"> T_AutoYSeguroMulti!_Pago.Fijo + T_SeguroAnual!__Pago_Fijo</f>
        <v>12689.724443555469</v>
      </c>
      <c r="S53" s="84">
        <f ca="1" xml:space="preserve"> T_AutoYSeguroMulti!__Capital + T_SeguroAnual!__Capital</f>
        <v>0</v>
      </c>
      <c r="T53" s="84">
        <f t="shared" ca="1" si="5"/>
        <v>12689.724443555469</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x14ac:dyDescent="0.3">
      <c r="A54" s="619" t="s">
        <v>5058</v>
      </c>
      <c r="B54" s="30" t="str">
        <f>i.Rango.Abono.Anticipado</f>
        <v>TablaCliente!_CapturaAbonoAnticipadoTablaCliente</v>
      </c>
      <c r="D54" s="619">
        <v>36</v>
      </c>
      <c r="F54" s="18">
        <f ca="1" xml:space="preserve"> ( __Saldo_Final _Anterior + T_SeguroAnual!__Saldo_Ciclico ) * ( __Stopper_Saldo_Inicial )</f>
        <v>7.2759576141834259E-12</v>
      </c>
      <c r="G54" s="83">
        <f ca="1">MIN( CHOOSE(i.Opcion.Abono, __Capital_Opcion_1, __Capital_Opcion_2, __Capital_Opcion_3) _Actual, __Saldo_Inicial _Actual)</f>
        <v>0</v>
      </c>
      <c r="H54" s="83">
        <f t="shared" ca="1" si="0"/>
        <v>2.6072181450823943E-15</v>
      </c>
      <c r="I54" s="84">
        <f ca="1">T_AutoYSeguroMulti!__Dias_Interes_Periodo</f>
        <v>30</v>
      </c>
      <c r="J54" s="84">
        <f t="shared" ca="1" si="1"/>
        <v>7.8216544352471822E-14</v>
      </c>
      <c r="K54" s="84">
        <f t="shared" ca="1" si="2"/>
        <v>9.3859853222966188E-15</v>
      </c>
      <c r="L54" s="83">
        <f t="shared" ca="1" si="3"/>
        <v>8.7602529674768438E-14</v>
      </c>
      <c r="M54" s="646">
        <f>INDEX(TablaCliente!_CapturaAbonoAnticipadoTablaCliente,__Amortizacion)</f>
        <v>0</v>
      </c>
      <c r="N54" s="84">
        <f t="shared" ca="1" si="4"/>
        <v>7.2759576141834259E-12</v>
      </c>
      <c r="P54" s="618" t="b">
        <f ca="1">__Saldo_Final _Anterior &gt; 0</f>
        <v>1</v>
      </c>
      <c r="Q54" s="98"/>
      <c r="R54" s="84">
        <f ca="1" xml:space="preserve"> T_AutoYSeguroMulti!_Pago.Fijo + T_SeguroAnual!__Pago_Fijo</f>
        <v>12689.724443555469</v>
      </c>
      <c r="S54" s="84">
        <f ca="1" xml:space="preserve"> T_AutoYSeguroMulti!__Capital + T_SeguroAnual!__Capital</f>
        <v>0</v>
      </c>
      <c r="T54" s="84">
        <f t="shared" ca="1" si="5"/>
        <v>12689.724443555469</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x14ac:dyDescent="0.3">
      <c r="A55" s="30"/>
      <c r="B55" s="30"/>
      <c r="D55" s="619">
        <v>37</v>
      </c>
      <c r="F55" s="18">
        <f ca="1" xml:space="preserve"> ( __Saldo_Final _Anterior + T_SeguroAnual!__Saldo_Ciclico ) * ( __Stopper_Saldo_Inicial )</f>
        <v>7.2759576141834259E-12</v>
      </c>
      <c r="G55" s="83">
        <f ca="1">MIN( CHOOSE(i.Opcion.Abono, __Capital_Opcion_1, __Capital_Opcion_2, __Capital_Opcion_3) _Actual, __Saldo_Inicial _Actual)</f>
        <v>0</v>
      </c>
      <c r="H55" s="83">
        <f t="shared" ca="1" si="0"/>
        <v>2.6072181450823943E-15</v>
      </c>
      <c r="I55" s="84">
        <f ca="1">T_AutoYSeguroMulti!__Dias_Interes_Periodo</f>
        <v>30</v>
      </c>
      <c r="J55" s="84">
        <f t="shared" ca="1" si="1"/>
        <v>7.8216544352471822E-14</v>
      </c>
      <c r="K55" s="84">
        <f t="shared" ca="1" si="2"/>
        <v>9.3859853222966188E-15</v>
      </c>
      <c r="L55" s="83">
        <f t="shared" ca="1" si="3"/>
        <v>8.7602529674768438E-14</v>
      </c>
      <c r="M55" s="646">
        <f>INDEX(TablaCliente!_CapturaAbonoAnticipadoTablaCliente,__Amortizacion)</f>
        <v>0</v>
      </c>
      <c r="N55" s="84">
        <f t="shared" ca="1" si="4"/>
        <v>7.2759576141834259E-12</v>
      </c>
      <c r="P55" s="618" t="b">
        <f ca="1">__Saldo_Final _Anterior &gt; 0</f>
        <v>1</v>
      </c>
      <c r="Q55" s="98"/>
      <c r="R55" s="84">
        <f ca="1" xml:space="preserve"> T_AutoYSeguroMulti!_Pago.Fijo + T_SeguroAnual!__Pago_Fijo</f>
        <v>12689.724443555469</v>
      </c>
      <c r="S55" s="84">
        <f ca="1" xml:space="preserve"> T_AutoYSeguroMulti!__Capital + T_SeguroAnual!__Capital</f>
        <v>0</v>
      </c>
      <c r="T55" s="84">
        <f t="shared" ca="1" si="5"/>
        <v>12689.724443555469</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x14ac:dyDescent="0.3">
      <c r="B56" s="618"/>
      <c r="D56" s="619">
        <v>38</v>
      </c>
      <c r="F56" s="18">
        <f ca="1" xml:space="preserve"> ( __Saldo_Final _Anterior + T_SeguroAnual!__Saldo_Ciclico ) * ( __Stopper_Saldo_Inicial )</f>
        <v>7.2759576141834259E-12</v>
      </c>
      <c r="G56" s="83">
        <f ca="1">MIN( CHOOSE(i.Opcion.Abono, __Capital_Opcion_1, __Capital_Opcion_2, __Capital_Opcion_3) _Actual, __Saldo_Inicial _Actual)</f>
        <v>0</v>
      </c>
      <c r="H56" s="83">
        <f t="shared" ca="1" si="0"/>
        <v>2.6072181450823943E-15</v>
      </c>
      <c r="I56" s="84">
        <f ca="1">T_AutoYSeguroMulti!__Dias_Interes_Periodo</f>
        <v>30</v>
      </c>
      <c r="J56" s="84">
        <f t="shared" ca="1" si="1"/>
        <v>7.8216544352471822E-14</v>
      </c>
      <c r="K56" s="84">
        <f t="shared" ca="1" si="2"/>
        <v>9.3859853222966188E-15</v>
      </c>
      <c r="L56" s="83">
        <f t="shared" ca="1" si="3"/>
        <v>8.7602529674768438E-14</v>
      </c>
      <c r="M56" s="646">
        <f>INDEX(TablaCliente!_CapturaAbonoAnticipadoTablaCliente,__Amortizacion)</f>
        <v>0</v>
      </c>
      <c r="N56" s="84">
        <f t="shared" ca="1" si="4"/>
        <v>7.2759576141834259E-12</v>
      </c>
      <c r="P56" s="618" t="b">
        <f ca="1">__Saldo_Final _Anterior &gt; 0</f>
        <v>1</v>
      </c>
      <c r="Q56" s="98"/>
      <c r="R56" s="84">
        <f ca="1" xml:space="preserve"> T_AutoYSeguroMulti!_Pago.Fijo + T_SeguroAnual!__Pago_Fijo</f>
        <v>12689.724443555469</v>
      </c>
      <c r="S56" s="84">
        <f ca="1" xml:space="preserve"> T_AutoYSeguroMulti!__Capital + T_SeguroAnual!__Capital</f>
        <v>0</v>
      </c>
      <c r="T56" s="84">
        <f t="shared" ca="1" si="5"/>
        <v>12689.724443555469</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x14ac:dyDescent="0.3">
      <c r="B57" s="618"/>
      <c r="D57" s="619">
        <v>39</v>
      </c>
      <c r="F57" s="18">
        <f ca="1" xml:space="preserve"> ( __Saldo_Final _Anterior + T_SeguroAnual!__Saldo_Ciclico ) * ( __Stopper_Saldo_Inicial )</f>
        <v>7.2759576141834259E-12</v>
      </c>
      <c r="G57" s="83">
        <f ca="1">MIN( CHOOSE(i.Opcion.Abono, __Capital_Opcion_1, __Capital_Opcion_2, __Capital_Opcion_3) _Actual, __Saldo_Inicial _Actual)</f>
        <v>0</v>
      </c>
      <c r="H57" s="83">
        <f t="shared" ca="1" si="0"/>
        <v>2.6072181450823943E-15</v>
      </c>
      <c r="I57" s="84">
        <f ca="1">T_AutoYSeguroMulti!__Dias_Interes_Periodo</f>
        <v>30</v>
      </c>
      <c r="J57" s="84">
        <f t="shared" ca="1" si="1"/>
        <v>7.8216544352471822E-14</v>
      </c>
      <c r="K57" s="84">
        <f t="shared" ca="1" si="2"/>
        <v>9.3859853222966188E-15</v>
      </c>
      <c r="L57" s="83">
        <f t="shared" ca="1" si="3"/>
        <v>8.7602529674768438E-14</v>
      </c>
      <c r="M57" s="646">
        <f>INDEX(TablaCliente!_CapturaAbonoAnticipadoTablaCliente,__Amortizacion)</f>
        <v>0</v>
      </c>
      <c r="N57" s="84">
        <f t="shared" ca="1" si="4"/>
        <v>7.2759576141834259E-12</v>
      </c>
      <c r="P57" s="618" t="b">
        <f ca="1">__Saldo_Final _Anterior &gt; 0</f>
        <v>1</v>
      </c>
      <c r="Q57" s="98"/>
      <c r="R57" s="84">
        <f ca="1" xml:space="preserve"> T_AutoYSeguroMulti!_Pago.Fijo + T_SeguroAnual!__Pago_Fijo</f>
        <v>12689.724443555469</v>
      </c>
      <c r="S57" s="84">
        <f ca="1" xml:space="preserve"> T_AutoYSeguroMulti!__Capital + T_SeguroAnual!__Capital</f>
        <v>0</v>
      </c>
      <c r="T57" s="84">
        <f t="shared" ca="1" si="5"/>
        <v>12689.724443555469</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x14ac:dyDescent="0.3">
      <c r="B58" s="618"/>
      <c r="D58" s="619">
        <v>40</v>
      </c>
      <c r="F58" s="18">
        <f ca="1" xml:space="preserve"> ( __Saldo_Final _Anterior + T_SeguroAnual!__Saldo_Ciclico ) * ( __Stopper_Saldo_Inicial )</f>
        <v>7.2759576141834259E-12</v>
      </c>
      <c r="G58" s="83">
        <f ca="1">MIN( CHOOSE(i.Opcion.Abono, __Capital_Opcion_1, __Capital_Opcion_2, __Capital_Opcion_3) _Actual, __Saldo_Inicial _Actual)</f>
        <v>0</v>
      </c>
      <c r="H58" s="83">
        <f t="shared" ca="1" si="0"/>
        <v>2.6072181450823943E-15</v>
      </c>
      <c r="I58" s="84">
        <f ca="1">T_AutoYSeguroMulti!__Dias_Interes_Periodo</f>
        <v>30</v>
      </c>
      <c r="J58" s="84">
        <f t="shared" ca="1" si="1"/>
        <v>7.8216544352471822E-14</v>
      </c>
      <c r="K58" s="84">
        <f t="shared" ca="1" si="2"/>
        <v>9.3859853222966188E-15</v>
      </c>
      <c r="L58" s="83">
        <f t="shared" ca="1" si="3"/>
        <v>8.7602529674768438E-14</v>
      </c>
      <c r="M58" s="646">
        <f>INDEX(TablaCliente!_CapturaAbonoAnticipadoTablaCliente,__Amortizacion)</f>
        <v>0</v>
      </c>
      <c r="N58" s="84">
        <f t="shared" ca="1" si="4"/>
        <v>7.2759576141834259E-12</v>
      </c>
      <c r="P58" s="618" t="b">
        <f ca="1">__Saldo_Final _Anterior &gt; 0</f>
        <v>1</v>
      </c>
      <c r="Q58" s="98"/>
      <c r="R58" s="84">
        <f ca="1" xml:space="preserve"> T_AutoYSeguroMulti!_Pago.Fijo + T_SeguroAnual!__Pago_Fijo</f>
        <v>12689.724443555469</v>
      </c>
      <c r="S58" s="84">
        <f ca="1" xml:space="preserve"> T_AutoYSeguroMulti!__Capital + T_SeguroAnual!__Capital</f>
        <v>0</v>
      </c>
      <c r="T58" s="84">
        <f t="shared" ca="1" si="5"/>
        <v>12689.724443555469</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x14ac:dyDescent="0.3">
      <c r="B59" s="618"/>
      <c r="D59" s="619">
        <v>41</v>
      </c>
      <c r="F59" s="18">
        <f ca="1" xml:space="preserve"> ( __Saldo_Final _Anterior + T_SeguroAnual!__Saldo_Ciclico ) * ( __Stopper_Saldo_Inicial )</f>
        <v>7.2759576141834259E-12</v>
      </c>
      <c r="G59" s="83">
        <f ca="1">MIN( CHOOSE(i.Opcion.Abono, __Capital_Opcion_1, __Capital_Opcion_2, __Capital_Opcion_3) _Actual, __Saldo_Inicial _Actual)</f>
        <v>0</v>
      </c>
      <c r="H59" s="83">
        <f t="shared" ca="1" si="0"/>
        <v>2.6072181450823943E-15</v>
      </c>
      <c r="I59" s="84">
        <f ca="1">T_AutoYSeguroMulti!__Dias_Interes_Periodo</f>
        <v>30</v>
      </c>
      <c r="J59" s="84">
        <f t="shared" ca="1" si="1"/>
        <v>7.8216544352471822E-14</v>
      </c>
      <c r="K59" s="84">
        <f t="shared" ca="1" si="2"/>
        <v>9.3859853222966188E-15</v>
      </c>
      <c r="L59" s="83">
        <f t="shared" ca="1" si="3"/>
        <v>8.7602529674768438E-14</v>
      </c>
      <c r="M59" s="646">
        <f>INDEX(TablaCliente!_CapturaAbonoAnticipadoTablaCliente,__Amortizacion)</f>
        <v>0</v>
      </c>
      <c r="N59" s="84">
        <f t="shared" ca="1" si="4"/>
        <v>7.2759576141834259E-12</v>
      </c>
      <c r="P59" s="618" t="b">
        <f ca="1">__Saldo_Final _Anterior &gt; 0</f>
        <v>1</v>
      </c>
      <c r="Q59" s="98"/>
      <c r="R59" s="84">
        <f ca="1" xml:space="preserve"> T_AutoYSeguroMulti!_Pago.Fijo + T_SeguroAnual!__Pago_Fijo</f>
        <v>12689.724443555469</v>
      </c>
      <c r="S59" s="84">
        <f ca="1" xml:space="preserve"> T_AutoYSeguroMulti!__Capital + T_SeguroAnual!__Capital</f>
        <v>0</v>
      </c>
      <c r="T59" s="84">
        <f t="shared" ca="1" si="5"/>
        <v>12689.724443555469</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x14ac:dyDescent="0.3">
      <c r="A60" s="30"/>
      <c r="B60" s="618"/>
      <c r="D60" s="619">
        <v>42</v>
      </c>
      <c r="F60" s="18">
        <f ca="1" xml:space="preserve"> ( __Saldo_Final _Anterior + T_SeguroAnual!__Saldo_Ciclico ) * ( __Stopper_Saldo_Inicial )</f>
        <v>7.2759576141834259E-12</v>
      </c>
      <c r="G60" s="83">
        <f ca="1">MIN( CHOOSE(i.Opcion.Abono, __Capital_Opcion_1, __Capital_Opcion_2, __Capital_Opcion_3) _Actual, __Saldo_Inicial _Actual)</f>
        <v>0</v>
      </c>
      <c r="H60" s="83">
        <f t="shared" ca="1" si="0"/>
        <v>2.6072181450823943E-15</v>
      </c>
      <c r="I60" s="84">
        <f ca="1">T_AutoYSeguroMulti!__Dias_Interes_Periodo</f>
        <v>30</v>
      </c>
      <c r="J60" s="84">
        <f t="shared" ca="1" si="1"/>
        <v>7.8216544352471822E-14</v>
      </c>
      <c r="K60" s="84">
        <f t="shared" ca="1" si="2"/>
        <v>9.3859853222966188E-15</v>
      </c>
      <c r="L60" s="83">
        <f t="shared" ca="1" si="3"/>
        <v>8.7602529674768438E-14</v>
      </c>
      <c r="M60" s="646">
        <f>INDEX(TablaCliente!_CapturaAbonoAnticipadoTablaCliente,__Amortizacion)</f>
        <v>0</v>
      </c>
      <c r="N60" s="84">
        <f t="shared" ca="1" si="4"/>
        <v>7.2759576141834259E-12</v>
      </c>
      <c r="P60" s="618" t="b">
        <f ca="1">__Saldo_Final _Anterior &gt; 0</f>
        <v>1</v>
      </c>
      <c r="Q60" s="98"/>
      <c r="R60" s="84">
        <f ca="1" xml:space="preserve"> T_AutoYSeguroMulti!_Pago.Fijo + T_SeguroAnual!__Pago_Fijo</f>
        <v>12689.724443555469</v>
      </c>
      <c r="S60" s="84">
        <f ca="1" xml:space="preserve"> T_AutoYSeguroMulti!__Capital + T_SeguroAnual!__Capital</f>
        <v>0</v>
      </c>
      <c r="T60" s="84">
        <f t="shared" ca="1" si="5"/>
        <v>12689.724443555469</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x14ac:dyDescent="0.3">
      <c r="A61" s="30"/>
      <c r="B61" s="618"/>
      <c r="D61" s="619">
        <v>43</v>
      </c>
      <c r="F61" s="18">
        <f ca="1" xml:space="preserve"> ( __Saldo_Final _Anterior + T_SeguroAnual!__Saldo_Ciclico ) * ( __Stopper_Saldo_Inicial )</f>
        <v>7.2759576141834259E-12</v>
      </c>
      <c r="G61" s="83">
        <f ca="1">MIN( CHOOSE(i.Opcion.Abono, __Capital_Opcion_1, __Capital_Opcion_2, __Capital_Opcion_3) _Actual, __Saldo_Inicial _Actual)</f>
        <v>0</v>
      </c>
      <c r="H61" s="83">
        <f t="shared" ca="1" si="0"/>
        <v>2.6072181450823943E-15</v>
      </c>
      <c r="I61" s="84">
        <f ca="1">T_AutoYSeguroMulti!__Dias_Interes_Periodo</f>
        <v>30</v>
      </c>
      <c r="J61" s="84">
        <f t="shared" ca="1" si="1"/>
        <v>7.8216544352471822E-14</v>
      </c>
      <c r="K61" s="84">
        <f t="shared" ca="1" si="2"/>
        <v>9.3859853222966188E-15</v>
      </c>
      <c r="L61" s="83">
        <f t="shared" ca="1" si="3"/>
        <v>8.7602529674768438E-14</v>
      </c>
      <c r="M61" s="646">
        <f>INDEX(TablaCliente!_CapturaAbonoAnticipadoTablaCliente,__Amortizacion)</f>
        <v>0</v>
      </c>
      <c r="N61" s="84">
        <f t="shared" ca="1" si="4"/>
        <v>7.2759576141834259E-12</v>
      </c>
      <c r="P61" s="618" t="b">
        <f ca="1">__Saldo_Final _Anterior &gt; 0</f>
        <v>1</v>
      </c>
      <c r="Q61" s="98"/>
      <c r="R61" s="84">
        <f ca="1" xml:space="preserve"> T_AutoYSeguroMulti!_Pago.Fijo + T_SeguroAnual!__Pago_Fijo</f>
        <v>12689.724443555469</v>
      </c>
      <c r="S61" s="84">
        <f ca="1" xml:space="preserve"> T_AutoYSeguroMulti!__Capital + T_SeguroAnual!__Capital</f>
        <v>0</v>
      </c>
      <c r="T61" s="84">
        <f t="shared" ca="1" si="5"/>
        <v>12689.724443555469</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x14ac:dyDescent="0.3">
      <c r="A62" s="30"/>
      <c r="B62" s="618"/>
      <c r="D62" s="619">
        <v>44</v>
      </c>
      <c r="F62" s="18">
        <f ca="1" xml:space="preserve"> ( __Saldo_Final _Anterior + T_SeguroAnual!__Saldo_Ciclico ) * ( __Stopper_Saldo_Inicial )</f>
        <v>7.2759576141834259E-12</v>
      </c>
      <c r="G62" s="83">
        <f ca="1">MIN( CHOOSE(i.Opcion.Abono, __Capital_Opcion_1, __Capital_Opcion_2, __Capital_Opcion_3) _Actual, __Saldo_Inicial _Actual)</f>
        <v>0</v>
      </c>
      <c r="H62" s="83">
        <f t="shared" ca="1" si="0"/>
        <v>2.6072181450823943E-15</v>
      </c>
      <c r="I62" s="84">
        <f ca="1">T_AutoYSeguroMulti!__Dias_Interes_Periodo</f>
        <v>30</v>
      </c>
      <c r="J62" s="84">
        <f t="shared" ca="1" si="1"/>
        <v>7.8216544352471822E-14</v>
      </c>
      <c r="K62" s="84">
        <f t="shared" ca="1" si="2"/>
        <v>9.3859853222966188E-15</v>
      </c>
      <c r="L62" s="83">
        <f t="shared" ca="1" si="3"/>
        <v>8.7602529674768438E-14</v>
      </c>
      <c r="M62" s="646">
        <f>INDEX(TablaCliente!_CapturaAbonoAnticipadoTablaCliente,__Amortizacion)</f>
        <v>0</v>
      </c>
      <c r="N62" s="84">
        <f t="shared" ca="1" si="4"/>
        <v>7.2759576141834259E-12</v>
      </c>
      <c r="P62" s="618" t="b">
        <f ca="1">__Saldo_Final _Anterior &gt; 0</f>
        <v>1</v>
      </c>
      <c r="Q62" s="98"/>
      <c r="R62" s="84">
        <f ca="1" xml:space="preserve"> T_AutoYSeguroMulti!_Pago.Fijo + T_SeguroAnual!__Pago_Fijo</f>
        <v>12689.724443555469</v>
      </c>
      <c r="S62" s="84">
        <f ca="1" xml:space="preserve"> T_AutoYSeguroMulti!__Capital + T_SeguroAnual!__Capital</f>
        <v>0</v>
      </c>
      <c r="T62" s="84">
        <f t="shared" ca="1" si="5"/>
        <v>12689.724443555469</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x14ac:dyDescent="0.3">
      <c r="A63" s="30"/>
      <c r="B63" s="618"/>
      <c r="D63" s="619">
        <v>45</v>
      </c>
      <c r="F63" s="18">
        <f ca="1" xml:space="preserve"> ( __Saldo_Final _Anterior + T_SeguroAnual!__Saldo_Ciclico ) * ( __Stopper_Saldo_Inicial )</f>
        <v>7.2759576141834259E-12</v>
      </c>
      <c r="G63" s="83">
        <f ca="1">MIN( CHOOSE(i.Opcion.Abono, __Capital_Opcion_1, __Capital_Opcion_2, __Capital_Opcion_3) _Actual, __Saldo_Inicial _Actual)</f>
        <v>0</v>
      </c>
      <c r="H63" s="83">
        <f t="shared" ca="1" si="0"/>
        <v>2.6072181450823943E-15</v>
      </c>
      <c r="I63" s="84">
        <f ca="1">T_AutoYSeguroMulti!__Dias_Interes_Periodo</f>
        <v>30</v>
      </c>
      <c r="J63" s="84">
        <f t="shared" ca="1" si="1"/>
        <v>7.8216544352471822E-14</v>
      </c>
      <c r="K63" s="84">
        <f t="shared" ca="1" si="2"/>
        <v>9.3859853222966188E-15</v>
      </c>
      <c r="L63" s="83">
        <f t="shared" ca="1" si="3"/>
        <v>8.7602529674768438E-14</v>
      </c>
      <c r="M63" s="646">
        <f>INDEX(TablaCliente!_CapturaAbonoAnticipadoTablaCliente,__Amortizacion)</f>
        <v>0</v>
      </c>
      <c r="N63" s="84">
        <f t="shared" ca="1" si="4"/>
        <v>7.2759576141834259E-12</v>
      </c>
      <c r="P63" s="618" t="b">
        <f ca="1">__Saldo_Final _Anterior &gt; 0</f>
        <v>1</v>
      </c>
      <c r="Q63" s="98"/>
      <c r="R63" s="84">
        <f ca="1" xml:space="preserve"> T_AutoYSeguroMulti!_Pago.Fijo + T_SeguroAnual!__Pago_Fijo</f>
        <v>12689.724443555469</v>
      </c>
      <c r="S63" s="84">
        <f ca="1" xml:space="preserve"> T_AutoYSeguroMulti!__Capital + T_SeguroAnual!__Capital</f>
        <v>0</v>
      </c>
      <c r="T63" s="84">
        <f t="shared" ca="1" si="5"/>
        <v>12689.724443555469</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x14ac:dyDescent="0.3">
      <c r="A64" s="30"/>
      <c r="B64" s="618"/>
      <c r="D64" s="619">
        <v>46</v>
      </c>
      <c r="F64" s="18">
        <f ca="1" xml:space="preserve"> ( __Saldo_Final _Anterior + T_SeguroAnual!__Saldo_Ciclico ) * ( __Stopper_Saldo_Inicial )</f>
        <v>7.2759576141834259E-12</v>
      </c>
      <c r="G64" s="83">
        <f ca="1">MIN( CHOOSE(i.Opcion.Abono, __Capital_Opcion_1, __Capital_Opcion_2, __Capital_Opcion_3) _Actual, __Saldo_Inicial _Actual)</f>
        <v>0</v>
      </c>
      <c r="H64" s="83">
        <f t="shared" ca="1" si="0"/>
        <v>2.6072181450823943E-15</v>
      </c>
      <c r="I64" s="84">
        <f ca="1">T_AutoYSeguroMulti!__Dias_Interes_Periodo</f>
        <v>30</v>
      </c>
      <c r="J64" s="84">
        <f t="shared" ca="1" si="1"/>
        <v>7.8216544352471822E-14</v>
      </c>
      <c r="K64" s="84">
        <f t="shared" ca="1" si="2"/>
        <v>9.3859853222966188E-15</v>
      </c>
      <c r="L64" s="83">
        <f t="shared" ca="1" si="3"/>
        <v>8.7602529674768438E-14</v>
      </c>
      <c r="M64" s="646">
        <f>INDEX(TablaCliente!_CapturaAbonoAnticipadoTablaCliente,__Amortizacion)</f>
        <v>0</v>
      </c>
      <c r="N64" s="84">
        <f t="shared" ca="1" si="4"/>
        <v>7.2759576141834259E-12</v>
      </c>
      <c r="P64" s="618" t="b">
        <f ca="1">__Saldo_Final _Anterior &gt; 0</f>
        <v>1</v>
      </c>
      <c r="Q64" s="98"/>
      <c r="R64" s="84">
        <f ca="1" xml:space="preserve"> T_AutoYSeguroMulti!_Pago.Fijo + T_SeguroAnual!__Pago_Fijo</f>
        <v>12689.724443555469</v>
      </c>
      <c r="S64" s="84">
        <f ca="1" xml:space="preserve"> T_AutoYSeguroMulti!__Capital + T_SeguroAnual!__Capital</f>
        <v>0</v>
      </c>
      <c r="T64" s="84">
        <f t="shared" ca="1" si="5"/>
        <v>12689.724443555469</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x14ac:dyDescent="0.3">
      <c r="B65" s="618"/>
      <c r="D65" s="619">
        <v>47</v>
      </c>
      <c r="F65" s="18">
        <f ca="1" xml:space="preserve"> ( __Saldo_Final _Anterior + T_SeguroAnual!__Saldo_Ciclico ) * ( __Stopper_Saldo_Inicial )</f>
        <v>7.2759576141834259E-12</v>
      </c>
      <c r="G65" s="83">
        <f ca="1">MIN( CHOOSE(i.Opcion.Abono, __Capital_Opcion_1, __Capital_Opcion_2, __Capital_Opcion_3) _Actual, __Saldo_Inicial _Actual)</f>
        <v>0</v>
      </c>
      <c r="H65" s="83">
        <f t="shared" ca="1" si="0"/>
        <v>2.6072181450823943E-15</v>
      </c>
      <c r="I65" s="84">
        <f ca="1">T_AutoYSeguroMulti!__Dias_Interes_Periodo</f>
        <v>30</v>
      </c>
      <c r="J65" s="84">
        <f t="shared" ca="1" si="1"/>
        <v>7.8216544352471822E-14</v>
      </c>
      <c r="K65" s="84">
        <f t="shared" ca="1" si="2"/>
        <v>9.3859853222966188E-15</v>
      </c>
      <c r="L65" s="83">
        <f t="shared" ca="1" si="3"/>
        <v>8.7602529674768438E-14</v>
      </c>
      <c r="M65" s="646">
        <f>INDEX(TablaCliente!_CapturaAbonoAnticipadoTablaCliente,__Amortizacion)</f>
        <v>0</v>
      </c>
      <c r="N65" s="84">
        <f t="shared" ca="1" si="4"/>
        <v>7.2759576141834259E-12</v>
      </c>
      <c r="P65" s="618" t="b">
        <f ca="1">__Saldo_Final _Anterior &gt; 0</f>
        <v>1</v>
      </c>
      <c r="Q65" s="98"/>
      <c r="R65" s="84">
        <f ca="1" xml:space="preserve"> T_AutoYSeguroMulti!_Pago.Fijo + T_SeguroAnual!__Pago_Fijo</f>
        <v>12689.724443555469</v>
      </c>
      <c r="S65" s="84">
        <f ca="1" xml:space="preserve"> T_AutoYSeguroMulti!__Capital + T_SeguroAnual!__Capital</f>
        <v>0</v>
      </c>
      <c r="T65" s="84">
        <f t="shared" ca="1" si="5"/>
        <v>12689.724443555469</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x14ac:dyDescent="0.3">
      <c r="B66" s="618"/>
      <c r="D66" s="619">
        <v>48</v>
      </c>
      <c r="F66" s="18">
        <f ca="1" xml:space="preserve"> ( __Saldo_Final _Anterior + T_SeguroAnual!__Saldo_Ciclico ) * ( __Stopper_Saldo_Inicial )</f>
        <v>7.2759576141834259E-12</v>
      </c>
      <c r="G66" s="83">
        <f ca="1">MIN( CHOOSE(i.Opcion.Abono, __Capital_Opcion_1, __Capital_Opcion_2, __Capital_Opcion_3) _Actual, __Saldo_Inicial _Actual)</f>
        <v>0</v>
      </c>
      <c r="H66" s="83">
        <f t="shared" ca="1" si="0"/>
        <v>2.6072181450823943E-15</v>
      </c>
      <c r="I66" s="84">
        <f ca="1">T_AutoYSeguroMulti!__Dias_Interes_Periodo</f>
        <v>30</v>
      </c>
      <c r="J66" s="84">
        <f t="shared" ca="1" si="1"/>
        <v>7.8216544352471822E-14</v>
      </c>
      <c r="K66" s="84">
        <f t="shared" ca="1" si="2"/>
        <v>9.3859853222966188E-15</v>
      </c>
      <c r="L66" s="83">
        <f t="shared" ca="1" si="3"/>
        <v>8.7602529674768438E-14</v>
      </c>
      <c r="M66" s="646">
        <f>INDEX(TablaCliente!_CapturaAbonoAnticipadoTablaCliente,__Amortizacion)</f>
        <v>0</v>
      </c>
      <c r="N66" s="84">
        <f t="shared" ca="1" si="4"/>
        <v>7.2759576141834259E-12</v>
      </c>
      <c r="P66" s="618" t="b">
        <f ca="1">__Saldo_Final _Anterior &gt; 0</f>
        <v>1</v>
      </c>
      <c r="Q66" s="98"/>
      <c r="R66" s="84">
        <f ca="1" xml:space="preserve"> T_AutoYSeguroMulti!_Pago.Fijo + T_SeguroAnual!__Pago_Fijo</f>
        <v>12689.724443555469</v>
      </c>
      <c r="S66" s="84">
        <f ca="1" xml:space="preserve"> T_AutoYSeguroMulti!__Capital + T_SeguroAnual!__Capital</f>
        <v>0</v>
      </c>
      <c r="T66" s="84">
        <f t="shared" ca="1" si="5"/>
        <v>12689.724443555469</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x14ac:dyDescent="0.3">
      <c r="A67" s="30"/>
      <c r="B67" s="30"/>
      <c r="D67" s="619">
        <v>49</v>
      </c>
      <c r="F67" s="18">
        <f ca="1" xml:space="preserve"> ( __Saldo_Final _Anterior + T_SeguroAnual!__Saldo_Ciclico ) * ( __Stopper_Saldo_Inicial )</f>
        <v>7.2759576141834259E-12</v>
      </c>
      <c r="G67" s="83">
        <f ca="1">MIN( CHOOSE(i.Opcion.Abono, __Capital_Opcion_1, __Capital_Opcion_2, __Capital_Opcion_3) _Actual, __Saldo_Inicial _Actual)</f>
        <v>0</v>
      </c>
      <c r="H67" s="83">
        <f t="shared" ca="1" si="0"/>
        <v>2.6072181450823943E-15</v>
      </c>
      <c r="I67" s="84">
        <f ca="1">T_AutoYSeguroMulti!__Dias_Interes_Periodo</f>
        <v>30</v>
      </c>
      <c r="J67" s="84">
        <f t="shared" ca="1" si="1"/>
        <v>7.8216544352471822E-14</v>
      </c>
      <c r="K67" s="84">
        <f t="shared" ca="1" si="2"/>
        <v>9.3859853222966188E-15</v>
      </c>
      <c r="L67" s="83">
        <f t="shared" ca="1" si="3"/>
        <v>8.7602529674768438E-14</v>
      </c>
      <c r="M67" s="646">
        <f>INDEX(TablaCliente!_CapturaAbonoAnticipadoTablaCliente,__Amortizacion)</f>
        <v>0</v>
      </c>
      <c r="N67" s="84">
        <f t="shared" ca="1" si="4"/>
        <v>7.2759576141834259E-12</v>
      </c>
      <c r="P67" s="618" t="b">
        <f ca="1">__Saldo_Final _Anterior &gt; 0</f>
        <v>1</v>
      </c>
      <c r="Q67" s="98"/>
      <c r="R67" s="84">
        <f ca="1" xml:space="preserve"> T_AutoYSeguroMulti!_Pago.Fijo + T_SeguroAnual!__Pago_Fijo</f>
        <v>12689.724443555469</v>
      </c>
      <c r="S67" s="84">
        <f ca="1" xml:space="preserve"> T_AutoYSeguroMulti!__Capital + T_SeguroAnual!__Capital</f>
        <v>0</v>
      </c>
      <c r="T67" s="84">
        <f t="shared" ca="1" si="5"/>
        <v>12689.724443555469</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x14ac:dyDescent="0.3">
      <c r="A68" s="30"/>
      <c r="B68" s="30"/>
      <c r="D68" s="619">
        <v>50</v>
      </c>
      <c r="F68" s="18">
        <f ca="1" xml:space="preserve"> ( __Saldo_Final _Anterior + T_SeguroAnual!__Saldo_Ciclico ) * ( __Stopper_Saldo_Inicial )</f>
        <v>7.2759576141834259E-12</v>
      </c>
      <c r="G68" s="83">
        <f ca="1">MIN( CHOOSE(i.Opcion.Abono, __Capital_Opcion_1, __Capital_Opcion_2, __Capital_Opcion_3) _Actual, __Saldo_Inicial _Actual)</f>
        <v>0</v>
      </c>
      <c r="H68" s="83">
        <f t="shared" ca="1" si="0"/>
        <v>2.6072181450823943E-15</v>
      </c>
      <c r="I68" s="84">
        <f ca="1">T_AutoYSeguroMulti!__Dias_Interes_Periodo</f>
        <v>30</v>
      </c>
      <c r="J68" s="84">
        <f t="shared" ca="1" si="1"/>
        <v>7.8216544352471822E-14</v>
      </c>
      <c r="K68" s="84">
        <f t="shared" ca="1" si="2"/>
        <v>9.3859853222966188E-15</v>
      </c>
      <c r="L68" s="83">
        <f t="shared" ca="1" si="3"/>
        <v>8.7602529674768438E-14</v>
      </c>
      <c r="M68" s="646">
        <f>INDEX(TablaCliente!_CapturaAbonoAnticipadoTablaCliente,__Amortizacion)</f>
        <v>0</v>
      </c>
      <c r="N68" s="84">
        <f t="shared" ca="1" si="4"/>
        <v>7.2759576141834259E-12</v>
      </c>
      <c r="P68" s="618" t="b">
        <f ca="1">__Saldo_Final _Anterior &gt; 0</f>
        <v>1</v>
      </c>
      <c r="Q68" s="98"/>
      <c r="R68" s="84">
        <f ca="1" xml:space="preserve"> T_AutoYSeguroMulti!_Pago.Fijo + T_SeguroAnual!__Pago_Fijo</f>
        <v>12689.724443555469</v>
      </c>
      <c r="S68" s="84">
        <f ca="1" xml:space="preserve"> T_AutoYSeguroMulti!__Capital + T_SeguroAnual!__Capital</f>
        <v>0</v>
      </c>
      <c r="T68" s="84">
        <f t="shared" ca="1" si="5"/>
        <v>12689.724443555469</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x14ac:dyDescent="0.3">
      <c r="A69" s="30"/>
      <c r="B69" s="30"/>
      <c r="D69" s="619">
        <v>51</v>
      </c>
      <c r="F69" s="18">
        <f ca="1" xml:space="preserve"> ( __Saldo_Final _Anterior + T_SeguroAnual!__Saldo_Ciclico ) * ( __Stopper_Saldo_Inicial )</f>
        <v>7.2759576141834259E-12</v>
      </c>
      <c r="G69" s="83">
        <f ca="1">MIN( CHOOSE(i.Opcion.Abono, __Capital_Opcion_1, __Capital_Opcion_2, __Capital_Opcion_3) _Actual, __Saldo_Inicial _Actual)</f>
        <v>0</v>
      </c>
      <c r="H69" s="83">
        <f t="shared" ca="1" si="0"/>
        <v>2.6072181450823943E-15</v>
      </c>
      <c r="I69" s="84">
        <f ca="1">T_AutoYSeguroMulti!__Dias_Interes_Periodo</f>
        <v>30</v>
      </c>
      <c r="J69" s="84">
        <f t="shared" ca="1" si="1"/>
        <v>7.8216544352471822E-14</v>
      </c>
      <c r="K69" s="84">
        <f t="shared" ca="1" si="2"/>
        <v>9.3859853222966188E-15</v>
      </c>
      <c r="L69" s="83">
        <f t="shared" ca="1" si="3"/>
        <v>8.7602529674768438E-14</v>
      </c>
      <c r="M69" s="646">
        <f>INDEX(TablaCliente!_CapturaAbonoAnticipadoTablaCliente,__Amortizacion)</f>
        <v>0</v>
      </c>
      <c r="N69" s="84">
        <f t="shared" ca="1" si="4"/>
        <v>7.2759576141834259E-12</v>
      </c>
      <c r="P69" s="618" t="b">
        <f ca="1">__Saldo_Final _Anterior &gt; 0</f>
        <v>1</v>
      </c>
      <c r="Q69" s="98"/>
      <c r="R69" s="84">
        <f ca="1" xml:space="preserve"> T_AutoYSeguroMulti!_Pago.Fijo + T_SeguroAnual!__Pago_Fijo</f>
        <v>12689.724443555469</v>
      </c>
      <c r="S69" s="84">
        <f ca="1" xml:space="preserve"> T_AutoYSeguroMulti!__Capital + T_SeguroAnual!__Capital</f>
        <v>0</v>
      </c>
      <c r="T69" s="84">
        <f t="shared" ca="1" si="5"/>
        <v>12689.724443555469</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x14ac:dyDescent="0.3">
      <c r="A70" s="30"/>
      <c r="B70" s="30"/>
      <c r="D70" s="619">
        <v>52</v>
      </c>
      <c r="F70" s="18">
        <f ca="1" xml:space="preserve"> ( __Saldo_Final _Anterior + T_SeguroAnual!__Saldo_Ciclico ) * ( __Stopper_Saldo_Inicial )</f>
        <v>7.2759576141834259E-12</v>
      </c>
      <c r="G70" s="83">
        <f ca="1">MIN( CHOOSE(i.Opcion.Abono, __Capital_Opcion_1, __Capital_Opcion_2, __Capital_Opcion_3) _Actual, __Saldo_Inicial _Actual)</f>
        <v>0</v>
      </c>
      <c r="H70" s="83">
        <f t="shared" ca="1" si="0"/>
        <v>2.6072181450823943E-15</v>
      </c>
      <c r="I70" s="84">
        <f ca="1">T_AutoYSeguroMulti!__Dias_Interes_Periodo</f>
        <v>30</v>
      </c>
      <c r="J70" s="84">
        <f t="shared" ca="1" si="1"/>
        <v>7.8216544352471822E-14</v>
      </c>
      <c r="K70" s="84">
        <f t="shared" ca="1" si="2"/>
        <v>9.3859853222966188E-15</v>
      </c>
      <c r="L70" s="83">
        <f t="shared" ca="1" si="3"/>
        <v>8.7602529674768438E-14</v>
      </c>
      <c r="M70" s="646">
        <f>INDEX(TablaCliente!_CapturaAbonoAnticipadoTablaCliente,__Amortizacion)</f>
        <v>0</v>
      </c>
      <c r="N70" s="84">
        <f t="shared" ca="1" si="4"/>
        <v>7.2759576141834259E-12</v>
      </c>
      <c r="P70" s="618" t="b">
        <f ca="1">__Saldo_Final _Anterior &gt; 0</f>
        <v>1</v>
      </c>
      <c r="Q70" s="98"/>
      <c r="R70" s="84">
        <f ca="1" xml:space="preserve"> T_AutoYSeguroMulti!_Pago.Fijo + T_SeguroAnual!__Pago_Fijo</f>
        <v>12689.724443555469</v>
      </c>
      <c r="S70" s="84">
        <f ca="1" xml:space="preserve"> T_AutoYSeguroMulti!__Capital + T_SeguroAnual!__Capital</f>
        <v>0</v>
      </c>
      <c r="T70" s="84">
        <f t="shared" ca="1" si="5"/>
        <v>12689.724443555469</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x14ac:dyDescent="0.3">
      <c r="A71" s="30"/>
      <c r="B71" s="30"/>
      <c r="D71" s="619">
        <v>53</v>
      </c>
      <c r="F71" s="18">
        <f ca="1" xml:space="preserve"> ( __Saldo_Final _Anterior + T_SeguroAnual!__Saldo_Ciclico ) * ( __Stopper_Saldo_Inicial )</f>
        <v>7.2759576141834259E-12</v>
      </c>
      <c r="G71" s="83">
        <f ca="1">MIN( CHOOSE(i.Opcion.Abono, __Capital_Opcion_1, __Capital_Opcion_2, __Capital_Opcion_3) _Actual, __Saldo_Inicial _Actual)</f>
        <v>0</v>
      </c>
      <c r="H71" s="83">
        <f t="shared" ca="1" si="0"/>
        <v>2.6072181450823943E-15</v>
      </c>
      <c r="I71" s="84">
        <f ca="1">T_AutoYSeguroMulti!__Dias_Interes_Periodo</f>
        <v>30</v>
      </c>
      <c r="J71" s="84">
        <f t="shared" ca="1" si="1"/>
        <v>7.8216544352471822E-14</v>
      </c>
      <c r="K71" s="84">
        <f t="shared" ca="1" si="2"/>
        <v>9.3859853222966188E-15</v>
      </c>
      <c r="L71" s="83">
        <f t="shared" ca="1" si="3"/>
        <v>8.7602529674768438E-14</v>
      </c>
      <c r="M71" s="646">
        <f>INDEX(TablaCliente!_CapturaAbonoAnticipadoTablaCliente,__Amortizacion)</f>
        <v>0</v>
      </c>
      <c r="N71" s="84">
        <f t="shared" ca="1" si="4"/>
        <v>7.2759576141834259E-12</v>
      </c>
      <c r="P71" s="618" t="b">
        <f ca="1">__Saldo_Final _Anterior &gt; 0</f>
        <v>1</v>
      </c>
      <c r="Q71" s="98"/>
      <c r="R71" s="84">
        <f ca="1" xml:space="preserve"> T_AutoYSeguroMulti!_Pago.Fijo + T_SeguroAnual!__Pago_Fijo</f>
        <v>12689.724443555469</v>
      </c>
      <c r="S71" s="84">
        <f ca="1" xml:space="preserve"> T_AutoYSeguroMulti!__Capital + T_SeguroAnual!__Capital</f>
        <v>0</v>
      </c>
      <c r="T71" s="84">
        <f t="shared" ca="1" si="5"/>
        <v>12689.724443555469</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x14ac:dyDescent="0.3">
      <c r="A72" s="30"/>
      <c r="B72" s="30"/>
      <c r="D72" s="619">
        <v>54</v>
      </c>
      <c r="F72" s="18">
        <f ca="1" xml:space="preserve"> ( __Saldo_Final _Anterior + T_SeguroAnual!__Saldo_Ciclico ) * ( __Stopper_Saldo_Inicial )</f>
        <v>7.2759576141834259E-12</v>
      </c>
      <c r="G72" s="83">
        <f ca="1">MIN( CHOOSE(i.Opcion.Abono, __Capital_Opcion_1, __Capital_Opcion_2, __Capital_Opcion_3) _Actual, __Saldo_Inicial _Actual)</f>
        <v>0</v>
      </c>
      <c r="H72" s="83">
        <f t="shared" ca="1" si="0"/>
        <v>2.6072181450823943E-15</v>
      </c>
      <c r="I72" s="84">
        <f ca="1">T_AutoYSeguroMulti!__Dias_Interes_Periodo</f>
        <v>30</v>
      </c>
      <c r="J72" s="84">
        <f t="shared" ca="1" si="1"/>
        <v>7.8216544352471822E-14</v>
      </c>
      <c r="K72" s="84">
        <f t="shared" ca="1" si="2"/>
        <v>9.3859853222966188E-15</v>
      </c>
      <c r="L72" s="83">
        <f t="shared" ca="1" si="3"/>
        <v>8.7602529674768438E-14</v>
      </c>
      <c r="M72" s="646">
        <f>INDEX(TablaCliente!_CapturaAbonoAnticipadoTablaCliente,__Amortizacion)</f>
        <v>0</v>
      </c>
      <c r="N72" s="84">
        <f t="shared" ca="1" si="4"/>
        <v>7.2759576141834259E-12</v>
      </c>
      <c r="P72" s="618" t="b">
        <f ca="1">__Saldo_Final _Anterior &gt; 0</f>
        <v>1</v>
      </c>
      <c r="Q72" s="98"/>
      <c r="R72" s="84">
        <f ca="1" xml:space="preserve"> T_AutoYSeguroMulti!_Pago.Fijo + T_SeguroAnual!__Pago_Fijo</f>
        <v>12689.724443555469</v>
      </c>
      <c r="S72" s="84">
        <f ca="1" xml:space="preserve"> T_AutoYSeguroMulti!__Capital + T_SeguroAnual!__Capital</f>
        <v>0</v>
      </c>
      <c r="T72" s="84">
        <f t="shared" ca="1" si="5"/>
        <v>12689.724443555469</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x14ac:dyDescent="0.3">
      <c r="A73" s="30"/>
      <c r="B73" s="30"/>
      <c r="D73" s="619">
        <v>55</v>
      </c>
      <c r="F73" s="18">
        <f ca="1" xml:space="preserve"> ( __Saldo_Final _Anterior + T_SeguroAnual!__Saldo_Ciclico ) * ( __Stopper_Saldo_Inicial )</f>
        <v>7.2759576141834259E-12</v>
      </c>
      <c r="G73" s="83">
        <f ca="1">MIN( CHOOSE(i.Opcion.Abono, __Capital_Opcion_1, __Capital_Opcion_2, __Capital_Opcion_3) _Actual, __Saldo_Inicial _Actual)</f>
        <v>0</v>
      </c>
      <c r="H73" s="83">
        <f t="shared" ca="1" si="0"/>
        <v>2.6072181450823943E-15</v>
      </c>
      <c r="I73" s="84">
        <f ca="1">T_AutoYSeguroMulti!__Dias_Interes_Periodo</f>
        <v>30</v>
      </c>
      <c r="J73" s="84">
        <f t="shared" ca="1" si="1"/>
        <v>7.8216544352471822E-14</v>
      </c>
      <c r="K73" s="84">
        <f t="shared" ca="1" si="2"/>
        <v>9.3859853222966188E-15</v>
      </c>
      <c r="L73" s="83">
        <f t="shared" ca="1" si="3"/>
        <v>8.7602529674768438E-14</v>
      </c>
      <c r="M73" s="646">
        <f>INDEX(TablaCliente!_CapturaAbonoAnticipadoTablaCliente,__Amortizacion)</f>
        <v>0</v>
      </c>
      <c r="N73" s="84">
        <f t="shared" ca="1" si="4"/>
        <v>7.2759576141834259E-12</v>
      </c>
      <c r="P73" s="618" t="b">
        <f ca="1">__Saldo_Final _Anterior &gt; 0</f>
        <v>1</v>
      </c>
      <c r="Q73" s="98"/>
      <c r="R73" s="84">
        <f ca="1" xml:space="preserve"> T_AutoYSeguroMulti!_Pago.Fijo + T_SeguroAnual!__Pago_Fijo</f>
        <v>12689.724443555469</v>
      </c>
      <c r="S73" s="84">
        <f ca="1" xml:space="preserve"> T_AutoYSeguroMulti!__Capital + T_SeguroAnual!__Capital</f>
        <v>0</v>
      </c>
      <c r="T73" s="84">
        <f t="shared" ca="1" si="5"/>
        <v>12689.724443555469</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x14ac:dyDescent="0.3">
      <c r="A74" s="30"/>
      <c r="B74" s="30"/>
      <c r="D74" s="619">
        <v>56</v>
      </c>
      <c r="F74" s="18">
        <f ca="1" xml:space="preserve"> ( __Saldo_Final _Anterior + T_SeguroAnual!__Saldo_Ciclico ) * ( __Stopper_Saldo_Inicial )</f>
        <v>7.2759576141834259E-12</v>
      </c>
      <c r="G74" s="83">
        <f ca="1">MIN( CHOOSE(i.Opcion.Abono, __Capital_Opcion_1, __Capital_Opcion_2, __Capital_Opcion_3) _Actual, __Saldo_Inicial _Actual)</f>
        <v>0</v>
      </c>
      <c r="H74" s="83">
        <f t="shared" ca="1" si="0"/>
        <v>2.6072181450823943E-15</v>
      </c>
      <c r="I74" s="84">
        <f ca="1">T_AutoYSeguroMulti!__Dias_Interes_Periodo</f>
        <v>30</v>
      </c>
      <c r="J74" s="84">
        <f t="shared" ca="1" si="1"/>
        <v>7.8216544352471822E-14</v>
      </c>
      <c r="K74" s="84">
        <f t="shared" ca="1" si="2"/>
        <v>9.3859853222966188E-15</v>
      </c>
      <c r="L74" s="83">
        <f t="shared" ca="1" si="3"/>
        <v>8.7602529674768438E-14</v>
      </c>
      <c r="M74" s="646">
        <f>INDEX(TablaCliente!_CapturaAbonoAnticipadoTablaCliente,__Amortizacion)</f>
        <v>0</v>
      </c>
      <c r="N74" s="84">
        <f t="shared" ca="1" si="4"/>
        <v>7.2759576141834259E-12</v>
      </c>
      <c r="P74" s="618" t="b">
        <f ca="1">__Saldo_Final _Anterior &gt; 0</f>
        <v>1</v>
      </c>
      <c r="Q74" s="98"/>
      <c r="R74" s="84">
        <f ca="1" xml:space="preserve"> T_AutoYSeguroMulti!_Pago.Fijo + T_SeguroAnual!__Pago_Fijo</f>
        <v>12689.724443555469</v>
      </c>
      <c r="S74" s="84">
        <f ca="1" xml:space="preserve"> T_AutoYSeguroMulti!__Capital + T_SeguroAnual!__Capital</f>
        <v>0</v>
      </c>
      <c r="T74" s="84">
        <f t="shared" ca="1" si="5"/>
        <v>12689.724443555469</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x14ac:dyDescent="0.3">
      <c r="A75" s="30"/>
      <c r="B75" s="30"/>
      <c r="D75" s="619">
        <v>57</v>
      </c>
      <c r="F75" s="18">
        <f ca="1" xml:space="preserve"> ( __Saldo_Final _Anterior + T_SeguroAnual!__Saldo_Ciclico ) * ( __Stopper_Saldo_Inicial )</f>
        <v>7.2759576141834259E-12</v>
      </c>
      <c r="G75" s="83">
        <f ca="1">MIN( CHOOSE(i.Opcion.Abono, __Capital_Opcion_1, __Capital_Opcion_2, __Capital_Opcion_3) _Actual, __Saldo_Inicial _Actual)</f>
        <v>0</v>
      </c>
      <c r="H75" s="83">
        <f t="shared" ca="1" si="0"/>
        <v>2.6072181450823943E-15</v>
      </c>
      <c r="I75" s="84">
        <f ca="1">T_AutoYSeguroMulti!__Dias_Interes_Periodo</f>
        <v>30</v>
      </c>
      <c r="J75" s="84">
        <f t="shared" ca="1" si="1"/>
        <v>7.8216544352471822E-14</v>
      </c>
      <c r="K75" s="84">
        <f t="shared" ca="1" si="2"/>
        <v>9.3859853222966188E-15</v>
      </c>
      <c r="L75" s="83">
        <f t="shared" ca="1" si="3"/>
        <v>8.7602529674768438E-14</v>
      </c>
      <c r="M75" s="646">
        <f>INDEX(TablaCliente!_CapturaAbonoAnticipadoTablaCliente,__Amortizacion)</f>
        <v>0</v>
      </c>
      <c r="N75" s="84">
        <f t="shared" ca="1" si="4"/>
        <v>7.2759576141834259E-12</v>
      </c>
      <c r="P75" s="618" t="b">
        <f ca="1">__Saldo_Final _Anterior &gt; 0</f>
        <v>1</v>
      </c>
      <c r="Q75" s="98"/>
      <c r="R75" s="84">
        <f ca="1" xml:space="preserve"> T_AutoYSeguroMulti!_Pago.Fijo + T_SeguroAnual!__Pago_Fijo</f>
        <v>12689.724443555469</v>
      </c>
      <c r="S75" s="84">
        <f ca="1" xml:space="preserve"> T_AutoYSeguroMulti!__Capital + T_SeguroAnual!__Capital</f>
        <v>0</v>
      </c>
      <c r="T75" s="84">
        <f t="shared" ca="1" si="5"/>
        <v>12689.724443555469</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x14ac:dyDescent="0.3">
      <c r="A76" s="30"/>
      <c r="B76" s="30"/>
      <c r="D76" s="619">
        <v>58</v>
      </c>
      <c r="F76" s="18">
        <f ca="1" xml:space="preserve"> ( __Saldo_Final _Anterior + T_SeguroAnual!__Saldo_Ciclico ) * ( __Stopper_Saldo_Inicial )</f>
        <v>7.2759576141834259E-12</v>
      </c>
      <c r="G76" s="83">
        <f ca="1">MIN( CHOOSE(i.Opcion.Abono, __Capital_Opcion_1, __Capital_Opcion_2, __Capital_Opcion_3) _Actual, __Saldo_Inicial _Actual)</f>
        <v>0</v>
      </c>
      <c r="H76" s="83">
        <f t="shared" ca="1" si="0"/>
        <v>2.6072181450823943E-15</v>
      </c>
      <c r="I76" s="84">
        <f ca="1">T_AutoYSeguroMulti!__Dias_Interes_Periodo</f>
        <v>30</v>
      </c>
      <c r="J76" s="84">
        <f t="shared" ca="1" si="1"/>
        <v>7.8216544352471822E-14</v>
      </c>
      <c r="K76" s="84">
        <f t="shared" ca="1" si="2"/>
        <v>9.3859853222966188E-15</v>
      </c>
      <c r="L76" s="83">
        <f t="shared" ca="1" si="3"/>
        <v>8.7602529674768438E-14</v>
      </c>
      <c r="M76" s="646">
        <f>INDEX(TablaCliente!_CapturaAbonoAnticipadoTablaCliente,__Amortizacion)</f>
        <v>0</v>
      </c>
      <c r="N76" s="84">
        <f t="shared" ca="1" si="4"/>
        <v>7.2759576141834259E-12</v>
      </c>
      <c r="P76" s="618" t="b">
        <f ca="1">__Saldo_Final _Anterior &gt; 0</f>
        <v>1</v>
      </c>
      <c r="Q76" s="98"/>
      <c r="R76" s="84">
        <f ca="1" xml:space="preserve"> T_AutoYSeguroMulti!_Pago.Fijo + T_SeguroAnual!__Pago_Fijo</f>
        <v>12689.724443555469</v>
      </c>
      <c r="S76" s="84">
        <f ca="1" xml:space="preserve"> T_AutoYSeguroMulti!__Capital + T_SeguroAnual!__Capital</f>
        <v>0</v>
      </c>
      <c r="T76" s="84">
        <f t="shared" ca="1" si="5"/>
        <v>12689.724443555469</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x14ac:dyDescent="0.3">
      <c r="A77" s="30"/>
      <c r="B77" s="30"/>
      <c r="D77" s="619">
        <v>59</v>
      </c>
      <c r="F77" s="18">
        <f ca="1" xml:space="preserve"> ( __Saldo_Final _Anterior + T_SeguroAnual!__Saldo_Ciclico ) * ( __Stopper_Saldo_Inicial )</f>
        <v>7.2759576141834259E-12</v>
      </c>
      <c r="G77" s="83">
        <f ca="1">MIN( CHOOSE(i.Opcion.Abono, __Capital_Opcion_1, __Capital_Opcion_2, __Capital_Opcion_3) _Actual, __Saldo_Inicial _Actual)</f>
        <v>0</v>
      </c>
      <c r="H77" s="83">
        <f t="shared" ca="1" si="0"/>
        <v>2.6072181450823943E-15</v>
      </c>
      <c r="I77" s="84">
        <f ca="1">T_AutoYSeguroMulti!__Dias_Interes_Periodo</f>
        <v>30</v>
      </c>
      <c r="J77" s="84">
        <f t="shared" ca="1" si="1"/>
        <v>7.8216544352471822E-14</v>
      </c>
      <c r="K77" s="84">
        <f t="shared" ca="1" si="2"/>
        <v>9.3859853222966188E-15</v>
      </c>
      <c r="L77" s="83">
        <f t="shared" ca="1" si="3"/>
        <v>8.7602529674768438E-14</v>
      </c>
      <c r="M77" s="646">
        <f>INDEX(TablaCliente!_CapturaAbonoAnticipadoTablaCliente,__Amortizacion)</f>
        <v>0</v>
      </c>
      <c r="N77" s="84">
        <f t="shared" ca="1" si="4"/>
        <v>7.2759576141834259E-12</v>
      </c>
      <c r="P77" s="618" t="b">
        <f ca="1">__Saldo_Final _Anterior &gt; 0</f>
        <v>1</v>
      </c>
      <c r="Q77" s="98"/>
      <c r="R77" s="84">
        <f ca="1" xml:space="preserve"> T_AutoYSeguroMulti!_Pago.Fijo + T_SeguroAnual!__Pago_Fijo</f>
        <v>12689.724443555469</v>
      </c>
      <c r="S77" s="84">
        <f ca="1" xml:space="preserve"> T_AutoYSeguroMulti!__Capital + T_SeguroAnual!__Capital</f>
        <v>0</v>
      </c>
      <c r="T77" s="84">
        <f t="shared" ca="1" si="5"/>
        <v>12689.724443555469</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x14ac:dyDescent="0.3">
      <c r="A78" s="30"/>
      <c r="B78" s="30"/>
      <c r="D78" s="619">
        <v>60</v>
      </c>
      <c r="F78" s="18">
        <f ca="1" xml:space="preserve"> ( __Saldo_Final _Anterior + T_SeguroAnual!__Saldo_Ciclico ) * ( __Stopper_Saldo_Inicial )</f>
        <v>7.2759576141834259E-12</v>
      </c>
      <c r="G78" s="83">
        <f ca="1">MIN( CHOOSE(i.Opcion.Abono, __Capital_Opcion_1, __Capital_Opcion_2, __Capital_Opcion_3) _Actual, __Saldo_Inicial _Actual)</f>
        <v>0</v>
      </c>
      <c r="H78" s="83">
        <f t="shared" ca="1" si="0"/>
        <v>2.6072181450823943E-15</v>
      </c>
      <c r="I78" s="84">
        <f ca="1">T_AutoYSeguroMulti!__Dias_Interes_Periodo</f>
        <v>30</v>
      </c>
      <c r="J78" s="84">
        <f t="shared" ca="1" si="1"/>
        <v>7.8216544352471822E-14</v>
      </c>
      <c r="K78" s="84">
        <f t="shared" ca="1" si="2"/>
        <v>9.3859853222966188E-15</v>
      </c>
      <c r="L78" s="83">
        <f t="shared" ca="1" si="3"/>
        <v>8.7602529674768438E-14</v>
      </c>
      <c r="M78" s="646">
        <f>INDEX(TablaCliente!_CapturaAbonoAnticipadoTablaCliente,__Amortizacion)</f>
        <v>0</v>
      </c>
      <c r="N78" s="84">
        <f t="shared" ca="1" si="4"/>
        <v>7.2759576141834259E-12</v>
      </c>
      <c r="P78" s="618" t="b">
        <f ca="1">__Saldo_Final _Anterior &gt; 0</f>
        <v>1</v>
      </c>
      <c r="Q78" s="98"/>
      <c r="R78" s="84">
        <f ca="1" xml:space="preserve"> T_AutoYSeguroMulti!_Pago.Fijo + T_SeguroAnual!__Pago_Fijo</f>
        <v>12689.724443555469</v>
      </c>
      <c r="S78" s="84">
        <f ca="1" xml:space="preserve"> T_AutoYSeguroMulti!__Capital + T_SeguroAnual!__Capital</f>
        <v>0</v>
      </c>
      <c r="T78" s="84">
        <f t="shared" ca="1" si="5"/>
        <v>12689.724443555469</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x14ac:dyDescent="0.3">
      <c r="A79" s="30"/>
      <c r="B79" s="30"/>
      <c r="D79" s="619">
        <v>61</v>
      </c>
      <c r="F79" s="18">
        <f ca="1" xml:space="preserve"> ( __Saldo_Final _Anterior + T_SeguroAnual!__Saldo_Ciclico ) * ( __Stopper_Saldo_Inicial )</f>
        <v>7.2759576141834259E-12</v>
      </c>
      <c r="G79" s="83">
        <f ca="1">MIN( CHOOSE(i.Opcion.Abono, __Capital_Opcion_1, __Capital_Opcion_2, __Capital_Opcion_3) _Actual, __Saldo_Inicial _Actual)</f>
        <v>0</v>
      </c>
      <c r="H79" s="83">
        <f t="shared" ca="1" si="0"/>
        <v>2.6072181450823943E-15</v>
      </c>
      <c r="I79" s="84">
        <f ca="1">T_AutoYSeguroMulti!__Dias_Interes_Periodo</f>
        <v>30</v>
      </c>
      <c r="J79" s="84">
        <f t="shared" ca="1" si="1"/>
        <v>7.8216544352471822E-14</v>
      </c>
      <c r="K79" s="84">
        <f t="shared" ca="1" si="2"/>
        <v>9.3859853222966188E-15</v>
      </c>
      <c r="L79" s="83">
        <f t="shared" ca="1" si="3"/>
        <v>8.7602529674768438E-14</v>
      </c>
      <c r="M79" s="646">
        <f>INDEX(TablaCliente!_CapturaAbonoAnticipadoTablaCliente,__Amortizacion)</f>
        <v>0</v>
      </c>
      <c r="N79" s="84">
        <f t="shared" ca="1" si="4"/>
        <v>7.2759576141834259E-12</v>
      </c>
      <c r="P79" s="618" t="b">
        <f ca="1">__Saldo_Final _Anterior &gt; 0</f>
        <v>1</v>
      </c>
      <c r="Q79" s="98"/>
      <c r="R79" s="84">
        <f ca="1" xml:space="preserve"> T_AutoYSeguroMulti!_Pago.Fijo + T_SeguroAnual!__Pago_Fijo</f>
        <v>12689.724443555469</v>
      </c>
      <c r="S79" s="84">
        <f ca="1" xml:space="preserve"> T_AutoYSeguroMulti!__Capital + T_SeguroAnual!__Capital</f>
        <v>0</v>
      </c>
      <c r="T79" s="84">
        <f t="shared" ca="1" si="5"/>
        <v>12689.724443555469</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x14ac:dyDescent="0.3">
      <c r="A80" s="30"/>
      <c r="B80" s="30"/>
      <c r="D80" s="619">
        <v>62</v>
      </c>
      <c r="F80" s="18">
        <f ca="1" xml:space="preserve"> ( __Saldo_Final _Anterior + T_SeguroAnual!__Saldo_Ciclico ) * ( __Stopper_Saldo_Inicial )</f>
        <v>7.2759576141834259E-12</v>
      </c>
      <c r="G80" s="83">
        <f ca="1">MIN( CHOOSE(i.Opcion.Abono, __Capital_Opcion_1, __Capital_Opcion_2, __Capital_Opcion_3) _Actual, __Saldo_Inicial _Actual)</f>
        <v>0</v>
      </c>
      <c r="H80" s="83">
        <f t="shared" ca="1" si="0"/>
        <v>2.6072181450823943E-15</v>
      </c>
      <c r="I80" s="84">
        <f ca="1">T_AutoYSeguroMulti!__Dias_Interes_Periodo</f>
        <v>30</v>
      </c>
      <c r="J80" s="84">
        <f t="shared" ca="1" si="1"/>
        <v>7.8216544352471822E-14</v>
      </c>
      <c r="K80" s="84">
        <f t="shared" ca="1" si="2"/>
        <v>9.3859853222966188E-15</v>
      </c>
      <c r="L80" s="83">
        <f t="shared" ca="1" si="3"/>
        <v>8.7602529674768438E-14</v>
      </c>
      <c r="M80" s="646">
        <f>INDEX(TablaCliente!_CapturaAbonoAnticipadoTablaCliente,__Amortizacion)</f>
        <v>0</v>
      </c>
      <c r="N80" s="84">
        <f t="shared" ca="1" si="4"/>
        <v>7.2759576141834259E-12</v>
      </c>
      <c r="P80" s="618" t="b">
        <f ca="1">__Saldo_Final _Anterior &gt; 0</f>
        <v>1</v>
      </c>
      <c r="Q80" s="98"/>
      <c r="R80" s="84">
        <f ca="1" xml:space="preserve"> T_AutoYSeguroMulti!_Pago.Fijo + T_SeguroAnual!__Pago_Fijo</f>
        <v>12689.724443555469</v>
      </c>
      <c r="S80" s="84">
        <f ca="1" xml:space="preserve"> T_AutoYSeguroMulti!__Capital + T_SeguroAnual!__Capital</f>
        <v>0</v>
      </c>
      <c r="T80" s="84">
        <f t="shared" ca="1" si="5"/>
        <v>12689.724443555469</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x14ac:dyDescent="0.3">
      <c r="A81" s="30"/>
      <c r="B81" s="30"/>
      <c r="D81" s="619">
        <v>63</v>
      </c>
      <c r="F81" s="18">
        <f ca="1" xml:space="preserve"> ( __Saldo_Final _Anterior + T_SeguroAnual!__Saldo_Ciclico ) * ( __Stopper_Saldo_Inicial )</f>
        <v>7.2759576141834259E-12</v>
      </c>
      <c r="G81" s="83">
        <f ca="1">MIN( CHOOSE(i.Opcion.Abono, __Capital_Opcion_1, __Capital_Opcion_2, __Capital_Opcion_3) _Actual, __Saldo_Inicial _Actual)</f>
        <v>0</v>
      </c>
      <c r="H81" s="83">
        <f t="shared" ca="1" si="0"/>
        <v>2.6072181450823943E-15</v>
      </c>
      <c r="I81" s="84">
        <f ca="1">T_AutoYSeguroMulti!__Dias_Interes_Periodo</f>
        <v>30</v>
      </c>
      <c r="J81" s="84">
        <f t="shared" ca="1" si="1"/>
        <v>7.8216544352471822E-14</v>
      </c>
      <c r="K81" s="84">
        <f t="shared" ca="1" si="2"/>
        <v>9.3859853222966188E-15</v>
      </c>
      <c r="L81" s="83">
        <f t="shared" ca="1" si="3"/>
        <v>8.7602529674768438E-14</v>
      </c>
      <c r="M81" s="646">
        <f>INDEX(TablaCliente!_CapturaAbonoAnticipadoTablaCliente,__Amortizacion)</f>
        <v>0</v>
      </c>
      <c r="N81" s="84">
        <f t="shared" ca="1" si="4"/>
        <v>7.2759576141834259E-12</v>
      </c>
      <c r="P81" s="618" t="b">
        <f ca="1">__Saldo_Final _Anterior &gt; 0</f>
        <v>1</v>
      </c>
      <c r="Q81" s="98"/>
      <c r="R81" s="84">
        <f ca="1" xml:space="preserve"> T_AutoYSeguroMulti!_Pago.Fijo + T_SeguroAnual!__Pago_Fijo</f>
        <v>12689.724443555469</v>
      </c>
      <c r="S81" s="84">
        <f ca="1" xml:space="preserve"> T_AutoYSeguroMulti!__Capital + T_SeguroAnual!__Capital</f>
        <v>0</v>
      </c>
      <c r="T81" s="84">
        <f t="shared" ca="1" si="5"/>
        <v>12689.724443555469</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x14ac:dyDescent="0.3">
      <c r="A82" s="30"/>
      <c r="B82" s="30"/>
      <c r="D82" s="619">
        <v>64</v>
      </c>
      <c r="F82" s="18">
        <f ca="1" xml:space="preserve"> ( __Saldo_Final _Anterior + T_SeguroAnual!__Saldo_Ciclico ) * ( __Stopper_Saldo_Inicial )</f>
        <v>7.2759576141834259E-12</v>
      </c>
      <c r="G82" s="83">
        <f ca="1">MIN( CHOOSE(i.Opcion.Abono, __Capital_Opcion_1, __Capital_Opcion_2, __Capital_Opcion_3) _Actual, __Saldo_Inicial _Actual)</f>
        <v>0</v>
      </c>
      <c r="H82" s="83">
        <f t="shared" ca="1" si="0"/>
        <v>2.6072181450823943E-15</v>
      </c>
      <c r="I82" s="84">
        <f ca="1">T_AutoYSeguroMulti!__Dias_Interes_Periodo</f>
        <v>30</v>
      </c>
      <c r="J82" s="84">
        <f t="shared" ca="1" si="1"/>
        <v>7.8216544352471822E-14</v>
      </c>
      <c r="K82" s="84">
        <f t="shared" ca="1" si="2"/>
        <v>9.3859853222966188E-15</v>
      </c>
      <c r="L82" s="83">
        <f t="shared" ca="1" si="3"/>
        <v>8.7602529674768438E-14</v>
      </c>
      <c r="M82" s="646">
        <f>INDEX(TablaCliente!_CapturaAbonoAnticipadoTablaCliente,__Amortizacion)</f>
        <v>0</v>
      </c>
      <c r="N82" s="84">
        <f t="shared" ca="1" si="4"/>
        <v>7.2759576141834259E-12</v>
      </c>
      <c r="P82" s="618" t="b">
        <f ca="1">__Saldo_Final _Anterior &gt; 0</f>
        <v>1</v>
      </c>
      <c r="Q82" s="98"/>
      <c r="R82" s="84">
        <f ca="1" xml:space="preserve"> T_AutoYSeguroMulti!_Pago.Fijo + T_SeguroAnual!__Pago_Fijo</f>
        <v>12689.724443555469</v>
      </c>
      <c r="S82" s="84">
        <f ca="1" xml:space="preserve"> T_AutoYSeguroMulti!__Capital + T_SeguroAnual!__Capital</f>
        <v>0</v>
      </c>
      <c r="T82" s="84">
        <f t="shared" ca="1" si="5"/>
        <v>12689.724443555469</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x14ac:dyDescent="0.3">
      <c r="A83" s="30"/>
      <c r="B83" s="30"/>
      <c r="D83" s="619">
        <v>65</v>
      </c>
      <c r="F83" s="18">
        <f ca="1" xml:space="preserve"> ( __Saldo_Final _Anterior + T_SeguroAnual!__Saldo_Ciclico ) * ( __Stopper_Saldo_Inicial )</f>
        <v>7.2759576141834259E-12</v>
      </c>
      <c r="G83" s="83">
        <f ca="1">MIN( CHOOSE(i.Opcion.Abono, __Capital_Opcion_1, __Capital_Opcion_2, __Capital_Opcion_3) _Actual, __Saldo_Inicial _Actual)</f>
        <v>0</v>
      </c>
      <c r="H83" s="83">
        <f t="shared" ref="H83:H146" ca="1" si="7" xml:space="preserve"> __Saldo_Inicial * _Tasa.Diaria</f>
        <v>2.6072181450823943E-15</v>
      </c>
      <c r="I83" s="84">
        <f ca="1">T_AutoYSeguroMulti!__Dias_Interes_Periodo</f>
        <v>30</v>
      </c>
      <c r="J83" s="84">
        <f t="shared" ref="J83:J146" ca="1" si="8" xml:space="preserve"> __Interes_Diario * __Dias_Interes_Periodo</f>
        <v>7.8216544352471822E-14</v>
      </c>
      <c r="K83" s="84">
        <f t="shared" ref="K83:K146" ca="1" si="9" xml:space="preserve"> __Interes * i.Iva.Intereses</f>
        <v>9.3859853222966188E-15</v>
      </c>
      <c r="L83" s="83">
        <f t="shared" ref="L83:L146" ca="1" si="10" xml:space="preserve"> __Capital + __Interes + __IVA</f>
        <v>8.7602529674768438E-14</v>
      </c>
      <c r="M83" s="646">
        <f>INDEX(TablaCliente!_CapturaAbonoAnticipadoTablaCliente,__Amortizacion)</f>
        <v>0</v>
      </c>
      <c r="N83" s="84">
        <f t="shared" ref="N83:N146" ca="1" si="11">MAX( __Saldo_Inicial-__Capital-__Abono_Anticipado, 0)</f>
        <v>7.2759576141834259E-12</v>
      </c>
      <c r="P83" s="618" t="b">
        <f ca="1">__Saldo_Final _Anterior &gt; 0</f>
        <v>1</v>
      </c>
      <c r="Q83" s="98"/>
      <c r="R83" s="84">
        <f ca="1" xml:space="preserve"> T_AutoYSeguroMulti!_Pago.Fijo + T_SeguroAnual!__Pago_Fijo</f>
        <v>12689.724443555469</v>
      </c>
      <c r="S83" s="84">
        <f ca="1" xml:space="preserve"> T_AutoYSeguroMulti!__Capital + T_SeguroAnual!__Capital</f>
        <v>0</v>
      </c>
      <c r="T83" s="84">
        <f t="shared" ref="T83:T146" ca="1" si="12">__Pago_Fijo - (__Interes_Diario * i.Dias.Por.Periodo * (1+i.Iva.Intereses))</f>
        <v>12689.724443555469</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x14ac:dyDescent="0.3">
      <c r="A84" s="30"/>
      <c r="B84" s="30"/>
      <c r="D84" s="619">
        <v>66</v>
      </c>
      <c r="F84" s="18">
        <f ca="1" xml:space="preserve"> ( __Saldo_Final _Anterior + T_SeguroAnual!__Saldo_Ciclico ) * ( __Stopper_Saldo_Inicial )</f>
        <v>7.2759576141834259E-12</v>
      </c>
      <c r="G84" s="83">
        <f ca="1">MIN( CHOOSE(i.Opcion.Abono, __Capital_Opcion_1, __Capital_Opcion_2, __Capital_Opcion_3) _Actual, __Saldo_Inicial _Actual)</f>
        <v>0</v>
      </c>
      <c r="H84" s="83">
        <f t="shared" ca="1" si="7"/>
        <v>2.6072181450823943E-15</v>
      </c>
      <c r="I84" s="84">
        <f ca="1">T_AutoYSeguroMulti!__Dias_Interes_Periodo</f>
        <v>30</v>
      </c>
      <c r="J84" s="84">
        <f t="shared" ca="1" si="8"/>
        <v>7.8216544352471822E-14</v>
      </c>
      <c r="K84" s="84">
        <f t="shared" ca="1" si="9"/>
        <v>9.3859853222966188E-15</v>
      </c>
      <c r="L84" s="83">
        <f t="shared" ca="1" si="10"/>
        <v>8.7602529674768438E-14</v>
      </c>
      <c r="M84" s="646">
        <f>INDEX(TablaCliente!_CapturaAbonoAnticipadoTablaCliente,__Amortizacion)</f>
        <v>0</v>
      </c>
      <c r="N84" s="84">
        <f t="shared" ca="1" si="11"/>
        <v>7.2759576141834259E-12</v>
      </c>
      <c r="P84" s="618" t="b">
        <f ca="1">__Saldo_Final _Anterior &gt; 0</f>
        <v>1</v>
      </c>
      <c r="Q84" s="98"/>
      <c r="R84" s="84">
        <f ca="1" xml:space="preserve"> T_AutoYSeguroMulti!_Pago.Fijo + T_SeguroAnual!__Pago_Fijo</f>
        <v>12689.724443555469</v>
      </c>
      <c r="S84" s="84">
        <f ca="1" xml:space="preserve"> T_AutoYSeguroMulti!__Capital + T_SeguroAnual!__Capital</f>
        <v>0</v>
      </c>
      <c r="T84" s="84">
        <f t="shared" ca="1" si="12"/>
        <v>12689.724443555469</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x14ac:dyDescent="0.3">
      <c r="A85" s="30"/>
      <c r="B85" s="30"/>
      <c r="D85" s="619">
        <v>67</v>
      </c>
      <c r="F85" s="18">
        <f ca="1" xml:space="preserve"> ( __Saldo_Final _Anterior + T_SeguroAnual!__Saldo_Ciclico ) * ( __Stopper_Saldo_Inicial )</f>
        <v>7.2759576141834259E-12</v>
      </c>
      <c r="G85" s="83">
        <f ca="1">MIN( CHOOSE(i.Opcion.Abono, __Capital_Opcion_1, __Capital_Opcion_2, __Capital_Opcion_3) _Actual, __Saldo_Inicial _Actual)</f>
        <v>0</v>
      </c>
      <c r="H85" s="83">
        <f t="shared" ca="1" si="7"/>
        <v>2.6072181450823943E-15</v>
      </c>
      <c r="I85" s="84">
        <f ca="1">T_AutoYSeguroMulti!__Dias_Interes_Periodo</f>
        <v>30</v>
      </c>
      <c r="J85" s="84">
        <f t="shared" ca="1" si="8"/>
        <v>7.8216544352471822E-14</v>
      </c>
      <c r="K85" s="84">
        <f t="shared" ca="1" si="9"/>
        <v>9.3859853222966188E-15</v>
      </c>
      <c r="L85" s="83">
        <f t="shared" ca="1" si="10"/>
        <v>8.7602529674768438E-14</v>
      </c>
      <c r="M85" s="646">
        <f>INDEX(TablaCliente!_CapturaAbonoAnticipadoTablaCliente,__Amortizacion)</f>
        <v>0</v>
      </c>
      <c r="N85" s="84">
        <f t="shared" ca="1" si="11"/>
        <v>7.2759576141834259E-12</v>
      </c>
      <c r="P85" s="618" t="b">
        <f ca="1">__Saldo_Final _Anterior &gt; 0</f>
        <v>1</v>
      </c>
      <c r="Q85" s="98"/>
      <c r="R85" s="84">
        <f ca="1" xml:space="preserve"> T_AutoYSeguroMulti!_Pago.Fijo + T_SeguroAnual!__Pago_Fijo</f>
        <v>12689.724443555469</v>
      </c>
      <c r="S85" s="84">
        <f ca="1" xml:space="preserve"> T_AutoYSeguroMulti!__Capital + T_SeguroAnual!__Capital</f>
        <v>0</v>
      </c>
      <c r="T85" s="84">
        <f t="shared" ca="1" si="12"/>
        <v>12689.724443555469</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x14ac:dyDescent="0.3">
      <c r="A86" s="30"/>
      <c r="B86" s="30"/>
      <c r="D86" s="619">
        <v>68</v>
      </c>
      <c r="F86" s="18">
        <f ca="1" xml:space="preserve"> ( __Saldo_Final _Anterior + T_SeguroAnual!__Saldo_Ciclico ) * ( __Stopper_Saldo_Inicial )</f>
        <v>7.2759576141834259E-12</v>
      </c>
      <c r="G86" s="83">
        <f ca="1">MIN( CHOOSE(i.Opcion.Abono, __Capital_Opcion_1, __Capital_Opcion_2, __Capital_Opcion_3) _Actual, __Saldo_Inicial _Actual)</f>
        <v>0</v>
      </c>
      <c r="H86" s="83">
        <f t="shared" ca="1" si="7"/>
        <v>2.6072181450823943E-15</v>
      </c>
      <c r="I86" s="84">
        <f ca="1">T_AutoYSeguroMulti!__Dias_Interes_Periodo</f>
        <v>30</v>
      </c>
      <c r="J86" s="84">
        <f t="shared" ca="1" si="8"/>
        <v>7.8216544352471822E-14</v>
      </c>
      <c r="K86" s="84">
        <f t="shared" ca="1" si="9"/>
        <v>9.3859853222966188E-15</v>
      </c>
      <c r="L86" s="83">
        <f t="shared" ca="1" si="10"/>
        <v>8.7602529674768438E-14</v>
      </c>
      <c r="M86" s="646">
        <f>INDEX(TablaCliente!_CapturaAbonoAnticipadoTablaCliente,__Amortizacion)</f>
        <v>0</v>
      </c>
      <c r="N86" s="84">
        <f t="shared" ca="1" si="11"/>
        <v>7.2759576141834259E-12</v>
      </c>
      <c r="P86" s="618" t="b">
        <f ca="1">__Saldo_Final _Anterior &gt; 0</f>
        <v>1</v>
      </c>
      <c r="Q86" s="98"/>
      <c r="R86" s="84">
        <f ca="1" xml:space="preserve"> T_AutoYSeguroMulti!_Pago.Fijo + T_SeguroAnual!__Pago_Fijo</f>
        <v>12689.724443555469</v>
      </c>
      <c r="S86" s="84">
        <f ca="1" xml:space="preserve"> T_AutoYSeguroMulti!__Capital + T_SeguroAnual!__Capital</f>
        <v>0</v>
      </c>
      <c r="T86" s="84">
        <f t="shared" ca="1" si="12"/>
        <v>12689.724443555469</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x14ac:dyDescent="0.3">
      <c r="A87" s="30"/>
      <c r="B87" s="30"/>
      <c r="D87" s="619">
        <v>69</v>
      </c>
      <c r="F87" s="18">
        <f ca="1" xml:space="preserve"> ( __Saldo_Final _Anterior + T_SeguroAnual!__Saldo_Ciclico ) * ( __Stopper_Saldo_Inicial )</f>
        <v>7.2759576141834259E-12</v>
      </c>
      <c r="G87" s="83">
        <f ca="1">MIN( CHOOSE(i.Opcion.Abono, __Capital_Opcion_1, __Capital_Opcion_2, __Capital_Opcion_3) _Actual, __Saldo_Inicial _Actual)</f>
        <v>0</v>
      </c>
      <c r="H87" s="83">
        <f t="shared" ca="1" si="7"/>
        <v>2.6072181450823943E-15</v>
      </c>
      <c r="I87" s="84">
        <f ca="1">T_AutoYSeguroMulti!__Dias_Interes_Periodo</f>
        <v>30</v>
      </c>
      <c r="J87" s="84">
        <f t="shared" ca="1" si="8"/>
        <v>7.8216544352471822E-14</v>
      </c>
      <c r="K87" s="84">
        <f t="shared" ca="1" si="9"/>
        <v>9.3859853222966188E-15</v>
      </c>
      <c r="L87" s="83">
        <f t="shared" ca="1" si="10"/>
        <v>8.7602529674768438E-14</v>
      </c>
      <c r="M87" s="646">
        <f>INDEX(TablaCliente!_CapturaAbonoAnticipadoTablaCliente,__Amortizacion)</f>
        <v>0</v>
      </c>
      <c r="N87" s="84">
        <f t="shared" ca="1" si="11"/>
        <v>7.2759576141834259E-12</v>
      </c>
      <c r="P87" s="618" t="b">
        <f ca="1">__Saldo_Final _Anterior &gt; 0</f>
        <v>1</v>
      </c>
      <c r="Q87" s="98"/>
      <c r="R87" s="84">
        <f ca="1" xml:space="preserve"> T_AutoYSeguroMulti!_Pago.Fijo + T_SeguroAnual!__Pago_Fijo</f>
        <v>12689.724443555469</v>
      </c>
      <c r="S87" s="84">
        <f ca="1" xml:space="preserve"> T_AutoYSeguroMulti!__Capital + T_SeguroAnual!__Capital</f>
        <v>0</v>
      </c>
      <c r="T87" s="84">
        <f t="shared" ca="1" si="12"/>
        <v>12689.724443555469</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x14ac:dyDescent="0.3">
      <c r="D88" s="619">
        <v>70</v>
      </c>
      <c r="F88" s="18">
        <f ca="1" xml:space="preserve"> ( __Saldo_Final _Anterior + T_SeguroAnual!__Saldo_Ciclico ) * ( __Stopper_Saldo_Inicial )</f>
        <v>7.2759576141834259E-12</v>
      </c>
      <c r="G88" s="83">
        <f ca="1">MIN( CHOOSE(i.Opcion.Abono, __Capital_Opcion_1, __Capital_Opcion_2, __Capital_Opcion_3) _Actual, __Saldo_Inicial _Actual)</f>
        <v>0</v>
      </c>
      <c r="H88" s="83">
        <f t="shared" ca="1" si="7"/>
        <v>2.6072181450823943E-15</v>
      </c>
      <c r="I88" s="84">
        <f ca="1">T_AutoYSeguroMulti!__Dias_Interes_Periodo</f>
        <v>30</v>
      </c>
      <c r="J88" s="84">
        <f t="shared" ca="1" si="8"/>
        <v>7.8216544352471822E-14</v>
      </c>
      <c r="K88" s="84">
        <f t="shared" ca="1" si="9"/>
        <v>9.3859853222966188E-15</v>
      </c>
      <c r="L88" s="83">
        <f t="shared" ca="1" si="10"/>
        <v>8.7602529674768438E-14</v>
      </c>
      <c r="M88" s="646">
        <f>INDEX(TablaCliente!_CapturaAbonoAnticipadoTablaCliente,__Amortizacion)</f>
        <v>0</v>
      </c>
      <c r="N88" s="84">
        <f t="shared" ca="1" si="11"/>
        <v>7.2759576141834259E-12</v>
      </c>
      <c r="P88" s="618" t="b">
        <f ca="1">__Saldo_Final _Anterior &gt; 0</f>
        <v>1</v>
      </c>
      <c r="Q88" s="98"/>
      <c r="R88" s="84">
        <f ca="1" xml:space="preserve"> T_AutoYSeguroMulti!_Pago.Fijo + T_SeguroAnual!__Pago_Fijo</f>
        <v>12689.724443555469</v>
      </c>
      <c r="S88" s="84">
        <f ca="1" xml:space="preserve"> T_AutoYSeguroMulti!__Capital + T_SeguroAnual!__Capital</f>
        <v>0</v>
      </c>
      <c r="T88" s="84">
        <f t="shared" ca="1" si="12"/>
        <v>12689.724443555469</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x14ac:dyDescent="0.3">
      <c r="D89" s="619">
        <v>71</v>
      </c>
      <c r="F89" s="18">
        <f ca="1" xml:space="preserve"> ( __Saldo_Final _Anterior + T_SeguroAnual!__Saldo_Ciclico ) * ( __Stopper_Saldo_Inicial )</f>
        <v>7.2759576141834259E-12</v>
      </c>
      <c r="G89" s="83">
        <f ca="1">MIN( CHOOSE(i.Opcion.Abono, __Capital_Opcion_1, __Capital_Opcion_2, __Capital_Opcion_3) _Actual, __Saldo_Inicial _Actual)</f>
        <v>0</v>
      </c>
      <c r="H89" s="83">
        <f t="shared" ca="1" si="7"/>
        <v>2.6072181450823943E-15</v>
      </c>
      <c r="I89" s="84">
        <f ca="1">T_AutoYSeguroMulti!__Dias_Interes_Periodo</f>
        <v>30</v>
      </c>
      <c r="J89" s="84">
        <f t="shared" ca="1" si="8"/>
        <v>7.8216544352471822E-14</v>
      </c>
      <c r="K89" s="84">
        <f t="shared" ca="1" si="9"/>
        <v>9.3859853222966188E-15</v>
      </c>
      <c r="L89" s="83">
        <f t="shared" ca="1" si="10"/>
        <v>8.7602529674768438E-14</v>
      </c>
      <c r="M89" s="646">
        <f>INDEX(TablaCliente!_CapturaAbonoAnticipadoTablaCliente,__Amortizacion)</f>
        <v>0</v>
      </c>
      <c r="N89" s="84">
        <f t="shared" ca="1" si="11"/>
        <v>7.2759576141834259E-12</v>
      </c>
      <c r="P89" s="618" t="b">
        <f ca="1">__Saldo_Final _Anterior &gt; 0</f>
        <v>1</v>
      </c>
      <c r="Q89" s="98"/>
      <c r="R89" s="84">
        <f ca="1" xml:space="preserve"> T_AutoYSeguroMulti!_Pago.Fijo + T_SeguroAnual!__Pago_Fijo</f>
        <v>12689.724443555469</v>
      </c>
      <c r="S89" s="84">
        <f ca="1" xml:space="preserve"> T_AutoYSeguroMulti!__Capital + T_SeguroAnual!__Capital</f>
        <v>0</v>
      </c>
      <c r="T89" s="84">
        <f t="shared" ca="1" si="12"/>
        <v>12689.724443555469</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x14ac:dyDescent="0.3">
      <c r="D90" s="619">
        <v>72</v>
      </c>
      <c r="F90" s="18">
        <f ca="1" xml:space="preserve"> ( __Saldo_Final _Anterior + T_SeguroAnual!__Saldo_Ciclico ) * ( __Stopper_Saldo_Inicial )</f>
        <v>7.2759576141834259E-12</v>
      </c>
      <c r="G90" s="83">
        <f ca="1">MIN( CHOOSE(i.Opcion.Abono, __Capital_Opcion_1, __Capital_Opcion_2, __Capital_Opcion_3) _Actual, __Saldo_Inicial _Actual)</f>
        <v>0</v>
      </c>
      <c r="H90" s="83">
        <f t="shared" ca="1" si="7"/>
        <v>2.6072181450823943E-15</v>
      </c>
      <c r="I90" s="84">
        <f ca="1">T_AutoYSeguroMulti!__Dias_Interes_Periodo</f>
        <v>30</v>
      </c>
      <c r="J90" s="84">
        <f t="shared" ca="1" si="8"/>
        <v>7.8216544352471822E-14</v>
      </c>
      <c r="K90" s="84">
        <f t="shared" ca="1" si="9"/>
        <v>9.3859853222966188E-15</v>
      </c>
      <c r="L90" s="83">
        <f t="shared" ca="1" si="10"/>
        <v>8.7602529674768438E-14</v>
      </c>
      <c r="M90" s="646">
        <f>INDEX(TablaCliente!_CapturaAbonoAnticipadoTablaCliente,__Amortizacion)</f>
        <v>0</v>
      </c>
      <c r="N90" s="84">
        <f t="shared" ca="1" si="11"/>
        <v>7.2759576141834259E-12</v>
      </c>
      <c r="P90" s="618" t="b">
        <f ca="1">__Saldo_Final _Anterior &gt; 0</f>
        <v>1</v>
      </c>
      <c r="Q90" s="98"/>
      <c r="R90" s="84">
        <f ca="1" xml:space="preserve"> T_AutoYSeguroMulti!_Pago.Fijo + T_SeguroAnual!__Pago_Fijo</f>
        <v>12689.724443555469</v>
      </c>
      <c r="S90" s="84">
        <f ca="1" xml:space="preserve"> T_AutoYSeguroMulti!__Capital + T_SeguroAnual!__Capital</f>
        <v>0</v>
      </c>
      <c r="T90" s="84">
        <f t="shared" ca="1" si="12"/>
        <v>12689.724443555469</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x14ac:dyDescent="0.3">
      <c r="D91" s="619">
        <v>73</v>
      </c>
      <c r="F91" s="18">
        <f ca="1" xml:space="preserve"> ( __Saldo_Final _Anterior + T_SeguroAnual!__Saldo_Ciclico ) * ( __Stopper_Saldo_Inicial )</f>
        <v>7.2759576141834259E-12</v>
      </c>
      <c r="G91" s="83">
        <f ca="1">MIN( CHOOSE(i.Opcion.Abono, __Capital_Opcion_1, __Capital_Opcion_2, __Capital_Opcion_3) _Actual, __Saldo_Inicial _Actual)</f>
        <v>0</v>
      </c>
      <c r="H91" s="83">
        <f t="shared" ca="1" si="7"/>
        <v>2.6072181450823943E-15</v>
      </c>
      <c r="I91" s="84">
        <f ca="1">T_AutoYSeguroMulti!__Dias_Interes_Periodo</f>
        <v>30</v>
      </c>
      <c r="J91" s="84">
        <f t="shared" ca="1" si="8"/>
        <v>7.8216544352471822E-14</v>
      </c>
      <c r="K91" s="84">
        <f t="shared" ca="1" si="9"/>
        <v>9.3859853222966188E-15</v>
      </c>
      <c r="L91" s="83">
        <f t="shared" ca="1" si="10"/>
        <v>8.7602529674768438E-14</v>
      </c>
      <c r="M91" s="646">
        <f>INDEX(TablaCliente!_CapturaAbonoAnticipadoTablaCliente,__Amortizacion)</f>
        <v>0</v>
      </c>
      <c r="N91" s="84">
        <f t="shared" ca="1" si="11"/>
        <v>7.2759576141834259E-12</v>
      </c>
      <c r="P91" s="618" t="b">
        <f ca="1">__Saldo_Final _Anterior &gt; 0</f>
        <v>1</v>
      </c>
      <c r="Q91" s="98"/>
      <c r="R91" s="84">
        <f ca="1" xml:space="preserve"> T_AutoYSeguroMulti!_Pago.Fijo + T_SeguroAnual!__Pago_Fijo</f>
        <v>12689.724443555469</v>
      </c>
      <c r="S91" s="84">
        <f ca="1" xml:space="preserve"> T_AutoYSeguroMulti!__Capital + T_SeguroAnual!__Capital</f>
        <v>0</v>
      </c>
      <c r="T91" s="84">
        <f t="shared" ca="1" si="12"/>
        <v>12689.724443555469</v>
      </c>
      <c r="U91" s="98"/>
      <c r="V91" s="648">
        <v>0</v>
      </c>
      <c r="W91" s="618"/>
      <c r="X91" s="84">
        <v>0</v>
      </c>
      <c r="Y91" s="84">
        <v>0</v>
      </c>
      <c r="Z91" s="84"/>
      <c r="AA91" s="84">
        <f ca="1" xml:space="preserve"> T_SeguroAnual!__Abono_Sobrante</f>
        <v>0</v>
      </c>
      <c r="AB91" s="84">
        <f t="shared" si="13"/>
        <v>0</v>
      </c>
      <c r="AD91" s="84">
        <f ca="1"/>
        <v>0</v>
      </c>
      <c r="AE91" s="84">
        <f ca="1"/>
        <v>0</v>
      </c>
    </row>
    <row r="92" spans="1:35" x14ac:dyDescent="0.3">
      <c r="D92" s="619">
        <v>74</v>
      </c>
      <c r="F92" s="18">
        <f ca="1" xml:space="preserve"> ( __Saldo_Final _Anterior + T_SeguroAnual!__Saldo_Ciclico ) * ( __Stopper_Saldo_Inicial )</f>
        <v>7.2759576141834259E-12</v>
      </c>
      <c r="G92" s="83">
        <f ca="1">MIN( CHOOSE(i.Opcion.Abono, __Capital_Opcion_1, __Capital_Opcion_2, __Capital_Opcion_3) _Actual, __Saldo_Inicial _Actual)</f>
        <v>0</v>
      </c>
      <c r="H92" s="83">
        <f t="shared" ca="1" si="7"/>
        <v>2.6072181450823943E-15</v>
      </c>
      <c r="I92" s="84">
        <f ca="1">T_AutoYSeguroMulti!__Dias_Interes_Periodo</f>
        <v>30</v>
      </c>
      <c r="J92" s="84">
        <f t="shared" ca="1" si="8"/>
        <v>7.8216544352471822E-14</v>
      </c>
      <c r="K92" s="84">
        <f t="shared" ca="1" si="9"/>
        <v>9.3859853222966188E-15</v>
      </c>
      <c r="L92" s="83">
        <f t="shared" ca="1" si="10"/>
        <v>8.7602529674768438E-14</v>
      </c>
      <c r="M92" s="646">
        <f>INDEX(TablaCliente!_CapturaAbonoAnticipadoTablaCliente,__Amortizacion)</f>
        <v>0</v>
      </c>
      <c r="N92" s="84">
        <f t="shared" ca="1" si="11"/>
        <v>7.2759576141834259E-12</v>
      </c>
      <c r="P92" s="618" t="b">
        <f ca="1">__Saldo_Final _Anterior &gt; 0</f>
        <v>1</v>
      </c>
      <c r="Q92" s="98"/>
      <c r="R92" s="84">
        <f ca="1" xml:space="preserve"> T_AutoYSeguroMulti!_Pago.Fijo + T_SeguroAnual!__Pago_Fijo</f>
        <v>12689.724443555469</v>
      </c>
      <c r="S92" s="84">
        <f ca="1" xml:space="preserve"> T_AutoYSeguroMulti!__Capital + T_SeguroAnual!__Capital</f>
        <v>0</v>
      </c>
      <c r="T92" s="84">
        <f t="shared" ca="1" si="12"/>
        <v>12689.724443555469</v>
      </c>
      <c r="U92" s="98"/>
      <c r="V92" s="648">
        <v>0</v>
      </c>
      <c r="W92" s="618"/>
      <c r="X92" s="84">
        <v>0</v>
      </c>
      <c r="Y92" s="84">
        <v>0</v>
      </c>
      <c r="Z92" s="84"/>
      <c r="AA92" s="84">
        <f ca="1" xml:space="preserve"> T_SeguroAnual!__Abono_Sobrante</f>
        <v>0</v>
      </c>
      <c r="AB92" s="84">
        <f t="shared" si="13"/>
        <v>0</v>
      </c>
      <c r="AD92" s="84">
        <f ca="1"/>
        <v>0</v>
      </c>
      <c r="AE92" s="84">
        <f ca="1"/>
        <v>0</v>
      </c>
    </row>
    <row r="93" spans="1:35" x14ac:dyDescent="0.3">
      <c r="D93" s="619">
        <v>75</v>
      </c>
      <c r="F93" s="18">
        <f ca="1" xml:space="preserve"> ( __Saldo_Final _Anterior + T_SeguroAnual!__Saldo_Ciclico ) * ( __Stopper_Saldo_Inicial )</f>
        <v>7.2759576141834259E-12</v>
      </c>
      <c r="G93" s="83">
        <f ca="1">MIN( CHOOSE(i.Opcion.Abono, __Capital_Opcion_1, __Capital_Opcion_2, __Capital_Opcion_3) _Actual, __Saldo_Inicial _Actual)</f>
        <v>0</v>
      </c>
      <c r="H93" s="83">
        <f t="shared" ca="1" si="7"/>
        <v>2.6072181450823943E-15</v>
      </c>
      <c r="I93" s="84">
        <f ca="1">T_AutoYSeguroMulti!__Dias_Interes_Periodo</f>
        <v>30</v>
      </c>
      <c r="J93" s="84">
        <f t="shared" ca="1" si="8"/>
        <v>7.8216544352471822E-14</v>
      </c>
      <c r="K93" s="84">
        <f t="shared" ca="1" si="9"/>
        <v>9.3859853222966188E-15</v>
      </c>
      <c r="L93" s="83">
        <f t="shared" ca="1" si="10"/>
        <v>8.7602529674768438E-14</v>
      </c>
      <c r="M93" s="646">
        <f>INDEX(TablaCliente!_CapturaAbonoAnticipadoTablaCliente,__Amortizacion)</f>
        <v>0</v>
      </c>
      <c r="N93" s="84">
        <f t="shared" ca="1" si="11"/>
        <v>7.2759576141834259E-12</v>
      </c>
      <c r="P93" s="618" t="b">
        <f ca="1">__Saldo_Final _Anterior &gt; 0</f>
        <v>1</v>
      </c>
      <c r="Q93" s="98"/>
      <c r="R93" s="84">
        <f ca="1" xml:space="preserve"> T_AutoYSeguroMulti!_Pago.Fijo + T_SeguroAnual!__Pago_Fijo</f>
        <v>12689.724443555469</v>
      </c>
      <c r="S93" s="84">
        <f ca="1" xml:space="preserve"> T_AutoYSeguroMulti!__Capital + T_SeguroAnual!__Capital</f>
        <v>0</v>
      </c>
      <c r="T93" s="84">
        <f t="shared" ca="1" si="12"/>
        <v>12689.724443555469</v>
      </c>
      <c r="U93" s="98"/>
      <c r="V93" s="648">
        <v>0</v>
      </c>
      <c r="W93" s="618"/>
      <c r="X93" s="84">
        <v>0</v>
      </c>
      <c r="Y93" s="84">
        <v>0</v>
      </c>
      <c r="Z93" s="84"/>
      <c r="AA93" s="84">
        <f ca="1" xml:space="preserve"> T_SeguroAnual!__Abono_Sobrante</f>
        <v>0</v>
      </c>
      <c r="AB93" s="84">
        <f t="shared" si="13"/>
        <v>0</v>
      </c>
      <c r="AD93" s="84">
        <f ca="1"/>
        <v>0</v>
      </c>
      <c r="AE93" s="84">
        <f ca="1"/>
        <v>0</v>
      </c>
    </row>
    <row r="94" spans="1:35" x14ac:dyDescent="0.3">
      <c r="D94" s="619">
        <v>76</v>
      </c>
      <c r="F94" s="18">
        <f ca="1" xml:space="preserve"> ( __Saldo_Final _Anterior + T_SeguroAnual!__Saldo_Ciclico ) * ( __Stopper_Saldo_Inicial )</f>
        <v>7.2759576141834259E-12</v>
      </c>
      <c r="G94" s="83">
        <f ca="1">MIN( CHOOSE(i.Opcion.Abono, __Capital_Opcion_1, __Capital_Opcion_2, __Capital_Opcion_3) _Actual, __Saldo_Inicial _Actual)</f>
        <v>0</v>
      </c>
      <c r="H94" s="83">
        <f t="shared" ca="1" si="7"/>
        <v>2.6072181450823943E-15</v>
      </c>
      <c r="I94" s="84">
        <f ca="1">T_AutoYSeguroMulti!__Dias_Interes_Periodo</f>
        <v>30</v>
      </c>
      <c r="J94" s="84">
        <f t="shared" ca="1" si="8"/>
        <v>7.8216544352471822E-14</v>
      </c>
      <c r="K94" s="84">
        <f t="shared" ca="1" si="9"/>
        <v>9.3859853222966188E-15</v>
      </c>
      <c r="L94" s="83">
        <f t="shared" ca="1" si="10"/>
        <v>8.7602529674768438E-14</v>
      </c>
      <c r="M94" s="646">
        <f>INDEX(TablaCliente!_CapturaAbonoAnticipadoTablaCliente,__Amortizacion)</f>
        <v>0</v>
      </c>
      <c r="N94" s="84">
        <f t="shared" ca="1" si="11"/>
        <v>7.2759576141834259E-12</v>
      </c>
      <c r="P94" s="618" t="b">
        <f ca="1">__Saldo_Final _Anterior &gt; 0</f>
        <v>1</v>
      </c>
      <c r="Q94" s="98"/>
      <c r="R94" s="84">
        <f ca="1" xml:space="preserve"> T_AutoYSeguroMulti!_Pago.Fijo + T_SeguroAnual!__Pago_Fijo</f>
        <v>12689.724443555469</v>
      </c>
      <c r="S94" s="84">
        <f ca="1" xml:space="preserve"> T_AutoYSeguroMulti!__Capital + T_SeguroAnual!__Capital</f>
        <v>0</v>
      </c>
      <c r="T94" s="84">
        <f t="shared" ca="1" si="12"/>
        <v>12689.724443555469</v>
      </c>
      <c r="U94" s="98"/>
      <c r="V94" s="648">
        <v>0</v>
      </c>
      <c r="W94" s="618"/>
      <c r="X94" s="84">
        <v>0</v>
      </c>
      <c r="Y94" s="84">
        <v>0</v>
      </c>
      <c r="Z94" s="84"/>
      <c r="AA94" s="84">
        <f ca="1" xml:space="preserve"> T_SeguroAnual!__Abono_Sobrante</f>
        <v>0</v>
      </c>
      <c r="AB94" s="84">
        <f t="shared" si="13"/>
        <v>0</v>
      </c>
      <c r="AD94" s="84">
        <f ca="1"/>
        <v>0</v>
      </c>
      <c r="AE94" s="84">
        <f ca="1"/>
        <v>0</v>
      </c>
    </row>
    <row r="95" spans="1:35" x14ac:dyDescent="0.3">
      <c r="D95" s="619">
        <v>77</v>
      </c>
      <c r="F95" s="18">
        <f ca="1" xml:space="preserve"> ( __Saldo_Final _Anterior + T_SeguroAnual!__Saldo_Ciclico ) * ( __Stopper_Saldo_Inicial )</f>
        <v>7.2759576141834259E-12</v>
      </c>
      <c r="G95" s="83">
        <f ca="1">MIN( CHOOSE(i.Opcion.Abono, __Capital_Opcion_1, __Capital_Opcion_2, __Capital_Opcion_3) _Actual, __Saldo_Inicial _Actual)</f>
        <v>0</v>
      </c>
      <c r="H95" s="83">
        <f t="shared" ca="1" si="7"/>
        <v>2.6072181450823943E-15</v>
      </c>
      <c r="I95" s="84">
        <f ca="1">T_AutoYSeguroMulti!__Dias_Interes_Periodo</f>
        <v>30</v>
      </c>
      <c r="J95" s="84">
        <f t="shared" ca="1" si="8"/>
        <v>7.8216544352471822E-14</v>
      </c>
      <c r="K95" s="84">
        <f t="shared" ca="1" si="9"/>
        <v>9.3859853222966188E-15</v>
      </c>
      <c r="L95" s="83">
        <f t="shared" ca="1" si="10"/>
        <v>8.7602529674768438E-14</v>
      </c>
      <c r="M95" s="646">
        <f>INDEX(TablaCliente!_CapturaAbonoAnticipadoTablaCliente,__Amortizacion)</f>
        <v>0</v>
      </c>
      <c r="N95" s="84">
        <f t="shared" ca="1" si="11"/>
        <v>7.2759576141834259E-12</v>
      </c>
      <c r="P95" s="618" t="b">
        <f ca="1">__Saldo_Final _Anterior &gt; 0</f>
        <v>1</v>
      </c>
      <c r="Q95" s="98"/>
      <c r="R95" s="84">
        <f ca="1" xml:space="preserve"> T_AutoYSeguroMulti!_Pago.Fijo + T_SeguroAnual!__Pago_Fijo</f>
        <v>12689.724443555469</v>
      </c>
      <c r="S95" s="84">
        <f ca="1" xml:space="preserve"> T_AutoYSeguroMulti!__Capital + T_SeguroAnual!__Capital</f>
        <v>0</v>
      </c>
      <c r="T95" s="84">
        <f t="shared" ca="1" si="12"/>
        <v>12689.724443555469</v>
      </c>
      <c r="U95" s="98"/>
      <c r="V95" s="648">
        <v>0</v>
      </c>
      <c r="W95" s="618"/>
      <c r="X95" s="84">
        <v>0</v>
      </c>
      <c r="Y95" s="84">
        <v>0</v>
      </c>
      <c r="Z95" s="84"/>
      <c r="AA95" s="84">
        <f ca="1" xml:space="preserve"> T_SeguroAnual!__Abono_Sobrante</f>
        <v>0</v>
      </c>
      <c r="AB95" s="84">
        <f t="shared" si="13"/>
        <v>0</v>
      </c>
      <c r="AD95" s="84">
        <f ca="1"/>
        <v>0</v>
      </c>
      <c r="AE95" s="84">
        <f ca="1"/>
        <v>0</v>
      </c>
    </row>
    <row r="96" spans="1:35" x14ac:dyDescent="0.3">
      <c r="D96" s="619">
        <v>78</v>
      </c>
      <c r="F96" s="18">
        <f ca="1" xml:space="preserve"> ( __Saldo_Final _Anterior + T_SeguroAnual!__Saldo_Ciclico ) * ( __Stopper_Saldo_Inicial )</f>
        <v>7.2759576141834259E-12</v>
      </c>
      <c r="G96" s="83">
        <f ca="1">MIN( CHOOSE(i.Opcion.Abono, __Capital_Opcion_1, __Capital_Opcion_2, __Capital_Opcion_3) _Actual, __Saldo_Inicial _Actual)</f>
        <v>0</v>
      </c>
      <c r="H96" s="83">
        <f t="shared" ca="1" si="7"/>
        <v>2.6072181450823943E-15</v>
      </c>
      <c r="I96" s="84">
        <f ca="1">T_AutoYSeguroMulti!__Dias_Interes_Periodo</f>
        <v>30</v>
      </c>
      <c r="J96" s="84">
        <f t="shared" ca="1" si="8"/>
        <v>7.8216544352471822E-14</v>
      </c>
      <c r="K96" s="84">
        <f t="shared" ca="1" si="9"/>
        <v>9.3859853222966188E-15</v>
      </c>
      <c r="L96" s="83">
        <f t="shared" ca="1" si="10"/>
        <v>8.7602529674768438E-14</v>
      </c>
      <c r="M96" s="646">
        <f>INDEX(TablaCliente!_CapturaAbonoAnticipadoTablaCliente,__Amortizacion)</f>
        <v>0</v>
      </c>
      <c r="N96" s="84">
        <f t="shared" ca="1" si="11"/>
        <v>7.2759576141834259E-12</v>
      </c>
      <c r="P96" s="618" t="b">
        <f ca="1">__Saldo_Final _Anterior &gt; 0</f>
        <v>1</v>
      </c>
      <c r="Q96" s="98"/>
      <c r="R96" s="84">
        <f ca="1" xml:space="preserve"> T_AutoYSeguroMulti!_Pago.Fijo + T_SeguroAnual!__Pago_Fijo</f>
        <v>12689.724443555469</v>
      </c>
      <c r="S96" s="84">
        <f ca="1" xml:space="preserve"> T_AutoYSeguroMulti!__Capital + T_SeguroAnual!__Capital</f>
        <v>0</v>
      </c>
      <c r="T96" s="84">
        <f t="shared" ca="1" si="12"/>
        <v>12689.724443555469</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x14ac:dyDescent="0.3">
      <c r="D97" s="619">
        <v>79</v>
      </c>
      <c r="F97" s="18">
        <f ca="1" xml:space="preserve"> ( __Saldo_Final _Anterior + T_SeguroAnual!__Saldo_Ciclico ) * ( __Stopper_Saldo_Inicial )</f>
        <v>7.2759576141834259E-12</v>
      </c>
      <c r="G97" s="83">
        <f ca="1">MIN( CHOOSE(i.Opcion.Abono, __Capital_Opcion_1, __Capital_Opcion_2, __Capital_Opcion_3) _Actual, __Saldo_Inicial _Actual)</f>
        <v>0</v>
      </c>
      <c r="H97" s="83">
        <f t="shared" ca="1" si="7"/>
        <v>2.6072181450823943E-15</v>
      </c>
      <c r="I97" s="84">
        <f ca="1">T_AutoYSeguroMulti!__Dias_Interes_Periodo</f>
        <v>30</v>
      </c>
      <c r="J97" s="84">
        <f t="shared" ca="1" si="8"/>
        <v>7.8216544352471822E-14</v>
      </c>
      <c r="K97" s="84">
        <f t="shared" ca="1" si="9"/>
        <v>9.3859853222966188E-15</v>
      </c>
      <c r="L97" s="83">
        <f t="shared" ca="1" si="10"/>
        <v>8.7602529674768438E-14</v>
      </c>
      <c r="M97" s="646">
        <f>INDEX(TablaCliente!_CapturaAbonoAnticipadoTablaCliente,__Amortizacion)</f>
        <v>0</v>
      </c>
      <c r="N97" s="84">
        <f t="shared" ca="1" si="11"/>
        <v>7.2759576141834259E-12</v>
      </c>
      <c r="P97" s="618" t="b">
        <f ca="1">__Saldo_Final _Anterior &gt; 0</f>
        <v>1</v>
      </c>
      <c r="Q97" s="98"/>
      <c r="R97" s="84">
        <f ca="1" xml:space="preserve"> T_AutoYSeguroMulti!_Pago.Fijo + T_SeguroAnual!__Pago_Fijo</f>
        <v>12689.724443555469</v>
      </c>
      <c r="S97" s="84">
        <f ca="1" xml:space="preserve"> T_AutoYSeguroMulti!__Capital + T_SeguroAnual!__Capital</f>
        <v>0</v>
      </c>
      <c r="T97" s="84">
        <f t="shared" ca="1" si="12"/>
        <v>12689.724443555469</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x14ac:dyDescent="0.3">
      <c r="D98" s="98">
        <v>80</v>
      </c>
      <c r="F98" s="18">
        <f ca="1" xml:space="preserve"> ( __Saldo_Final _Anterior + T_SeguroAnual!__Saldo_Ciclico ) * ( __Stopper_Saldo_Inicial )</f>
        <v>7.2759576141834259E-12</v>
      </c>
      <c r="G98" s="83">
        <f ca="1">MIN( CHOOSE(i.Opcion.Abono, __Capital_Opcion_1, __Capital_Opcion_2, __Capital_Opcion_3) _Actual, __Saldo_Inicial _Actual)</f>
        <v>0</v>
      </c>
      <c r="H98" s="83">
        <f t="shared" ca="1" si="7"/>
        <v>2.6072181450823943E-15</v>
      </c>
      <c r="I98" s="84">
        <f ca="1">T_AutoYSeguroMulti!__Dias_Interes_Periodo</f>
        <v>30</v>
      </c>
      <c r="J98" s="84">
        <f t="shared" ca="1" si="8"/>
        <v>7.8216544352471822E-14</v>
      </c>
      <c r="K98" s="84">
        <f t="shared" ca="1" si="9"/>
        <v>9.3859853222966188E-15</v>
      </c>
      <c r="L98" s="83">
        <f t="shared" ca="1" si="10"/>
        <v>8.7602529674768438E-14</v>
      </c>
      <c r="M98" s="646">
        <f>INDEX(TablaCliente!_CapturaAbonoAnticipadoTablaCliente,__Amortizacion)</f>
        <v>0</v>
      </c>
      <c r="N98" s="84">
        <f t="shared" ca="1" si="11"/>
        <v>7.2759576141834259E-12</v>
      </c>
      <c r="P98" s="618" t="b">
        <f ca="1">__Saldo_Final _Anterior &gt; 0</f>
        <v>1</v>
      </c>
      <c r="Q98" s="98"/>
      <c r="R98" s="84">
        <f ca="1" xml:space="preserve"> T_AutoYSeguroMulti!_Pago.Fijo + T_SeguroAnual!__Pago_Fijo</f>
        <v>12689.724443555469</v>
      </c>
      <c r="S98" s="84">
        <f ca="1" xml:space="preserve"> T_AutoYSeguroMulti!__Capital + T_SeguroAnual!__Capital</f>
        <v>0</v>
      </c>
      <c r="T98" s="84">
        <f t="shared" ca="1" si="12"/>
        <v>12689.724443555469</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x14ac:dyDescent="0.3">
      <c r="D99" s="619">
        <v>81</v>
      </c>
      <c r="F99" s="18">
        <f ca="1" xml:space="preserve"> ( __Saldo_Final _Anterior + T_SeguroAnual!__Saldo_Ciclico ) * ( __Stopper_Saldo_Inicial )</f>
        <v>7.2759576141834259E-12</v>
      </c>
      <c r="G99" s="83">
        <f ca="1">MIN( CHOOSE(i.Opcion.Abono, __Capital_Opcion_1, __Capital_Opcion_2, __Capital_Opcion_3) _Actual, __Saldo_Inicial _Actual)</f>
        <v>0</v>
      </c>
      <c r="H99" s="83">
        <f t="shared" ca="1" si="7"/>
        <v>2.6072181450823943E-15</v>
      </c>
      <c r="I99" s="84">
        <f ca="1">T_AutoYSeguroMulti!__Dias_Interes_Periodo</f>
        <v>30</v>
      </c>
      <c r="J99" s="84">
        <f t="shared" ca="1" si="8"/>
        <v>7.8216544352471822E-14</v>
      </c>
      <c r="K99" s="84">
        <f t="shared" ca="1" si="9"/>
        <v>9.3859853222966188E-15</v>
      </c>
      <c r="L99" s="83">
        <f t="shared" ca="1" si="10"/>
        <v>8.7602529674768438E-14</v>
      </c>
      <c r="M99" s="646">
        <f>INDEX(TablaCliente!_CapturaAbonoAnticipadoTablaCliente,__Amortizacion)</f>
        <v>0</v>
      </c>
      <c r="N99" s="84">
        <f t="shared" ca="1" si="11"/>
        <v>7.2759576141834259E-12</v>
      </c>
      <c r="P99" s="618" t="b">
        <f ca="1">__Saldo_Final _Anterior &gt; 0</f>
        <v>1</v>
      </c>
      <c r="Q99" s="98"/>
      <c r="R99" s="84">
        <f ca="1" xml:space="preserve"> T_AutoYSeguroMulti!_Pago.Fijo + T_SeguroAnual!__Pago_Fijo</f>
        <v>12689.724443555469</v>
      </c>
      <c r="S99" s="84">
        <f ca="1" xml:space="preserve"> T_AutoYSeguroMulti!__Capital + T_SeguroAnual!__Capital</f>
        <v>0</v>
      </c>
      <c r="T99" s="84">
        <f t="shared" ca="1" si="12"/>
        <v>12689.724443555469</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x14ac:dyDescent="0.3">
      <c r="D100" s="619">
        <v>82</v>
      </c>
      <c r="F100" s="18">
        <f ca="1" xml:space="preserve"> ( __Saldo_Final _Anterior + T_SeguroAnual!__Saldo_Ciclico ) * ( __Stopper_Saldo_Inicial )</f>
        <v>7.2759576141834259E-12</v>
      </c>
      <c r="G100" s="83">
        <f ca="1">MIN( CHOOSE(i.Opcion.Abono, __Capital_Opcion_1, __Capital_Opcion_2, __Capital_Opcion_3) _Actual, __Saldo_Inicial _Actual)</f>
        <v>0</v>
      </c>
      <c r="H100" s="83">
        <f t="shared" ca="1" si="7"/>
        <v>2.6072181450823943E-15</v>
      </c>
      <c r="I100" s="84">
        <f ca="1">T_AutoYSeguroMulti!__Dias_Interes_Periodo</f>
        <v>30</v>
      </c>
      <c r="J100" s="84">
        <f t="shared" ca="1" si="8"/>
        <v>7.8216544352471822E-14</v>
      </c>
      <c r="K100" s="84">
        <f t="shared" ca="1" si="9"/>
        <v>9.3859853222966188E-15</v>
      </c>
      <c r="L100" s="83">
        <f t="shared" ca="1" si="10"/>
        <v>8.7602529674768438E-14</v>
      </c>
      <c r="M100" s="646">
        <f>INDEX(TablaCliente!_CapturaAbonoAnticipadoTablaCliente,__Amortizacion)</f>
        <v>0</v>
      </c>
      <c r="N100" s="84">
        <f t="shared" ca="1" si="11"/>
        <v>7.2759576141834259E-12</v>
      </c>
      <c r="P100" s="618" t="b">
        <f ca="1">__Saldo_Final _Anterior &gt; 0</f>
        <v>1</v>
      </c>
      <c r="Q100" s="98"/>
      <c r="R100" s="84">
        <f ca="1" xml:space="preserve"> T_AutoYSeguroMulti!_Pago.Fijo + T_SeguroAnual!__Pago_Fijo</f>
        <v>12689.724443555469</v>
      </c>
      <c r="S100" s="84">
        <f ca="1" xml:space="preserve"> T_AutoYSeguroMulti!__Capital + T_SeguroAnual!__Capital</f>
        <v>0</v>
      </c>
      <c r="T100" s="84">
        <f t="shared" ca="1" si="12"/>
        <v>12689.724443555469</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x14ac:dyDescent="0.3">
      <c r="D101" s="619">
        <v>83</v>
      </c>
      <c r="F101" s="18">
        <f ca="1" xml:space="preserve"> ( __Saldo_Final _Anterior + T_SeguroAnual!__Saldo_Ciclico ) * ( __Stopper_Saldo_Inicial )</f>
        <v>7.2759576141834259E-12</v>
      </c>
      <c r="G101" s="83">
        <f ca="1">MIN( CHOOSE(i.Opcion.Abono, __Capital_Opcion_1, __Capital_Opcion_2, __Capital_Opcion_3) _Actual, __Saldo_Inicial _Actual)</f>
        <v>0</v>
      </c>
      <c r="H101" s="83">
        <f t="shared" ca="1" si="7"/>
        <v>2.6072181450823943E-15</v>
      </c>
      <c r="I101" s="84">
        <f ca="1">T_AutoYSeguroMulti!__Dias_Interes_Periodo</f>
        <v>30</v>
      </c>
      <c r="J101" s="84">
        <f t="shared" ca="1" si="8"/>
        <v>7.8216544352471822E-14</v>
      </c>
      <c r="K101" s="84">
        <f t="shared" ca="1" si="9"/>
        <v>9.3859853222966188E-15</v>
      </c>
      <c r="L101" s="83">
        <f t="shared" ca="1" si="10"/>
        <v>8.7602529674768438E-14</v>
      </c>
      <c r="M101" s="646">
        <f>INDEX(TablaCliente!_CapturaAbonoAnticipadoTablaCliente,__Amortizacion)</f>
        <v>0</v>
      </c>
      <c r="N101" s="84">
        <f t="shared" ca="1" si="11"/>
        <v>7.2759576141834259E-12</v>
      </c>
      <c r="P101" s="618" t="b">
        <f ca="1">__Saldo_Final _Anterior &gt; 0</f>
        <v>1</v>
      </c>
      <c r="Q101" s="98"/>
      <c r="R101" s="84">
        <f ca="1" xml:space="preserve"> T_AutoYSeguroMulti!_Pago.Fijo + T_SeguroAnual!__Pago_Fijo</f>
        <v>12689.724443555469</v>
      </c>
      <c r="S101" s="84">
        <f ca="1" xml:space="preserve"> T_AutoYSeguroMulti!__Capital + T_SeguroAnual!__Capital</f>
        <v>0</v>
      </c>
      <c r="T101" s="84">
        <f t="shared" ca="1" si="12"/>
        <v>12689.724443555469</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x14ac:dyDescent="0.3">
      <c r="D102" s="619">
        <v>84</v>
      </c>
      <c r="F102" s="18">
        <f ca="1" xml:space="preserve"> ( __Saldo_Final _Anterior + T_SeguroAnual!__Saldo_Ciclico ) * ( __Stopper_Saldo_Inicial )</f>
        <v>7.2759576141834259E-12</v>
      </c>
      <c r="G102" s="83">
        <f ca="1">MIN( CHOOSE(i.Opcion.Abono, __Capital_Opcion_1, __Capital_Opcion_2, __Capital_Opcion_3) _Actual, __Saldo_Inicial _Actual)</f>
        <v>0</v>
      </c>
      <c r="H102" s="83">
        <f t="shared" ca="1" si="7"/>
        <v>2.6072181450823943E-15</v>
      </c>
      <c r="I102" s="84">
        <f ca="1">T_AutoYSeguroMulti!__Dias_Interes_Periodo</f>
        <v>30</v>
      </c>
      <c r="J102" s="84">
        <f t="shared" ca="1" si="8"/>
        <v>7.8216544352471822E-14</v>
      </c>
      <c r="K102" s="84">
        <f t="shared" ca="1" si="9"/>
        <v>9.3859853222966188E-15</v>
      </c>
      <c r="L102" s="83">
        <f t="shared" ca="1" si="10"/>
        <v>8.7602529674768438E-14</v>
      </c>
      <c r="M102" s="646">
        <f>INDEX(TablaCliente!_CapturaAbonoAnticipadoTablaCliente,__Amortizacion)</f>
        <v>0</v>
      </c>
      <c r="N102" s="84">
        <f t="shared" ca="1" si="11"/>
        <v>7.2759576141834259E-12</v>
      </c>
      <c r="P102" s="618" t="b">
        <f ca="1">__Saldo_Final _Anterior &gt; 0</f>
        <v>1</v>
      </c>
      <c r="Q102" s="98"/>
      <c r="R102" s="84">
        <f ca="1" xml:space="preserve"> T_AutoYSeguroMulti!_Pago.Fijo + T_SeguroAnual!__Pago_Fijo</f>
        <v>12689.724443555469</v>
      </c>
      <c r="S102" s="84">
        <f ca="1" xml:space="preserve"> T_AutoYSeguroMulti!__Capital + T_SeguroAnual!__Capital</f>
        <v>0</v>
      </c>
      <c r="T102" s="84">
        <f t="shared" ca="1" si="12"/>
        <v>12689.724443555469</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x14ac:dyDescent="0.3">
      <c r="D103" s="619">
        <v>85</v>
      </c>
      <c r="F103" s="18">
        <f ca="1" xml:space="preserve"> ( __Saldo_Final _Anterior + T_SeguroAnual!__Saldo_Ciclico ) * ( __Stopper_Saldo_Inicial )</f>
        <v>7.2759576141834259E-12</v>
      </c>
      <c r="G103" s="83">
        <f ca="1">MIN( CHOOSE(i.Opcion.Abono, __Capital_Opcion_1, __Capital_Opcion_2, __Capital_Opcion_3) _Actual, __Saldo_Inicial _Actual)</f>
        <v>0</v>
      </c>
      <c r="H103" s="83">
        <f t="shared" ca="1" si="7"/>
        <v>2.6072181450823943E-15</v>
      </c>
      <c r="I103" s="84">
        <f ca="1">T_AutoYSeguroMulti!__Dias_Interes_Periodo</f>
        <v>30</v>
      </c>
      <c r="J103" s="84">
        <f t="shared" ca="1" si="8"/>
        <v>7.8216544352471822E-14</v>
      </c>
      <c r="K103" s="84">
        <f t="shared" ca="1" si="9"/>
        <v>9.3859853222966188E-15</v>
      </c>
      <c r="L103" s="83">
        <f t="shared" ca="1" si="10"/>
        <v>8.7602529674768438E-14</v>
      </c>
      <c r="M103" s="646">
        <f>INDEX(TablaCliente!_CapturaAbonoAnticipadoTablaCliente,__Amortizacion)</f>
        <v>0</v>
      </c>
      <c r="N103" s="84">
        <f t="shared" ca="1" si="11"/>
        <v>7.2759576141834259E-12</v>
      </c>
      <c r="P103" s="618" t="b">
        <f ca="1">__Saldo_Final _Anterior &gt; 0</f>
        <v>1</v>
      </c>
      <c r="Q103" s="98"/>
      <c r="R103" s="84">
        <f ca="1" xml:space="preserve"> T_AutoYSeguroMulti!_Pago.Fijo + T_SeguroAnual!__Pago_Fijo</f>
        <v>12689.724443555469</v>
      </c>
      <c r="S103" s="84">
        <f ca="1" xml:space="preserve"> T_AutoYSeguroMulti!__Capital + T_SeguroAnual!__Capital</f>
        <v>0</v>
      </c>
      <c r="T103" s="84">
        <f t="shared" ca="1" si="12"/>
        <v>12689.724443555469</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x14ac:dyDescent="0.3">
      <c r="D104" s="619">
        <v>86</v>
      </c>
      <c r="F104" s="18">
        <f ca="1" xml:space="preserve"> ( __Saldo_Final _Anterior + T_SeguroAnual!__Saldo_Ciclico ) * ( __Stopper_Saldo_Inicial )</f>
        <v>7.2759576141834259E-12</v>
      </c>
      <c r="G104" s="83">
        <f ca="1">MIN( CHOOSE(i.Opcion.Abono, __Capital_Opcion_1, __Capital_Opcion_2, __Capital_Opcion_3) _Actual, __Saldo_Inicial _Actual)</f>
        <v>0</v>
      </c>
      <c r="H104" s="83">
        <f t="shared" ca="1" si="7"/>
        <v>2.6072181450823943E-15</v>
      </c>
      <c r="I104" s="84">
        <f ca="1">T_AutoYSeguroMulti!__Dias_Interes_Periodo</f>
        <v>30</v>
      </c>
      <c r="J104" s="84">
        <f t="shared" ca="1" si="8"/>
        <v>7.8216544352471822E-14</v>
      </c>
      <c r="K104" s="84">
        <f t="shared" ca="1" si="9"/>
        <v>9.3859853222966188E-15</v>
      </c>
      <c r="L104" s="83">
        <f t="shared" ca="1" si="10"/>
        <v>8.7602529674768438E-14</v>
      </c>
      <c r="M104" s="646">
        <f>INDEX(TablaCliente!_CapturaAbonoAnticipadoTablaCliente,__Amortizacion)</f>
        <v>0</v>
      </c>
      <c r="N104" s="84">
        <f t="shared" ca="1" si="11"/>
        <v>7.2759576141834259E-12</v>
      </c>
      <c r="P104" s="618" t="b">
        <f ca="1">__Saldo_Final _Anterior &gt; 0</f>
        <v>1</v>
      </c>
      <c r="Q104" s="98"/>
      <c r="R104" s="84">
        <f ca="1" xml:space="preserve"> T_AutoYSeguroMulti!_Pago.Fijo + T_SeguroAnual!__Pago_Fijo</f>
        <v>12689.724443555469</v>
      </c>
      <c r="S104" s="84">
        <f ca="1" xml:space="preserve"> T_AutoYSeguroMulti!__Capital + T_SeguroAnual!__Capital</f>
        <v>0</v>
      </c>
      <c r="T104" s="84">
        <f t="shared" ca="1" si="12"/>
        <v>12689.724443555469</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x14ac:dyDescent="0.3">
      <c r="D105" s="619">
        <v>87</v>
      </c>
      <c r="F105" s="18">
        <f ca="1" xml:space="preserve"> ( __Saldo_Final _Anterior + T_SeguroAnual!__Saldo_Ciclico ) * ( __Stopper_Saldo_Inicial )</f>
        <v>7.2759576141834259E-12</v>
      </c>
      <c r="G105" s="83">
        <f ca="1">MIN( CHOOSE(i.Opcion.Abono, __Capital_Opcion_1, __Capital_Opcion_2, __Capital_Opcion_3) _Actual, __Saldo_Inicial _Actual)</f>
        <v>0</v>
      </c>
      <c r="H105" s="83">
        <f t="shared" ca="1" si="7"/>
        <v>2.6072181450823943E-15</v>
      </c>
      <c r="I105" s="84">
        <f ca="1">T_AutoYSeguroMulti!__Dias_Interes_Periodo</f>
        <v>30</v>
      </c>
      <c r="J105" s="84">
        <f t="shared" ca="1" si="8"/>
        <v>7.8216544352471822E-14</v>
      </c>
      <c r="K105" s="84">
        <f t="shared" ca="1" si="9"/>
        <v>9.3859853222966188E-15</v>
      </c>
      <c r="L105" s="83">
        <f t="shared" ca="1" si="10"/>
        <v>8.7602529674768438E-14</v>
      </c>
      <c r="M105" s="646">
        <f>INDEX(TablaCliente!_CapturaAbonoAnticipadoTablaCliente,__Amortizacion)</f>
        <v>0</v>
      </c>
      <c r="N105" s="84">
        <f t="shared" ca="1" si="11"/>
        <v>7.2759576141834259E-12</v>
      </c>
      <c r="P105" s="618" t="b">
        <f ca="1">__Saldo_Final _Anterior &gt; 0</f>
        <v>1</v>
      </c>
      <c r="Q105" s="98"/>
      <c r="R105" s="84">
        <f ca="1" xml:space="preserve"> T_AutoYSeguroMulti!_Pago.Fijo + T_SeguroAnual!__Pago_Fijo</f>
        <v>12689.724443555469</v>
      </c>
      <c r="S105" s="84">
        <f ca="1" xml:space="preserve"> T_AutoYSeguroMulti!__Capital + T_SeguroAnual!__Capital</f>
        <v>0</v>
      </c>
      <c r="T105" s="84">
        <f t="shared" ca="1" si="12"/>
        <v>12689.724443555469</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x14ac:dyDescent="0.3">
      <c r="D106" s="619">
        <v>88</v>
      </c>
      <c r="F106" s="18">
        <f ca="1" xml:space="preserve"> ( __Saldo_Final _Anterior + T_SeguroAnual!__Saldo_Ciclico ) * ( __Stopper_Saldo_Inicial )</f>
        <v>7.2759576141834259E-12</v>
      </c>
      <c r="G106" s="83">
        <f ca="1">MIN( CHOOSE(i.Opcion.Abono, __Capital_Opcion_1, __Capital_Opcion_2, __Capital_Opcion_3) _Actual, __Saldo_Inicial _Actual)</f>
        <v>0</v>
      </c>
      <c r="H106" s="83">
        <f t="shared" ca="1" si="7"/>
        <v>2.6072181450823943E-15</v>
      </c>
      <c r="I106" s="84">
        <f ca="1">T_AutoYSeguroMulti!__Dias_Interes_Periodo</f>
        <v>30</v>
      </c>
      <c r="J106" s="84">
        <f t="shared" ca="1" si="8"/>
        <v>7.8216544352471822E-14</v>
      </c>
      <c r="K106" s="84">
        <f t="shared" ca="1" si="9"/>
        <v>9.3859853222966188E-15</v>
      </c>
      <c r="L106" s="83">
        <f t="shared" ca="1" si="10"/>
        <v>8.7602529674768438E-14</v>
      </c>
      <c r="M106" s="646">
        <f>INDEX(TablaCliente!_CapturaAbonoAnticipadoTablaCliente,__Amortizacion)</f>
        <v>0</v>
      </c>
      <c r="N106" s="84">
        <f t="shared" ca="1" si="11"/>
        <v>7.2759576141834259E-12</v>
      </c>
      <c r="P106" s="618" t="b">
        <f ca="1">__Saldo_Final _Anterior &gt; 0</f>
        <v>1</v>
      </c>
      <c r="Q106" s="98"/>
      <c r="R106" s="84">
        <f ca="1" xml:space="preserve"> T_AutoYSeguroMulti!_Pago.Fijo + T_SeguroAnual!__Pago_Fijo</f>
        <v>12689.724443555469</v>
      </c>
      <c r="S106" s="84">
        <f ca="1" xml:space="preserve"> T_AutoYSeguroMulti!__Capital + T_SeguroAnual!__Capital</f>
        <v>0</v>
      </c>
      <c r="T106" s="84">
        <f t="shared" ca="1" si="12"/>
        <v>12689.724443555469</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x14ac:dyDescent="0.3">
      <c r="D107" s="619">
        <v>89</v>
      </c>
      <c r="F107" s="18">
        <f ca="1" xml:space="preserve"> ( __Saldo_Final _Anterior + T_SeguroAnual!__Saldo_Ciclico ) * ( __Stopper_Saldo_Inicial )</f>
        <v>7.2759576141834259E-12</v>
      </c>
      <c r="G107" s="83">
        <f ca="1">MIN( CHOOSE(i.Opcion.Abono, __Capital_Opcion_1, __Capital_Opcion_2, __Capital_Opcion_3) _Actual, __Saldo_Inicial _Actual)</f>
        <v>0</v>
      </c>
      <c r="H107" s="83">
        <f t="shared" ca="1" si="7"/>
        <v>2.6072181450823943E-15</v>
      </c>
      <c r="I107" s="84">
        <f ca="1">T_AutoYSeguroMulti!__Dias_Interes_Periodo</f>
        <v>30</v>
      </c>
      <c r="J107" s="84">
        <f t="shared" ca="1" si="8"/>
        <v>7.8216544352471822E-14</v>
      </c>
      <c r="K107" s="84">
        <f t="shared" ca="1" si="9"/>
        <v>9.3859853222966188E-15</v>
      </c>
      <c r="L107" s="83">
        <f t="shared" ca="1" si="10"/>
        <v>8.7602529674768438E-14</v>
      </c>
      <c r="M107" s="646">
        <f>INDEX(TablaCliente!_CapturaAbonoAnticipadoTablaCliente,__Amortizacion)</f>
        <v>0</v>
      </c>
      <c r="N107" s="84">
        <f t="shared" ca="1" si="11"/>
        <v>7.2759576141834259E-12</v>
      </c>
      <c r="P107" s="618" t="b">
        <f ca="1">__Saldo_Final _Anterior &gt; 0</f>
        <v>1</v>
      </c>
      <c r="Q107" s="98"/>
      <c r="R107" s="84">
        <f ca="1" xml:space="preserve"> T_AutoYSeguroMulti!_Pago.Fijo + T_SeguroAnual!__Pago_Fijo</f>
        <v>12689.724443555469</v>
      </c>
      <c r="S107" s="84">
        <f ca="1" xml:space="preserve"> T_AutoYSeguroMulti!__Capital + T_SeguroAnual!__Capital</f>
        <v>0</v>
      </c>
      <c r="T107" s="84">
        <f t="shared" ca="1" si="12"/>
        <v>12689.724443555469</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x14ac:dyDescent="0.3">
      <c r="D108" s="619">
        <v>90</v>
      </c>
      <c r="F108" s="18">
        <f ca="1" xml:space="preserve"> ( __Saldo_Final _Anterior + T_SeguroAnual!__Saldo_Ciclico ) * ( __Stopper_Saldo_Inicial )</f>
        <v>7.2759576141834259E-12</v>
      </c>
      <c r="G108" s="83">
        <f ca="1">MIN( CHOOSE(i.Opcion.Abono, __Capital_Opcion_1, __Capital_Opcion_2, __Capital_Opcion_3) _Actual, __Saldo_Inicial _Actual)</f>
        <v>0</v>
      </c>
      <c r="H108" s="83">
        <f t="shared" ca="1" si="7"/>
        <v>2.6072181450823943E-15</v>
      </c>
      <c r="I108" s="84">
        <f ca="1">T_AutoYSeguroMulti!__Dias_Interes_Periodo</f>
        <v>30</v>
      </c>
      <c r="J108" s="84">
        <f t="shared" ca="1" si="8"/>
        <v>7.8216544352471822E-14</v>
      </c>
      <c r="K108" s="84">
        <f t="shared" ca="1" si="9"/>
        <v>9.3859853222966188E-15</v>
      </c>
      <c r="L108" s="83">
        <f t="shared" ca="1" si="10"/>
        <v>8.7602529674768438E-14</v>
      </c>
      <c r="M108" s="646">
        <f>INDEX(TablaCliente!_CapturaAbonoAnticipadoTablaCliente,__Amortizacion)</f>
        <v>0</v>
      </c>
      <c r="N108" s="84">
        <f t="shared" ca="1" si="11"/>
        <v>7.2759576141834259E-12</v>
      </c>
      <c r="P108" s="618" t="b">
        <f ca="1">__Saldo_Final _Anterior &gt; 0</f>
        <v>1</v>
      </c>
      <c r="Q108" s="98"/>
      <c r="R108" s="84">
        <f ca="1" xml:space="preserve"> T_AutoYSeguroMulti!_Pago.Fijo + T_SeguroAnual!__Pago_Fijo</f>
        <v>12689.724443555469</v>
      </c>
      <c r="S108" s="84">
        <f ca="1" xml:space="preserve"> T_AutoYSeguroMulti!__Capital + T_SeguroAnual!__Capital</f>
        <v>0</v>
      </c>
      <c r="T108" s="84">
        <f t="shared" ca="1" si="12"/>
        <v>12689.724443555469</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x14ac:dyDescent="0.3">
      <c r="D109" s="619">
        <v>91</v>
      </c>
      <c r="F109" s="18">
        <f ca="1" xml:space="preserve"> ( __Saldo_Final _Anterior + T_SeguroAnual!__Saldo_Ciclico ) * ( __Stopper_Saldo_Inicial )</f>
        <v>7.2759576141834259E-12</v>
      </c>
      <c r="G109" s="83">
        <f ca="1">MIN( CHOOSE(i.Opcion.Abono, __Capital_Opcion_1, __Capital_Opcion_2, __Capital_Opcion_3) _Actual, __Saldo_Inicial _Actual)</f>
        <v>0</v>
      </c>
      <c r="H109" s="83">
        <f t="shared" ca="1" si="7"/>
        <v>2.6072181450823943E-15</v>
      </c>
      <c r="I109" s="84">
        <f ca="1">T_AutoYSeguroMulti!__Dias_Interes_Periodo</f>
        <v>30</v>
      </c>
      <c r="J109" s="84">
        <f t="shared" ca="1" si="8"/>
        <v>7.8216544352471822E-14</v>
      </c>
      <c r="K109" s="84">
        <f t="shared" ca="1" si="9"/>
        <v>9.3859853222966188E-15</v>
      </c>
      <c r="L109" s="83">
        <f t="shared" ca="1" si="10"/>
        <v>8.7602529674768438E-14</v>
      </c>
      <c r="M109" s="646">
        <f>INDEX(TablaCliente!_CapturaAbonoAnticipadoTablaCliente,__Amortizacion)</f>
        <v>0</v>
      </c>
      <c r="N109" s="84">
        <f t="shared" ca="1" si="11"/>
        <v>7.2759576141834259E-12</v>
      </c>
      <c r="P109" s="618" t="b">
        <f ca="1">__Saldo_Final _Anterior &gt; 0</f>
        <v>1</v>
      </c>
      <c r="Q109" s="98"/>
      <c r="R109" s="84">
        <f ca="1" xml:space="preserve"> T_AutoYSeguroMulti!_Pago.Fijo + T_SeguroAnual!__Pago_Fijo</f>
        <v>12689.724443555469</v>
      </c>
      <c r="S109" s="84">
        <f ca="1" xml:space="preserve"> T_AutoYSeguroMulti!__Capital + T_SeguroAnual!__Capital</f>
        <v>0</v>
      </c>
      <c r="T109" s="84">
        <f t="shared" ca="1" si="12"/>
        <v>12689.724443555469</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x14ac:dyDescent="0.3">
      <c r="D110" s="619">
        <v>92</v>
      </c>
      <c r="F110" s="18">
        <f ca="1" xml:space="preserve"> ( __Saldo_Final _Anterior + T_SeguroAnual!__Saldo_Ciclico ) * ( __Stopper_Saldo_Inicial )</f>
        <v>7.2759576141834259E-12</v>
      </c>
      <c r="G110" s="83">
        <f ca="1">MIN( CHOOSE(i.Opcion.Abono, __Capital_Opcion_1, __Capital_Opcion_2, __Capital_Opcion_3) _Actual, __Saldo_Inicial _Actual)</f>
        <v>0</v>
      </c>
      <c r="H110" s="83">
        <f t="shared" ca="1" si="7"/>
        <v>2.6072181450823943E-15</v>
      </c>
      <c r="I110" s="84">
        <f ca="1">T_AutoYSeguroMulti!__Dias_Interes_Periodo</f>
        <v>30</v>
      </c>
      <c r="J110" s="84">
        <f t="shared" ca="1" si="8"/>
        <v>7.8216544352471822E-14</v>
      </c>
      <c r="K110" s="84">
        <f t="shared" ca="1" si="9"/>
        <v>9.3859853222966188E-15</v>
      </c>
      <c r="L110" s="83">
        <f t="shared" ca="1" si="10"/>
        <v>8.7602529674768438E-14</v>
      </c>
      <c r="M110" s="646">
        <f>INDEX(TablaCliente!_CapturaAbonoAnticipadoTablaCliente,__Amortizacion)</f>
        <v>0</v>
      </c>
      <c r="N110" s="84">
        <f t="shared" ca="1" si="11"/>
        <v>7.2759576141834259E-12</v>
      </c>
      <c r="P110" s="618" t="b">
        <f ca="1">__Saldo_Final _Anterior &gt; 0</f>
        <v>1</v>
      </c>
      <c r="Q110" s="98"/>
      <c r="R110" s="84">
        <f ca="1" xml:space="preserve"> T_AutoYSeguroMulti!_Pago.Fijo + T_SeguroAnual!__Pago_Fijo</f>
        <v>12689.724443555469</v>
      </c>
      <c r="S110" s="84">
        <f ca="1" xml:space="preserve"> T_AutoYSeguroMulti!__Capital + T_SeguroAnual!__Capital</f>
        <v>0</v>
      </c>
      <c r="T110" s="84">
        <f t="shared" ca="1" si="12"/>
        <v>12689.724443555469</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x14ac:dyDescent="0.3">
      <c r="D111" s="619">
        <v>93</v>
      </c>
      <c r="F111" s="18">
        <f ca="1" xml:space="preserve"> ( __Saldo_Final _Anterior + T_SeguroAnual!__Saldo_Ciclico ) * ( __Stopper_Saldo_Inicial )</f>
        <v>7.2759576141834259E-12</v>
      </c>
      <c r="G111" s="83">
        <f ca="1">MIN( CHOOSE(i.Opcion.Abono, __Capital_Opcion_1, __Capital_Opcion_2, __Capital_Opcion_3) _Actual, __Saldo_Inicial _Actual)</f>
        <v>0</v>
      </c>
      <c r="H111" s="83">
        <f t="shared" ca="1" si="7"/>
        <v>2.6072181450823943E-15</v>
      </c>
      <c r="I111" s="84">
        <f ca="1">T_AutoYSeguroMulti!__Dias_Interes_Periodo</f>
        <v>30</v>
      </c>
      <c r="J111" s="84">
        <f t="shared" ca="1" si="8"/>
        <v>7.8216544352471822E-14</v>
      </c>
      <c r="K111" s="84">
        <f t="shared" ca="1" si="9"/>
        <v>9.3859853222966188E-15</v>
      </c>
      <c r="L111" s="83">
        <f t="shared" ca="1" si="10"/>
        <v>8.7602529674768438E-14</v>
      </c>
      <c r="M111" s="646">
        <f>INDEX(TablaCliente!_CapturaAbonoAnticipadoTablaCliente,__Amortizacion)</f>
        <v>0</v>
      </c>
      <c r="N111" s="84">
        <f t="shared" ca="1" si="11"/>
        <v>7.2759576141834259E-12</v>
      </c>
      <c r="P111" s="618" t="b">
        <f ca="1">__Saldo_Final _Anterior &gt; 0</f>
        <v>1</v>
      </c>
      <c r="Q111" s="98"/>
      <c r="R111" s="84">
        <f ca="1" xml:space="preserve"> T_AutoYSeguroMulti!_Pago.Fijo + T_SeguroAnual!__Pago_Fijo</f>
        <v>12689.724443555469</v>
      </c>
      <c r="S111" s="84">
        <f ca="1" xml:space="preserve"> T_AutoYSeguroMulti!__Capital + T_SeguroAnual!__Capital</f>
        <v>0</v>
      </c>
      <c r="T111" s="84">
        <f t="shared" ca="1" si="12"/>
        <v>12689.724443555469</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x14ac:dyDescent="0.3">
      <c r="D112" s="619">
        <v>94</v>
      </c>
      <c r="F112" s="18">
        <f ca="1" xml:space="preserve"> ( __Saldo_Final _Anterior + T_SeguroAnual!__Saldo_Ciclico ) * ( __Stopper_Saldo_Inicial )</f>
        <v>7.2759576141834259E-12</v>
      </c>
      <c r="G112" s="83">
        <f ca="1">MIN( CHOOSE(i.Opcion.Abono, __Capital_Opcion_1, __Capital_Opcion_2, __Capital_Opcion_3) _Actual, __Saldo_Inicial _Actual)</f>
        <v>0</v>
      </c>
      <c r="H112" s="83">
        <f t="shared" ca="1" si="7"/>
        <v>2.6072181450823943E-15</v>
      </c>
      <c r="I112" s="84">
        <f ca="1">T_AutoYSeguroMulti!__Dias_Interes_Periodo</f>
        <v>30</v>
      </c>
      <c r="J112" s="84">
        <f t="shared" ca="1" si="8"/>
        <v>7.8216544352471822E-14</v>
      </c>
      <c r="K112" s="84">
        <f t="shared" ca="1" si="9"/>
        <v>9.3859853222966188E-15</v>
      </c>
      <c r="L112" s="83">
        <f t="shared" ca="1" si="10"/>
        <v>8.7602529674768438E-14</v>
      </c>
      <c r="M112" s="646">
        <f>INDEX(TablaCliente!_CapturaAbonoAnticipadoTablaCliente,__Amortizacion)</f>
        <v>0</v>
      </c>
      <c r="N112" s="84">
        <f t="shared" ca="1" si="11"/>
        <v>7.2759576141834259E-12</v>
      </c>
      <c r="P112" s="618" t="b">
        <f ca="1">__Saldo_Final _Anterior &gt; 0</f>
        <v>1</v>
      </c>
      <c r="Q112" s="98"/>
      <c r="R112" s="84">
        <f ca="1" xml:space="preserve"> T_AutoYSeguroMulti!_Pago.Fijo + T_SeguroAnual!__Pago_Fijo</f>
        <v>12689.724443555469</v>
      </c>
      <c r="S112" s="84">
        <f ca="1" xml:space="preserve"> T_AutoYSeguroMulti!__Capital + T_SeguroAnual!__Capital</f>
        <v>0</v>
      </c>
      <c r="T112" s="84">
        <f t="shared" ca="1" si="12"/>
        <v>12689.724443555469</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x14ac:dyDescent="0.3">
      <c r="D113" s="619">
        <v>95</v>
      </c>
      <c r="F113" s="18">
        <f ca="1" xml:space="preserve"> ( __Saldo_Final _Anterior + T_SeguroAnual!__Saldo_Ciclico ) * ( __Stopper_Saldo_Inicial )</f>
        <v>7.2759576141834259E-12</v>
      </c>
      <c r="G113" s="83">
        <f ca="1">MIN( CHOOSE(i.Opcion.Abono, __Capital_Opcion_1, __Capital_Opcion_2, __Capital_Opcion_3) _Actual, __Saldo_Inicial _Actual)</f>
        <v>0</v>
      </c>
      <c r="H113" s="83">
        <f t="shared" ca="1" si="7"/>
        <v>2.6072181450823943E-15</v>
      </c>
      <c r="I113" s="84">
        <f ca="1">T_AutoYSeguroMulti!__Dias_Interes_Periodo</f>
        <v>30</v>
      </c>
      <c r="J113" s="84">
        <f t="shared" ca="1" si="8"/>
        <v>7.8216544352471822E-14</v>
      </c>
      <c r="K113" s="84">
        <f t="shared" ca="1" si="9"/>
        <v>9.3859853222966188E-15</v>
      </c>
      <c r="L113" s="83">
        <f t="shared" ca="1" si="10"/>
        <v>8.7602529674768438E-14</v>
      </c>
      <c r="M113" s="646">
        <f>INDEX(TablaCliente!_CapturaAbonoAnticipadoTablaCliente,__Amortizacion)</f>
        <v>0</v>
      </c>
      <c r="N113" s="84">
        <f t="shared" ca="1" si="11"/>
        <v>7.2759576141834259E-12</v>
      </c>
      <c r="P113" s="618" t="b">
        <f ca="1">__Saldo_Final _Anterior &gt; 0</f>
        <v>1</v>
      </c>
      <c r="Q113" s="98"/>
      <c r="R113" s="84">
        <f ca="1" xml:space="preserve"> T_AutoYSeguroMulti!_Pago.Fijo + T_SeguroAnual!__Pago_Fijo</f>
        <v>12689.724443555469</v>
      </c>
      <c r="S113" s="84">
        <f ca="1" xml:space="preserve"> T_AutoYSeguroMulti!__Capital + T_SeguroAnual!__Capital</f>
        <v>0</v>
      </c>
      <c r="T113" s="84">
        <f t="shared" ca="1" si="12"/>
        <v>12689.724443555469</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x14ac:dyDescent="0.3">
      <c r="D114" s="619">
        <v>96</v>
      </c>
      <c r="F114" s="18">
        <f ca="1" xml:space="preserve"> ( __Saldo_Final _Anterior + T_SeguroAnual!__Saldo_Ciclico ) * ( __Stopper_Saldo_Inicial )</f>
        <v>7.2759576141834259E-12</v>
      </c>
      <c r="G114" s="83">
        <f ca="1">MIN( CHOOSE(i.Opcion.Abono, __Capital_Opcion_1, __Capital_Opcion_2, __Capital_Opcion_3) _Actual, __Saldo_Inicial _Actual)</f>
        <v>0</v>
      </c>
      <c r="H114" s="83">
        <f t="shared" ca="1" si="7"/>
        <v>2.6072181450823943E-15</v>
      </c>
      <c r="I114" s="84">
        <f ca="1">T_AutoYSeguroMulti!__Dias_Interes_Periodo</f>
        <v>30</v>
      </c>
      <c r="J114" s="84">
        <f t="shared" ca="1" si="8"/>
        <v>7.8216544352471822E-14</v>
      </c>
      <c r="K114" s="84">
        <f t="shared" ca="1" si="9"/>
        <v>9.3859853222966188E-15</v>
      </c>
      <c r="L114" s="83">
        <f t="shared" ca="1" si="10"/>
        <v>8.7602529674768438E-14</v>
      </c>
      <c r="M114" s="646">
        <f>INDEX(TablaCliente!_CapturaAbonoAnticipadoTablaCliente,__Amortizacion)</f>
        <v>0</v>
      </c>
      <c r="N114" s="84">
        <f t="shared" ca="1" si="11"/>
        <v>7.2759576141834259E-12</v>
      </c>
      <c r="P114" s="618" t="b">
        <f ca="1">__Saldo_Final _Anterior &gt; 0</f>
        <v>1</v>
      </c>
      <c r="Q114" s="98"/>
      <c r="R114" s="84">
        <f ca="1" xml:space="preserve"> T_AutoYSeguroMulti!_Pago.Fijo + T_SeguroAnual!__Pago_Fijo</f>
        <v>12689.724443555469</v>
      </c>
      <c r="S114" s="84">
        <f ca="1" xml:space="preserve"> T_AutoYSeguroMulti!__Capital + T_SeguroAnual!__Capital</f>
        <v>0</v>
      </c>
      <c r="T114" s="84">
        <f t="shared" ca="1" si="12"/>
        <v>12689.724443555469</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x14ac:dyDescent="0.3">
      <c r="D115" s="619">
        <v>97</v>
      </c>
      <c r="F115" s="18">
        <f ca="1" xml:space="preserve"> ( __Saldo_Final _Anterior + T_SeguroAnual!__Saldo_Ciclico ) * ( __Stopper_Saldo_Inicial )</f>
        <v>7.2759576141834259E-12</v>
      </c>
      <c r="G115" s="83">
        <f ca="1">MIN( CHOOSE(i.Opcion.Abono, __Capital_Opcion_1, __Capital_Opcion_2, __Capital_Opcion_3) _Actual, __Saldo_Inicial _Actual)</f>
        <v>0</v>
      </c>
      <c r="H115" s="83">
        <f t="shared" ca="1" si="7"/>
        <v>2.6072181450823943E-15</v>
      </c>
      <c r="I115" s="84">
        <f ca="1">T_AutoYSeguroMulti!__Dias_Interes_Periodo</f>
        <v>30</v>
      </c>
      <c r="J115" s="84">
        <f t="shared" ca="1" si="8"/>
        <v>7.8216544352471822E-14</v>
      </c>
      <c r="K115" s="84">
        <f t="shared" ca="1" si="9"/>
        <v>9.3859853222966188E-15</v>
      </c>
      <c r="L115" s="83">
        <f t="shared" ca="1" si="10"/>
        <v>8.7602529674768438E-14</v>
      </c>
      <c r="M115" s="646">
        <f>INDEX(TablaCliente!_CapturaAbonoAnticipadoTablaCliente,__Amortizacion)</f>
        <v>0</v>
      </c>
      <c r="N115" s="84">
        <f t="shared" ca="1" si="11"/>
        <v>7.2759576141834259E-12</v>
      </c>
      <c r="P115" s="618" t="b">
        <f ca="1">__Saldo_Final _Anterior &gt; 0</f>
        <v>1</v>
      </c>
      <c r="Q115" s="98"/>
      <c r="R115" s="84">
        <f ca="1" xml:space="preserve"> T_AutoYSeguroMulti!_Pago.Fijo + T_SeguroAnual!__Pago_Fijo</f>
        <v>12689.724443555469</v>
      </c>
      <c r="S115" s="84">
        <f ca="1" xml:space="preserve"> T_AutoYSeguroMulti!__Capital + T_SeguroAnual!__Capital</f>
        <v>0</v>
      </c>
      <c r="T115" s="84">
        <f t="shared" ca="1" si="12"/>
        <v>12689.724443555469</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x14ac:dyDescent="0.3">
      <c r="D116" s="619">
        <v>98</v>
      </c>
      <c r="F116" s="18">
        <f ca="1" xml:space="preserve"> ( __Saldo_Final _Anterior + T_SeguroAnual!__Saldo_Ciclico ) * ( __Stopper_Saldo_Inicial )</f>
        <v>7.2759576141834259E-12</v>
      </c>
      <c r="G116" s="83">
        <f ca="1">MIN( CHOOSE(i.Opcion.Abono, __Capital_Opcion_1, __Capital_Opcion_2, __Capital_Opcion_3) _Actual, __Saldo_Inicial _Actual)</f>
        <v>0</v>
      </c>
      <c r="H116" s="83">
        <f t="shared" ca="1" si="7"/>
        <v>2.6072181450823943E-15</v>
      </c>
      <c r="I116" s="84">
        <f ca="1">T_AutoYSeguroMulti!__Dias_Interes_Periodo</f>
        <v>30</v>
      </c>
      <c r="J116" s="84">
        <f t="shared" ca="1" si="8"/>
        <v>7.8216544352471822E-14</v>
      </c>
      <c r="K116" s="84">
        <f t="shared" ca="1" si="9"/>
        <v>9.3859853222966188E-15</v>
      </c>
      <c r="L116" s="83">
        <f t="shared" ca="1" si="10"/>
        <v>8.7602529674768438E-14</v>
      </c>
      <c r="M116" s="646">
        <f>INDEX(TablaCliente!_CapturaAbonoAnticipadoTablaCliente,__Amortizacion)</f>
        <v>0</v>
      </c>
      <c r="N116" s="84">
        <f t="shared" ca="1" si="11"/>
        <v>7.2759576141834259E-12</v>
      </c>
      <c r="P116" s="618" t="b">
        <f ca="1">__Saldo_Final _Anterior &gt; 0</f>
        <v>1</v>
      </c>
      <c r="Q116" s="98"/>
      <c r="R116" s="84">
        <f ca="1" xml:space="preserve"> T_AutoYSeguroMulti!_Pago.Fijo + T_SeguroAnual!__Pago_Fijo</f>
        <v>12689.724443555469</v>
      </c>
      <c r="S116" s="84">
        <f ca="1" xml:space="preserve"> T_AutoYSeguroMulti!__Capital + T_SeguroAnual!__Capital</f>
        <v>0</v>
      </c>
      <c r="T116" s="84">
        <f t="shared" ca="1" si="12"/>
        <v>12689.724443555469</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x14ac:dyDescent="0.3">
      <c r="D117" s="619">
        <v>99</v>
      </c>
      <c r="F117" s="18">
        <f ca="1" xml:space="preserve"> ( __Saldo_Final _Anterior + T_SeguroAnual!__Saldo_Ciclico ) * ( __Stopper_Saldo_Inicial )</f>
        <v>7.2759576141834259E-12</v>
      </c>
      <c r="G117" s="83">
        <f ca="1">MIN( CHOOSE(i.Opcion.Abono, __Capital_Opcion_1, __Capital_Opcion_2, __Capital_Opcion_3) _Actual, __Saldo_Inicial _Actual)</f>
        <v>0</v>
      </c>
      <c r="H117" s="83">
        <f t="shared" ca="1" si="7"/>
        <v>2.6072181450823943E-15</v>
      </c>
      <c r="I117" s="84">
        <f ca="1">T_AutoYSeguroMulti!__Dias_Interes_Periodo</f>
        <v>30</v>
      </c>
      <c r="J117" s="84">
        <f t="shared" ca="1" si="8"/>
        <v>7.8216544352471822E-14</v>
      </c>
      <c r="K117" s="84">
        <f t="shared" ca="1" si="9"/>
        <v>9.3859853222966188E-15</v>
      </c>
      <c r="L117" s="83">
        <f t="shared" ca="1" si="10"/>
        <v>8.7602529674768438E-14</v>
      </c>
      <c r="M117" s="646">
        <f>INDEX(TablaCliente!_CapturaAbonoAnticipadoTablaCliente,__Amortizacion)</f>
        <v>0</v>
      </c>
      <c r="N117" s="84">
        <f t="shared" ca="1" si="11"/>
        <v>7.2759576141834259E-12</v>
      </c>
      <c r="P117" s="618" t="b">
        <f ca="1">__Saldo_Final _Anterior &gt; 0</f>
        <v>1</v>
      </c>
      <c r="Q117" s="98"/>
      <c r="R117" s="84">
        <f ca="1" xml:space="preserve"> T_AutoYSeguroMulti!_Pago.Fijo + T_SeguroAnual!__Pago_Fijo</f>
        <v>12689.724443555469</v>
      </c>
      <c r="S117" s="84">
        <f ca="1" xml:space="preserve"> T_AutoYSeguroMulti!__Capital + T_SeguroAnual!__Capital</f>
        <v>0</v>
      </c>
      <c r="T117" s="84">
        <f t="shared" ca="1" si="12"/>
        <v>12689.724443555469</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x14ac:dyDescent="0.3">
      <c r="D118" s="619">
        <v>100</v>
      </c>
      <c r="F118" s="18">
        <f ca="1" xml:space="preserve"> ( __Saldo_Final _Anterior + T_SeguroAnual!__Saldo_Ciclico ) * ( __Stopper_Saldo_Inicial )</f>
        <v>7.2759576141834259E-12</v>
      </c>
      <c r="G118" s="83">
        <f ca="1">MIN( CHOOSE(i.Opcion.Abono, __Capital_Opcion_1, __Capital_Opcion_2, __Capital_Opcion_3) _Actual, __Saldo_Inicial _Actual)</f>
        <v>0</v>
      </c>
      <c r="H118" s="83">
        <f t="shared" ca="1" si="7"/>
        <v>2.6072181450823943E-15</v>
      </c>
      <c r="I118" s="84">
        <f ca="1">T_AutoYSeguroMulti!__Dias_Interes_Periodo</f>
        <v>30</v>
      </c>
      <c r="J118" s="84">
        <f t="shared" ca="1" si="8"/>
        <v>7.8216544352471822E-14</v>
      </c>
      <c r="K118" s="84">
        <f t="shared" ca="1" si="9"/>
        <v>9.3859853222966188E-15</v>
      </c>
      <c r="L118" s="83">
        <f t="shared" ca="1" si="10"/>
        <v>8.7602529674768438E-14</v>
      </c>
      <c r="M118" s="646">
        <f>INDEX(TablaCliente!_CapturaAbonoAnticipadoTablaCliente,__Amortizacion)</f>
        <v>0</v>
      </c>
      <c r="N118" s="84">
        <f t="shared" ca="1" si="11"/>
        <v>7.2759576141834259E-12</v>
      </c>
      <c r="P118" s="618" t="b">
        <f ca="1">__Saldo_Final _Anterior &gt; 0</f>
        <v>1</v>
      </c>
      <c r="Q118" s="98"/>
      <c r="R118" s="84">
        <f ca="1" xml:space="preserve"> T_AutoYSeguroMulti!_Pago.Fijo + T_SeguroAnual!__Pago_Fijo</f>
        <v>12689.724443555469</v>
      </c>
      <c r="S118" s="84">
        <f ca="1" xml:space="preserve"> T_AutoYSeguroMulti!__Capital + T_SeguroAnual!__Capital</f>
        <v>0</v>
      </c>
      <c r="T118" s="84">
        <f t="shared" ca="1" si="12"/>
        <v>12689.724443555469</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x14ac:dyDescent="0.3">
      <c r="D119" s="619">
        <v>101</v>
      </c>
      <c r="F119" s="18">
        <f ca="1" xml:space="preserve"> ( __Saldo_Final _Anterior + T_SeguroAnual!__Saldo_Ciclico ) * ( __Stopper_Saldo_Inicial )</f>
        <v>7.2759576141834259E-12</v>
      </c>
      <c r="G119" s="83">
        <f ca="1">MIN( CHOOSE(i.Opcion.Abono, __Capital_Opcion_1, __Capital_Opcion_2, __Capital_Opcion_3) _Actual, __Saldo_Inicial _Actual)</f>
        <v>0</v>
      </c>
      <c r="H119" s="83">
        <f t="shared" ca="1" si="7"/>
        <v>2.6072181450823943E-15</v>
      </c>
      <c r="I119" s="84">
        <f ca="1">T_AutoYSeguroMulti!__Dias_Interes_Periodo</f>
        <v>30</v>
      </c>
      <c r="J119" s="84">
        <f t="shared" ca="1" si="8"/>
        <v>7.8216544352471822E-14</v>
      </c>
      <c r="K119" s="84">
        <f t="shared" ca="1" si="9"/>
        <v>9.3859853222966188E-15</v>
      </c>
      <c r="L119" s="83">
        <f t="shared" ca="1" si="10"/>
        <v>8.7602529674768438E-14</v>
      </c>
      <c r="M119" s="646">
        <f>INDEX(TablaCliente!_CapturaAbonoAnticipadoTablaCliente,__Amortizacion)</f>
        <v>0</v>
      </c>
      <c r="N119" s="84">
        <f t="shared" ca="1" si="11"/>
        <v>7.2759576141834259E-12</v>
      </c>
      <c r="P119" s="618" t="b">
        <f ca="1">__Saldo_Final _Anterior &gt; 0</f>
        <v>1</v>
      </c>
      <c r="Q119" s="98"/>
      <c r="R119" s="84">
        <f ca="1" xml:space="preserve"> T_AutoYSeguroMulti!_Pago.Fijo + T_SeguroAnual!__Pago_Fijo</f>
        <v>12689.724443555469</v>
      </c>
      <c r="S119" s="84">
        <f ca="1" xml:space="preserve"> T_AutoYSeguroMulti!__Capital + T_SeguroAnual!__Capital</f>
        <v>0</v>
      </c>
      <c r="T119" s="84">
        <f t="shared" ca="1" si="12"/>
        <v>12689.724443555469</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x14ac:dyDescent="0.3">
      <c r="D120" s="619">
        <v>102</v>
      </c>
      <c r="F120" s="18">
        <f ca="1" xml:space="preserve"> ( __Saldo_Final _Anterior + T_SeguroAnual!__Saldo_Ciclico ) * ( __Stopper_Saldo_Inicial )</f>
        <v>7.2759576141834259E-12</v>
      </c>
      <c r="G120" s="83">
        <f ca="1">MIN( CHOOSE(i.Opcion.Abono, __Capital_Opcion_1, __Capital_Opcion_2, __Capital_Opcion_3) _Actual, __Saldo_Inicial _Actual)</f>
        <v>0</v>
      </c>
      <c r="H120" s="83">
        <f t="shared" ca="1" si="7"/>
        <v>2.6072181450823943E-15</v>
      </c>
      <c r="I120" s="84">
        <f ca="1">T_AutoYSeguroMulti!__Dias_Interes_Periodo</f>
        <v>30</v>
      </c>
      <c r="J120" s="84">
        <f t="shared" ca="1" si="8"/>
        <v>7.8216544352471822E-14</v>
      </c>
      <c r="K120" s="84">
        <f t="shared" ca="1" si="9"/>
        <v>9.3859853222966188E-15</v>
      </c>
      <c r="L120" s="83">
        <f t="shared" ca="1" si="10"/>
        <v>8.7602529674768438E-14</v>
      </c>
      <c r="M120" s="646">
        <f>INDEX(TablaCliente!_CapturaAbonoAnticipadoTablaCliente,__Amortizacion)</f>
        <v>0</v>
      </c>
      <c r="N120" s="84">
        <f t="shared" ca="1" si="11"/>
        <v>7.2759576141834259E-12</v>
      </c>
      <c r="P120" s="618" t="b">
        <f ca="1">__Saldo_Final _Anterior &gt; 0</f>
        <v>1</v>
      </c>
      <c r="Q120" s="98"/>
      <c r="R120" s="84">
        <f ca="1" xml:space="preserve"> T_AutoYSeguroMulti!_Pago.Fijo + T_SeguroAnual!__Pago_Fijo</f>
        <v>12689.724443555469</v>
      </c>
      <c r="S120" s="84">
        <f ca="1" xml:space="preserve"> T_AutoYSeguroMulti!__Capital + T_SeguroAnual!__Capital</f>
        <v>0</v>
      </c>
      <c r="T120" s="84">
        <f t="shared" ca="1" si="12"/>
        <v>12689.724443555469</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x14ac:dyDescent="0.3">
      <c r="D121" s="619">
        <v>103</v>
      </c>
      <c r="F121" s="18">
        <f ca="1" xml:space="preserve"> ( __Saldo_Final _Anterior + T_SeguroAnual!__Saldo_Ciclico ) * ( __Stopper_Saldo_Inicial )</f>
        <v>7.2759576141834259E-12</v>
      </c>
      <c r="G121" s="83">
        <f ca="1">MIN( CHOOSE(i.Opcion.Abono, __Capital_Opcion_1, __Capital_Opcion_2, __Capital_Opcion_3) _Actual, __Saldo_Inicial _Actual)</f>
        <v>0</v>
      </c>
      <c r="H121" s="83">
        <f t="shared" ca="1" si="7"/>
        <v>2.6072181450823943E-15</v>
      </c>
      <c r="I121" s="84">
        <f ca="1">T_AutoYSeguroMulti!__Dias_Interes_Periodo</f>
        <v>30</v>
      </c>
      <c r="J121" s="84">
        <f t="shared" ca="1" si="8"/>
        <v>7.8216544352471822E-14</v>
      </c>
      <c r="K121" s="84">
        <f t="shared" ca="1" si="9"/>
        <v>9.3859853222966188E-15</v>
      </c>
      <c r="L121" s="83">
        <f t="shared" ca="1" si="10"/>
        <v>8.7602529674768438E-14</v>
      </c>
      <c r="M121" s="646">
        <f>INDEX(TablaCliente!_CapturaAbonoAnticipadoTablaCliente,__Amortizacion)</f>
        <v>0</v>
      </c>
      <c r="N121" s="84">
        <f t="shared" ca="1" si="11"/>
        <v>7.2759576141834259E-12</v>
      </c>
      <c r="P121" s="618" t="b">
        <f ca="1">__Saldo_Final _Anterior &gt; 0</f>
        <v>1</v>
      </c>
      <c r="Q121" s="98"/>
      <c r="R121" s="84">
        <f ca="1" xml:space="preserve"> T_AutoYSeguroMulti!_Pago.Fijo + T_SeguroAnual!__Pago_Fijo</f>
        <v>12689.724443555469</v>
      </c>
      <c r="S121" s="84">
        <f ca="1" xml:space="preserve"> T_AutoYSeguroMulti!__Capital + T_SeguroAnual!__Capital</f>
        <v>0</v>
      </c>
      <c r="T121" s="84">
        <f t="shared" ca="1" si="12"/>
        <v>12689.724443555469</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x14ac:dyDescent="0.3">
      <c r="D122" s="619">
        <v>104</v>
      </c>
      <c r="F122" s="18">
        <f ca="1" xml:space="preserve"> ( __Saldo_Final _Anterior + T_SeguroAnual!__Saldo_Ciclico ) * ( __Stopper_Saldo_Inicial )</f>
        <v>7.2759576141834259E-12</v>
      </c>
      <c r="G122" s="83">
        <f ca="1">MIN( CHOOSE(i.Opcion.Abono, __Capital_Opcion_1, __Capital_Opcion_2, __Capital_Opcion_3) _Actual, __Saldo_Inicial _Actual)</f>
        <v>0</v>
      </c>
      <c r="H122" s="83">
        <f t="shared" ca="1" si="7"/>
        <v>2.6072181450823943E-15</v>
      </c>
      <c r="I122" s="84">
        <f ca="1">T_AutoYSeguroMulti!__Dias_Interes_Periodo</f>
        <v>30</v>
      </c>
      <c r="J122" s="84">
        <f t="shared" ca="1" si="8"/>
        <v>7.8216544352471822E-14</v>
      </c>
      <c r="K122" s="84">
        <f t="shared" ca="1" si="9"/>
        <v>9.3859853222966188E-15</v>
      </c>
      <c r="L122" s="83">
        <f t="shared" ca="1" si="10"/>
        <v>8.7602529674768438E-14</v>
      </c>
      <c r="M122" s="646">
        <f>INDEX(TablaCliente!_CapturaAbonoAnticipadoTablaCliente,__Amortizacion)</f>
        <v>0</v>
      </c>
      <c r="N122" s="84">
        <f t="shared" ca="1" si="11"/>
        <v>7.2759576141834259E-12</v>
      </c>
      <c r="P122" s="618" t="b">
        <f ca="1">__Saldo_Final _Anterior &gt; 0</f>
        <v>1</v>
      </c>
      <c r="Q122" s="98"/>
      <c r="R122" s="84">
        <f ca="1" xml:space="preserve"> T_AutoYSeguroMulti!_Pago.Fijo + T_SeguroAnual!__Pago_Fijo</f>
        <v>12689.724443555469</v>
      </c>
      <c r="S122" s="84">
        <f ca="1" xml:space="preserve"> T_AutoYSeguroMulti!__Capital + T_SeguroAnual!__Capital</f>
        <v>0</v>
      </c>
      <c r="T122" s="84">
        <f t="shared" ca="1" si="12"/>
        <v>12689.724443555469</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x14ac:dyDescent="0.3">
      <c r="D123" s="619">
        <v>105</v>
      </c>
      <c r="F123" s="18">
        <f ca="1" xml:space="preserve"> ( __Saldo_Final _Anterior + T_SeguroAnual!__Saldo_Ciclico ) * ( __Stopper_Saldo_Inicial )</f>
        <v>7.2759576141834259E-12</v>
      </c>
      <c r="G123" s="83">
        <f ca="1">MIN( CHOOSE(i.Opcion.Abono, __Capital_Opcion_1, __Capital_Opcion_2, __Capital_Opcion_3) _Actual, __Saldo_Inicial _Actual)</f>
        <v>0</v>
      </c>
      <c r="H123" s="83">
        <f t="shared" ca="1" si="7"/>
        <v>2.6072181450823943E-15</v>
      </c>
      <c r="I123" s="84">
        <f ca="1">T_AutoYSeguroMulti!__Dias_Interes_Periodo</f>
        <v>30</v>
      </c>
      <c r="J123" s="84">
        <f t="shared" ca="1" si="8"/>
        <v>7.8216544352471822E-14</v>
      </c>
      <c r="K123" s="84">
        <f t="shared" ca="1" si="9"/>
        <v>9.3859853222966188E-15</v>
      </c>
      <c r="L123" s="83">
        <f t="shared" ca="1" si="10"/>
        <v>8.7602529674768438E-14</v>
      </c>
      <c r="M123" s="646">
        <f>INDEX(TablaCliente!_CapturaAbonoAnticipadoTablaCliente,__Amortizacion)</f>
        <v>0</v>
      </c>
      <c r="N123" s="84">
        <f t="shared" ca="1" si="11"/>
        <v>7.2759576141834259E-12</v>
      </c>
      <c r="P123" s="618" t="b">
        <f ca="1">__Saldo_Final _Anterior &gt; 0</f>
        <v>1</v>
      </c>
      <c r="Q123" s="98"/>
      <c r="R123" s="84">
        <f ca="1" xml:space="preserve"> T_AutoYSeguroMulti!_Pago.Fijo + T_SeguroAnual!__Pago_Fijo</f>
        <v>12689.724443555469</v>
      </c>
      <c r="S123" s="84">
        <f ca="1" xml:space="preserve"> T_AutoYSeguroMulti!__Capital + T_SeguroAnual!__Capital</f>
        <v>0</v>
      </c>
      <c r="T123" s="84">
        <f t="shared" ca="1" si="12"/>
        <v>12689.724443555469</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x14ac:dyDescent="0.3">
      <c r="D124" s="619">
        <v>106</v>
      </c>
      <c r="F124" s="18">
        <f ca="1" xml:space="preserve"> ( __Saldo_Final _Anterior + T_SeguroAnual!__Saldo_Ciclico ) * ( __Stopper_Saldo_Inicial )</f>
        <v>7.2759576141834259E-12</v>
      </c>
      <c r="G124" s="83">
        <f ca="1">MIN( CHOOSE(i.Opcion.Abono, __Capital_Opcion_1, __Capital_Opcion_2, __Capital_Opcion_3) _Actual, __Saldo_Inicial _Actual)</f>
        <v>0</v>
      </c>
      <c r="H124" s="83">
        <f t="shared" ca="1" si="7"/>
        <v>2.6072181450823943E-15</v>
      </c>
      <c r="I124" s="84">
        <f ca="1">T_AutoYSeguroMulti!__Dias_Interes_Periodo</f>
        <v>30</v>
      </c>
      <c r="J124" s="84">
        <f t="shared" ca="1" si="8"/>
        <v>7.8216544352471822E-14</v>
      </c>
      <c r="K124" s="84">
        <f t="shared" ca="1" si="9"/>
        <v>9.3859853222966188E-15</v>
      </c>
      <c r="L124" s="83">
        <f t="shared" ca="1" si="10"/>
        <v>8.7602529674768438E-14</v>
      </c>
      <c r="M124" s="646">
        <f>INDEX(TablaCliente!_CapturaAbonoAnticipadoTablaCliente,__Amortizacion)</f>
        <v>0</v>
      </c>
      <c r="N124" s="84">
        <f t="shared" ca="1" si="11"/>
        <v>7.2759576141834259E-12</v>
      </c>
      <c r="P124" s="618" t="b">
        <f ca="1">__Saldo_Final _Anterior &gt; 0</f>
        <v>1</v>
      </c>
      <c r="Q124" s="98"/>
      <c r="R124" s="84">
        <f ca="1" xml:space="preserve"> T_AutoYSeguroMulti!_Pago.Fijo + T_SeguroAnual!__Pago_Fijo</f>
        <v>12689.724443555469</v>
      </c>
      <c r="S124" s="84">
        <f ca="1" xml:space="preserve"> T_AutoYSeguroMulti!__Capital + T_SeguroAnual!__Capital</f>
        <v>0</v>
      </c>
      <c r="T124" s="84">
        <f t="shared" ca="1" si="12"/>
        <v>12689.724443555469</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x14ac:dyDescent="0.3">
      <c r="D125" s="619">
        <v>107</v>
      </c>
      <c r="F125" s="18">
        <f ca="1" xml:space="preserve"> ( __Saldo_Final _Anterior + T_SeguroAnual!__Saldo_Ciclico ) * ( __Stopper_Saldo_Inicial )</f>
        <v>7.2759576141834259E-12</v>
      </c>
      <c r="G125" s="83">
        <f ca="1">MIN( CHOOSE(i.Opcion.Abono, __Capital_Opcion_1, __Capital_Opcion_2, __Capital_Opcion_3) _Actual, __Saldo_Inicial _Actual)</f>
        <v>0</v>
      </c>
      <c r="H125" s="83">
        <f t="shared" ca="1" si="7"/>
        <v>2.6072181450823943E-15</v>
      </c>
      <c r="I125" s="84">
        <f ca="1">T_AutoYSeguroMulti!__Dias_Interes_Periodo</f>
        <v>30</v>
      </c>
      <c r="J125" s="84">
        <f t="shared" ca="1" si="8"/>
        <v>7.8216544352471822E-14</v>
      </c>
      <c r="K125" s="84">
        <f t="shared" ca="1" si="9"/>
        <v>9.3859853222966188E-15</v>
      </c>
      <c r="L125" s="83">
        <f t="shared" ca="1" si="10"/>
        <v>8.7602529674768438E-14</v>
      </c>
      <c r="M125" s="646">
        <f>INDEX(TablaCliente!_CapturaAbonoAnticipadoTablaCliente,__Amortizacion)</f>
        <v>0</v>
      </c>
      <c r="N125" s="84">
        <f t="shared" ca="1" si="11"/>
        <v>7.2759576141834259E-12</v>
      </c>
      <c r="P125" s="618" t="b">
        <f ca="1">__Saldo_Final _Anterior &gt; 0</f>
        <v>1</v>
      </c>
      <c r="Q125" s="98"/>
      <c r="R125" s="84">
        <f ca="1" xml:space="preserve"> T_AutoYSeguroMulti!_Pago.Fijo + T_SeguroAnual!__Pago_Fijo</f>
        <v>12689.724443555469</v>
      </c>
      <c r="S125" s="84">
        <f ca="1" xml:space="preserve"> T_AutoYSeguroMulti!__Capital + T_SeguroAnual!__Capital</f>
        <v>0</v>
      </c>
      <c r="T125" s="84">
        <f t="shared" ca="1" si="12"/>
        <v>12689.724443555469</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x14ac:dyDescent="0.3">
      <c r="D126" s="619">
        <v>108</v>
      </c>
      <c r="F126" s="18">
        <f ca="1" xml:space="preserve"> ( __Saldo_Final _Anterior + T_SeguroAnual!__Saldo_Ciclico ) * ( __Stopper_Saldo_Inicial )</f>
        <v>7.2759576141834259E-12</v>
      </c>
      <c r="G126" s="83">
        <f ca="1">MIN( CHOOSE(i.Opcion.Abono, __Capital_Opcion_1, __Capital_Opcion_2, __Capital_Opcion_3) _Actual, __Saldo_Inicial _Actual)</f>
        <v>0</v>
      </c>
      <c r="H126" s="83">
        <f t="shared" ca="1" si="7"/>
        <v>2.6072181450823943E-15</v>
      </c>
      <c r="I126" s="84">
        <f ca="1">T_AutoYSeguroMulti!__Dias_Interes_Periodo</f>
        <v>30</v>
      </c>
      <c r="J126" s="84">
        <f t="shared" ca="1" si="8"/>
        <v>7.8216544352471822E-14</v>
      </c>
      <c r="K126" s="84">
        <f t="shared" ca="1" si="9"/>
        <v>9.3859853222966188E-15</v>
      </c>
      <c r="L126" s="83">
        <f t="shared" ca="1" si="10"/>
        <v>8.7602529674768438E-14</v>
      </c>
      <c r="M126" s="646">
        <f>INDEX(TablaCliente!_CapturaAbonoAnticipadoTablaCliente,__Amortizacion)</f>
        <v>0</v>
      </c>
      <c r="N126" s="84">
        <f t="shared" ca="1" si="11"/>
        <v>7.2759576141834259E-12</v>
      </c>
      <c r="P126" s="618" t="b">
        <f ca="1">__Saldo_Final _Anterior &gt; 0</f>
        <v>1</v>
      </c>
      <c r="Q126" s="98"/>
      <c r="R126" s="84">
        <f ca="1" xml:space="preserve"> T_AutoYSeguroMulti!_Pago.Fijo + T_SeguroAnual!__Pago_Fijo</f>
        <v>12689.724443555469</v>
      </c>
      <c r="S126" s="84">
        <f ca="1" xml:space="preserve"> T_AutoYSeguroMulti!__Capital + T_SeguroAnual!__Capital</f>
        <v>0</v>
      </c>
      <c r="T126" s="84">
        <f t="shared" ca="1" si="12"/>
        <v>12689.724443555469</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x14ac:dyDescent="0.3">
      <c r="D127" s="619">
        <v>109</v>
      </c>
      <c r="F127" s="18">
        <f ca="1" xml:space="preserve"> ( __Saldo_Final _Anterior + T_SeguroAnual!__Saldo_Ciclico ) * ( __Stopper_Saldo_Inicial )</f>
        <v>7.2759576141834259E-12</v>
      </c>
      <c r="G127" s="83">
        <f ca="1">MIN( CHOOSE(i.Opcion.Abono, __Capital_Opcion_1, __Capital_Opcion_2, __Capital_Opcion_3) _Actual, __Saldo_Inicial _Actual)</f>
        <v>0</v>
      </c>
      <c r="H127" s="83">
        <f t="shared" ca="1" si="7"/>
        <v>2.6072181450823943E-15</v>
      </c>
      <c r="I127" s="84">
        <f ca="1">T_AutoYSeguroMulti!__Dias_Interes_Periodo</f>
        <v>30</v>
      </c>
      <c r="J127" s="84">
        <f t="shared" ca="1" si="8"/>
        <v>7.8216544352471822E-14</v>
      </c>
      <c r="K127" s="84">
        <f t="shared" ca="1" si="9"/>
        <v>9.3859853222966188E-15</v>
      </c>
      <c r="L127" s="83">
        <f t="shared" ca="1" si="10"/>
        <v>8.7602529674768438E-14</v>
      </c>
      <c r="M127" s="646">
        <f>INDEX(TablaCliente!_CapturaAbonoAnticipadoTablaCliente,__Amortizacion)</f>
        <v>0</v>
      </c>
      <c r="N127" s="84">
        <f t="shared" ca="1" si="11"/>
        <v>7.2759576141834259E-12</v>
      </c>
      <c r="P127" s="618" t="b">
        <f ca="1">__Saldo_Final _Anterior &gt; 0</f>
        <v>1</v>
      </c>
      <c r="Q127" s="98"/>
      <c r="R127" s="84">
        <f ca="1" xml:space="preserve"> T_AutoYSeguroMulti!_Pago.Fijo + T_SeguroAnual!__Pago_Fijo</f>
        <v>12689.724443555469</v>
      </c>
      <c r="S127" s="84">
        <f ca="1" xml:space="preserve"> T_AutoYSeguroMulti!__Capital + T_SeguroAnual!__Capital</f>
        <v>0</v>
      </c>
      <c r="T127" s="84">
        <f t="shared" ca="1" si="12"/>
        <v>12689.724443555469</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x14ac:dyDescent="0.3">
      <c r="D128" s="619">
        <v>110</v>
      </c>
      <c r="F128" s="18">
        <f ca="1" xml:space="preserve"> ( __Saldo_Final _Anterior + T_SeguroAnual!__Saldo_Ciclico ) * ( __Stopper_Saldo_Inicial )</f>
        <v>7.2759576141834259E-12</v>
      </c>
      <c r="G128" s="83">
        <f ca="1">MIN( CHOOSE(i.Opcion.Abono, __Capital_Opcion_1, __Capital_Opcion_2, __Capital_Opcion_3) _Actual, __Saldo_Inicial _Actual)</f>
        <v>0</v>
      </c>
      <c r="H128" s="83">
        <f t="shared" ca="1" si="7"/>
        <v>2.6072181450823943E-15</v>
      </c>
      <c r="I128" s="84">
        <f ca="1">T_AutoYSeguroMulti!__Dias_Interes_Periodo</f>
        <v>30</v>
      </c>
      <c r="J128" s="84">
        <f t="shared" ca="1" si="8"/>
        <v>7.8216544352471822E-14</v>
      </c>
      <c r="K128" s="84">
        <f t="shared" ca="1" si="9"/>
        <v>9.3859853222966188E-15</v>
      </c>
      <c r="L128" s="83">
        <f t="shared" ca="1" si="10"/>
        <v>8.7602529674768438E-14</v>
      </c>
      <c r="M128" s="646">
        <f>INDEX(TablaCliente!_CapturaAbonoAnticipadoTablaCliente,__Amortizacion)</f>
        <v>0</v>
      </c>
      <c r="N128" s="84">
        <f t="shared" ca="1" si="11"/>
        <v>7.2759576141834259E-12</v>
      </c>
      <c r="P128" s="618" t="b">
        <f ca="1">__Saldo_Final _Anterior &gt; 0</f>
        <v>1</v>
      </c>
      <c r="Q128" s="98"/>
      <c r="R128" s="84">
        <f ca="1" xml:space="preserve"> T_AutoYSeguroMulti!_Pago.Fijo + T_SeguroAnual!__Pago_Fijo</f>
        <v>12689.724443555469</v>
      </c>
      <c r="S128" s="84">
        <f ca="1" xml:space="preserve"> T_AutoYSeguroMulti!__Capital + T_SeguroAnual!__Capital</f>
        <v>0</v>
      </c>
      <c r="T128" s="84">
        <f t="shared" ca="1" si="12"/>
        <v>12689.724443555469</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x14ac:dyDescent="0.3">
      <c r="D129" s="619">
        <v>111</v>
      </c>
      <c r="F129" s="18">
        <f ca="1" xml:space="preserve"> ( __Saldo_Final _Anterior + T_SeguroAnual!__Saldo_Ciclico ) * ( __Stopper_Saldo_Inicial )</f>
        <v>7.2759576141834259E-12</v>
      </c>
      <c r="G129" s="83">
        <f ca="1">MIN( CHOOSE(i.Opcion.Abono, __Capital_Opcion_1, __Capital_Opcion_2, __Capital_Opcion_3) _Actual, __Saldo_Inicial _Actual)</f>
        <v>0</v>
      </c>
      <c r="H129" s="83">
        <f t="shared" ca="1" si="7"/>
        <v>2.6072181450823943E-15</v>
      </c>
      <c r="I129" s="84">
        <f ca="1">T_AutoYSeguroMulti!__Dias_Interes_Periodo</f>
        <v>30</v>
      </c>
      <c r="J129" s="84">
        <f t="shared" ca="1" si="8"/>
        <v>7.8216544352471822E-14</v>
      </c>
      <c r="K129" s="84">
        <f t="shared" ca="1" si="9"/>
        <v>9.3859853222966188E-15</v>
      </c>
      <c r="L129" s="83">
        <f t="shared" ca="1" si="10"/>
        <v>8.7602529674768438E-14</v>
      </c>
      <c r="M129" s="646">
        <f>INDEX(TablaCliente!_CapturaAbonoAnticipadoTablaCliente,__Amortizacion)</f>
        <v>0</v>
      </c>
      <c r="N129" s="84">
        <f t="shared" ca="1" si="11"/>
        <v>7.2759576141834259E-12</v>
      </c>
      <c r="P129" s="618" t="b">
        <f ca="1">__Saldo_Final _Anterior &gt; 0</f>
        <v>1</v>
      </c>
      <c r="Q129" s="98"/>
      <c r="R129" s="84">
        <f ca="1" xml:space="preserve"> T_AutoYSeguroMulti!_Pago.Fijo + T_SeguroAnual!__Pago_Fijo</f>
        <v>12689.724443555469</v>
      </c>
      <c r="S129" s="84">
        <f ca="1" xml:space="preserve"> T_AutoYSeguroMulti!__Capital + T_SeguroAnual!__Capital</f>
        <v>0</v>
      </c>
      <c r="T129" s="84">
        <f t="shared" ca="1" si="12"/>
        <v>12689.724443555469</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x14ac:dyDescent="0.3">
      <c r="D130" s="619">
        <v>112</v>
      </c>
      <c r="F130" s="18">
        <f ca="1" xml:space="preserve"> ( __Saldo_Final _Anterior + T_SeguroAnual!__Saldo_Ciclico ) * ( __Stopper_Saldo_Inicial )</f>
        <v>7.2759576141834259E-12</v>
      </c>
      <c r="G130" s="83">
        <f ca="1">MIN( CHOOSE(i.Opcion.Abono, __Capital_Opcion_1, __Capital_Opcion_2, __Capital_Opcion_3) _Actual, __Saldo_Inicial _Actual)</f>
        <v>0</v>
      </c>
      <c r="H130" s="83">
        <f t="shared" ca="1" si="7"/>
        <v>2.6072181450823943E-15</v>
      </c>
      <c r="I130" s="84">
        <f ca="1">T_AutoYSeguroMulti!__Dias_Interes_Periodo</f>
        <v>30</v>
      </c>
      <c r="J130" s="84">
        <f t="shared" ca="1" si="8"/>
        <v>7.8216544352471822E-14</v>
      </c>
      <c r="K130" s="84">
        <f t="shared" ca="1" si="9"/>
        <v>9.3859853222966188E-15</v>
      </c>
      <c r="L130" s="83">
        <f t="shared" ca="1" si="10"/>
        <v>8.7602529674768438E-14</v>
      </c>
      <c r="M130" s="646">
        <f>INDEX(TablaCliente!_CapturaAbonoAnticipadoTablaCliente,__Amortizacion)</f>
        <v>0</v>
      </c>
      <c r="N130" s="84">
        <f t="shared" ca="1" si="11"/>
        <v>7.2759576141834259E-12</v>
      </c>
      <c r="P130" s="618" t="b">
        <f ca="1">__Saldo_Final _Anterior &gt; 0</f>
        <v>1</v>
      </c>
      <c r="Q130" s="98"/>
      <c r="R130" s="84">
        <f ca="1" xml:space="preserve"> T_AutoYSeguroMulti!_Pago.Fijo + T_SeguroAnual!__Pago_Fijo</f>
        <v>12689.724443555469</v>
      </c>
      <c r="S130" s="84">
        <f ca="1" xml:space="preserve"> T_AutoYSeguroMulti!__Capital + T_SeguroAnual!__Capital</f>
        <v>0</v>
      </c>
      <c r="T130" s="84">
        <f t="shared" ca="1" si="12"/>
        <v>12689.724443555469</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x14ac:dyDescent="0.3">
      <c r="D131" s="619">
        <v>113</v>
      </c>
      <c r="F131" s="18">
        <f ca="1" xml:space="preserve"> ( __Saldo_Final _Anterior + T_SeguroAnual!__Saldo_Ciclico ) * ( __Stopper_Saldo_Inicial )</f>
        <v>7.2759576141834259E-12</v>
      </c>
      <c r="G131" s="83">
        <f ca="1">MIN( CHOOSE(i.Opcion.Abono, __Capital_Opcion_1, __Capital_Opcion_2, __Capital_Opcion_3) _Actual, __Saldo_Inicial _Actual)</f>
        <v>0</v>
      </c>
      <c r="H131" s="83">
        <f t="shared" ca="1" si="7"/>
        <v>2.6072181450823943E-15</v>
      </c>
      <c r="I131" s="84">
        <f ca="1">T_AutoYSeguroMulti!__Dias_Interes_Periodo</f>
        <v>30</v>
      </c>
      <c r="J131" s="84">
        <f t="shared" ca="1" si="8"/>
        <v>7.8216544352471822E-14</v>
      </c>
      <c r="K131" s="84">
        <f t="shared" ca="1" si="9"/>
        <v>9.3859853222966188E-15</v>
      </c>
      <c r="L131" s="83">
        <f t="shared" ca="1" si="10"/>
        <v>8.7602529674768438E-14</v>
      </c>
      <c r="M131" s="646">
        <f>INDEX(TablaCliente!_CapturaAbonoAnticipadoTablaCliente,__Amortizacion)</f>
        <v>0</v>
      </c>
      <c r="N131" s="84">
        <f t="shared" ca="1" si="11"/>
        <v>7.2759576141834259E-12</v>
      </c>
      <c r="P131" s="618" t="b">
        <f ca="1">__Saldo_Final _Anterior &gt; 0</f>
        <v>1</v>
      </c>
      <c r="Q131" s="98"/>
      <c r="R131" s="84">
        <f ca="1" xml:space="preserve"> T_AutoYSeguroMulti!_Pago.Fijo + T_SeguroAnual!__Pago_Fijo</f>
        <v>12689.724443555469</v>
      </c>
      <c r="S131" s="84">
        <f ca="1" xml:space="preserve"> T_AutoYSeguroMulti!__Capital + T_SeguroAnual!__Capital</f>
        <v>0</v>
      </c>
      <c r="T131" s="84">
        <f t="shared" ca="1" si="12"/>
        <v>12689.724443555469</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x14ac:dyDescent="0.3">
      <c r="D132" s="619">
        <v>114</v>
      </c>
      <c r="F132" s="18">
        <f ca="1" xml:space="preserve"> ( __Saldo_Final _Anterior + T_SeguroAnual!__Saldo_Ciclico ) * ( __Stopper_Saldo_Inicial )</f>
        <v>7.2759576141834259E-12</v>
      </c>
      <c r="G132" s="83">
        <f ca="1">MIN( CHOOSE(i.Opcion.Abono, __Capital_Opcion_1, __Capital_Opcion_2, __Capital_Opcion_3) _Actual, __Saldo_Inicial _Actual)</f>
        <v>0</v>
      </c>
      <c r="H132" s="83">
        <f t="shared" ca="1" si="7"/>
        <v>2.6072181450823943E-15</v>
      </c>
      <c r="I132" s="84">
        <f ca="1">T_AutoYSeguroMulti!__Dias_Interes_Periodo</f>
        <v>30</v>
      </c>
      <c r="J132" s="84">
        <f t="shared" ca="1" si="8"/>
        <v>7.8216544352471822E-14</v>
      </c>
      <c r="K132" s="84">
        <f t="shared" ca="1" si="9"/>
        <v>9.3859853222966188E-15</v>
      </c>
      <c r="L132" s="83">
        <f t="shared" ca="1" si="10"/>
        <v>8.7602529674768438E-14</v>
      </c>
      <c r="M132" s="646">
        <f>INDEX(TablaCliente!_CapturaAbonoAnticipadoTablaCliente,__Amortizacion)</f>
        <v>0</v>
      </c>
      <c r="N132" s="84">
        <f t="shared" ca="1" si="11"/>
        <v>7.2759576141834259E-12</v>
      </c>
      <c r="P132" s="618" t="b">
        <f ca="1">__Saldo_Final _Anterior &gt; 0</f>
        <v>1</v>
      </c>
      <c r="Q132" s="98"/>
      <c r="R132" s="84">
        <f ca="1" xml:space="preserve"> T_AutoYSeguroMulti!_Pago.Fijo + T_SeguroAnual!__Pago_Fijo</f>
        <v>12689.724443555469</v>
      </c>
      <c r="S132" s="84">
        <f ca="1" xml:space="preserve"> T_AutoYSeguroMulti!__Capital + T_SeguroAnual!__Capital</f>
        <v>0</v>
      </c>
      <c r="T132" s="84">
        <f t="shared" ca="1" si="12"/>
        <v>12689.724443555469</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x14ac:dyDescent="0.3">
      <c r="D133" s="619">
        <v>115</v>
      </c>
      <c r="F133" s="18">
        <f ca="1" xml:space="preserve"> ( __Saldo_Final _Anterior + T_SeguroAnual!__Saldo_Ciclico ) * ( __Stopper_Saldo_Inicial )</f>
        <v>7.2759576141834259E-12</v>
      </c>
      <c r="G133" s="83">
        <f ca="1">MIN( CHOOSE(i.Opcion.Abono, __Capital_Opcion_1, __Capital_Opcion_2, __Capital_Opcion_3) _Actual, __Saldo_Inicial _Actual)</f>
        <v>0</v>
      </c>
      <c r="H133" s="83">
        <f t="shared" ca="1" si="7"/>
        <v>2.6072181450823943E-15</v>
      </c>
      <c r="I133" s="84">
        <f ca="1">T_AutoYSeguroMulti!__Dias_Interes_Periodo</f>
        <v>30</v>
      </c>
      <c r="J133" s="84">
        <f t="shared" ca="1" si="8"/>
        <v>7.8216544352471822E-14</v>
      </c>
      <c r="K133" s="84">
        <f t="shared" ca="1" si="9"/>
        <v>9.3859853222966188E-15</v>
      </c>
      <c r="L133" s="83">
        <f t="shared" ca="1" si="10"/>
        <v>8.7602529674768438E-14</v>
      </c>
      <c r="M133" s="646">
        <f>INDEX(TablaCliente!_CapturaAbonoAnticipadoTablaCliente,__Amortizacion)</f>
        <v>0</v>
      </c>
      <c r="N133" s="84">
        <f t="shared" ca="1" si="11"/>
        <v>7.2759576141834259E-12</v>
      </c>
      <c r="P133" s="618" t="b">
        <f ca="1">__Saldo_Final _Anterior &gt; 0</f>
        <v>1</v>
      </c>
      <c r="Q133" s="98"/>
      <c r="R133" s="84">
        <f ca="1" xml:space="preserve"> T_AutoYSeguroMulti!_Pago.Fijo + T_SeguroAnual!__Pago_Fijo</f>
        <v>12689.724443555469</v>
      </c>
      <c r="S133" s="84">
        <f ca="1" xml:space="preserve"> T_AutoYSeguroMulti!__Capital + T_SeguroAnual!__Capital</f>
        <v>0</v>
      </c>
      <c r="T133" s="84">
        <f t="shared" ca="1" si="12"/>
        <v>12689.724443555469</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x14ac:dyDescent="0.3">
      <c r="D134" s="619">
        <v>116</v>
      </c>
      <c r="F134" s="18">
        <f ca="1" xml:space="preserve"> ( __Saldo_Final _Anterior + T_SeguroAnual!__Saldo_Ciclico ) * ( __Stopper_Saldo_Inicial )</f>
        <v>7.2759576141834259E-12</v>
      </c>
      <c r="G134" s="83">
        <f ca="1">MIN( CHOOSE(i.Opcion.Abono, __Capital_Opcion_1, __Capital_Opcion_2, __Capital_Opcion_3) _Actual, __Saldo_Inicial _Actual)</f>
        <v>0</v>
      </c>
      <c r="H134" s="83">
        <f t="shared" ca="1" si="7"/>
        <v>2.6072181450823943E-15</v>
      </c>
      <c r="I134" s="84">
        <f ca="1">T_AutoYSeguroMulti!__Dias_Interes_Periodo</f>
        <v>30</v>
      </c>
      <c r="J134" s="84">
        <f t="shared" ca="1" si="8"/>
        <v>7.8216544352471822E-14</v>
      </c>
      <c r="K134" s="84">
        <f t="shared" ca="1" si="9"/>
        <v>9.3859853222966188E-15</v>
      </c>
      <c r="L134" s="83">
        <f t="shared" ca="1" si="10"/>
        <v>8.7602529674768438E-14</v>
      </c>
      <c r="M134" s="646">
        <f>INDEX(TablaCliente!_CapturaAbonoAnticipadoTablaCliente,__Amortizacion)</f>
        <v>0</v>
      </c>
      <c r="N134" s="84">
        <f t="shared" ca="1" si="11"/>
        <v>7.2759576141834259E-12</v>
      </c>
      <c r="P134" s="618" t="b">
        <f ca="1">__Saldo_Final _Anterior &gt; 0</f>
        <v>1</v>
      </c>
      <c r="Q134" s="98"/>
      <c r="R134" s="84">
        <f ca="1" xml:space="preserve"> T_AutoYSeguroMulti!_Pago.Fijo + T_SeguroAnual!__Pago_Fijo</f>
        <v>12689.724443555469</v>
      </c>
      <c r="S134" s="84">
        <f ca="1" xml:space="preserve"> T_AutoYSeguroMulti!__Capital + T_SeguroAnual!__Capital</f>
        <v>0</v>
      </c>
      <c r="T134" s="84">
        <f t="shared" ca="1" si="12"/>
        <v>12689.724443555469</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x14ac:dyDescent="0.3">
      <c r="D135" s="619">
        <v>117</v>
      </c>
      <c r="F135" s="18">
        <f ca="1" xml:space="preserve"> ( __Saldo_Final _Anterior + T_SeguroAnual!__Saldo_Ciclico ) * ( __Stopper_Saldo_Inicial )</f>
        <v>7.2759576141834259E-12</v>
      </c>
      <c r="G135" s="83">
        <f ca="1">MIN( CHOOSE(i.Opcion.Abono, __Capital_Opcion_1, __Capital_Opcion_2, __Capital_Opcion_3) _Actual, __Saldo_Inicial _Actual)</f>
        <v>0</v>
      </c>
      <c r="H135" s="83">
        <f t="shared" ca="1" si="7"/>
        <v>2.6072181450823943E-15</v>
      </c>
      <c r="I135" s="84">
        <f ca="1">T_AutoYSeguroMulti!__Dias_Interes_Periodo</f>
        <v>30</v>
      </c>
      <c r="J135" s="84">
        <f t="shared" ca="1" si="8"/>
        <v>7.8216544352471822E-14</v>
      </c>
      <c r="K135" s="84">
        <f t="shared" ca="1" si="9"/>
        <v>9.3859853222966188E-15</v>
      </c>
      <c r="L135" s="83">
        <f t="shared" ca="1" si="10"/>
        <v>8.7602529674768438E-14</v>
      </c>
      <c r="M135" s="646">
        <f>INDEX(TablaCliente!_CapturaAbonoAnticipadoTablaCliente,__Amortizacion)</f>
        <v>0</v>
      </c>
      <c r="N135" s="84">
        <f t="shared" ca="1" si="11"/>
        <v>7.2759576141834259E-12</v>
      </c>
      <c r="P135" s="618" t="b">
        <f ca="1">__Saldo_Final _Anterior &gt; 0</f>
        <v>1</v>
      </c>
      <c r="Q135" s="98"/>
      <c r="R135" s="84">
        <f ca="1" xml:space="preserve"> T_AutoYSeguroMulti!_Pago.Fijo + T_SeguroAnual!__Pago_Fijo</f>
        <v>12689.724443555469</v>
      </c>
      <c r="S135" s="84">
        <f ca="1" xml:space="preserve"> T_AutoYSeguroMulti!__Capital + T_SeguroAnual!__Capital</f>
        <v>0</v>
      </c>
      <c r="T135" s="84">
        <f t="shared" ca="1" si="12"/>
        <v>12689.724443555469</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x14ac:dyDescent="0.3">
      <c r="D136" s="619">
        <v>118</v>
      </c>
      <c r="F136" s="18">
        <f ca="1" xml:space="preserve"> ( __Saldo_Final _Anterior + T_SeguroAnual!__Saldo_Ciclico ) * ( __Stopper_Saldo_Inicial )</f>
        <v>7.2759576141834259E-12</v>
      </c>
      <c r="G136" s="83">
        <f ca="1">MIN( CHOOSE(i.Opcion.Abono, __Capital_Opcion_1, __Capital_Opcion_2, __Capital_Opcion_3) _Actual, __Saldo_Inicial _Actual)</f>
        <v>0</v>
      </c>
      <c r="H136" s="83">
        <f t="shared" ca="1" si="7"/>
        <v>2.6072181450823943E-15</v>
      </c>
      <c r="I136" s="84">
        <f ca="1">T_AutoYSeguroMulti!__Dias_Interes_Periodo</f>
        <v>30</v>
      </c>
      <c r="J136" s="84">
        <f t="shared" ca="1" si="8"/>
        <v>7.8216544352471822E-14</v>
      </c>
      <c r="K136" s="84">
        <f t="shared" ca="1" si="9"/>
        <v>9.3859853222966188E-15</v>
      </c>
      <c r="L136" s="83">
        <f t="shared" ca="1" si="10"/>
        <v>8.7602529674768438E-14</v>
      </c>
      <c r="M136" s="646">
        <f>INDEX(TablaCliente!_CapturaAbonoAnticipadoTablaCliente,__Amortizacion)</f>
        <v>0</v>
      </c>
      <c r="N136" s="84">
        <f t="shared" ca="1" si="11"/>
        <v>7.2759576141834259E-12</v>
      </c>
      <c r="P136" s="618" t="b">
        <f ca="1">__Saldo_Final _Anterior &gt; 0</f>
        <v>1</v>
      </c>
      <c r="Q136" s="98"/>
      <c r="R136" s="84">
        <f ca="1" xml:space="preserve"> T_AutoYSeguroMulti!_Pago.Fijo + T_SeguroAnual!__Pago_Fijo</f>
        <v>12689.724443555469</v>
      </c>
      <c r="S136" s="84">
        <f ca="1" xml:space="preserve"> T_AutoYSeguroMulti!__Capital + T_SeguroAnual!__Capital</f>
        <v>0</v>
      </c>
      <c r="T136" s="84">
        <f t="shared" ca="1" si="12"/>
        <v>12689.724443555469</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x14ac:dyDescent="0.3">
      <c r="D137" s="619">
        <v>119</v>
      </c>
      <c r="F137" s="18">
        <f ca="1" xml:space="preserve"> ( __Saldo_Final _Anterior + T_SeguroAnual!__Saldo_Ciclico ) * ( __Stopper_Saldo_Inicial )</f>
        <v>7.2759576141834259E-12</v>
      </c>
      <c r="G137" s="83">
        <f ca="1">MIN( CHOOSE(i.Opcion.Abono, __Capital_Opcion_1, __Capital_Opcion_2, __Capital_Opcion_3) _Actual, __Saldo_Inicial _Actual)</f>
        <v>0</v>
      </c>
      <c r="H137" s="83">
        <f t="shared" ca="1" si="7"/>
        <v>2.6072181450823943E-15</v>
      </c>
      <c r="I137" s="84">
        <f ca="1">T_AutoYSeguroMulti!__Dias_Interes_Periodo</f>
        <v>30</v>
      </c>
      <c r="J137" s="84">
        <f t="shared" ca="1" si="8"/>
        <v>7.8216544352471822E-14</v>
      </c>
      <c r="K137" s="84">
        <f t="shared" ca="1" si="9"/>
        <v>9.3859853222966188E-15</v>
      </c>
      <c r="L137" s="83">
        <f t="shared" ca="1" si="10"/>
        <v>8.7602529674768438E-14</v>
      </c>
      <c r="M137" s="646">
        <f>INDEX(TablaCliente!_CapturaAbonoAnticipadoTablaCliente,__Amortizacion)</f>
        <v>0</v>
      </c>
      <c r="N137" s="84">
        <f t="shared" ca="1" si="11"/>
        <v>7.2759576141834259E-12</v>
      </c>
      <c r="P137" s="618" t="b">
        <f ca="1">__Saldo_Final _Anterior &gt; 0</f>
        <v>1</v>
      </c>
      <c r="Q137" s="98"/>
      <c r="R137" s="84">
        <f ca="1" xml:space="preserve"> T_AutoYSeguroMulti!_Pago.Fijo + T_SeguroAnual!__Pago_Fijo</f>
        <v>12689.724443555469</v>
      </c>
      <c r="S137" s="84">
        <f ca="1" xml:space="preserve"> T_AutoYSeguroMulti!__Capital + T_SeguroAnual!__Capital</f>
        <v>0</v>
      </c>
      <c r="T137" s="84">
        <f t="shared" ca="1" si="12"/>
        <v>12689.724443555469</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x14ac:dyDescent="0.3">
      <c r="D138" s="619">
        <v>120</v>
      </c>
      <c r="F138" s="18">
        <f ca="1" xml:space="preserve"> ( __Saldo_Final _Anterior + T_SeguroAnual!__Saldo_Ciclico ) * ( __Stopper_Saldo_Inicial )</f>
        <v>7.2759576141834259E-12</v>
      </c>
      <c r="G138" s="83">
        <f ca="1">MIN( CHOOSE(i.Opcion.Abono, __Capital_Opcion_1, __Capital_Opcion_2, __Capital_Opcion_3) _Actual, __Saldo_Inicial _Actual)</f>
        <v>0</v>
      </c>
      <c r="H138" s="83">
        <f t="shared" ca="1" si="7"/>
        <v>2.6072181450823943E-15</v>
      </c>
      <c r="I138" s="84">
        <f ca="1">T_AutoYSeguroMulti!__Dias_Interes_Periodo</f>
        <v>30</v>
      </c>
      <c r="J138" s="84">
        <f t="shared" ca="1" si="8"/>
        <v>7.8216544352471822E-14</v>
      </c>
      <c r="K138" s="84">
        <f t="shared" ca="1" si="9"/>
        <v>9.3859853222966188E-15</v>
      </c>
      <c r="L138" s="83">
        <f t="shared" ca="1" si="10"/>
        <v>8.7602529674768438E-14</v>
      </c>
      <c r="M138" s="646">
        <f>INDEX(TablaCliente!_CapturaAbonoAnticipadoTablaCliente,__Amortizacion)</f>
        <v>0</v>
      </c>
      <c r="N138" s="84">
        <f t="shared" ca="1" si="11"/>
        <v>7.2759576141834259E-12</v>
      </c>
      <c r="P138" s="618" t="b">
        <f ca="1">__Saldo_Final _Anterior &gt; 0</f>
        <v>1</v>
      </c>
      <c r="Q138" s="98"/>
      <c r="R138" s="84">
        <f ca="1" xml:space="preserve"> T_AutoYSeguroMulti!_Pago.Fijo + T_SeguroAnual!__Pago_Fijo</f>
        <v>12689.724443555469</v>
      </c>
      <c r="S138" s="84">
        <f ca="1" xml:space="preserve"> T_AutoYSeguroMulti!__Capital + T_SeguroAnual!__Capital</f>
        <v>0</v>
      </c>
      <c r="T138" s="84">
        <f t="shared" ca="1" si="12"/>
        <v>12689.724443555469</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x14ac:dyDescent="0.3">
      <c r="D139" s="619">
        <v>121</v>
      </c>
      <c r="F139" s="18">
        <f ca="1" xml:space="preserve"> ( __Saldo_Final _Anterior + T_SeguroAnual!__Saldo_Ciclico ) * ( __Stopper_Saldo_Inicial )</f>
        <v>7.2759576141834259E-12</v>
      </c>
      <c r="G139" s="83">
        <f ca="1">MIN( CHOOSE(i.Opcion.Abono, __Capital_Opcion_1, __Capital_Opcion_2, __Capital_Opcion_3) _Actual, __Saldo_Inicial _Actual)</f>
        <v>0</v>
      </c>
      <c r="H139" s="83">
        <f t="shared" ca="1" si="7"/>
        <v>2.6072181450823943E-15</v>
      </c>
      <c r="I139" s="84">
        <f ca="1">T_AutoYSeguroMulti!__Dias_Interes_Periodo</f>
        <v>30</v>
      </c>
      <c r="J139" s="84">
        <f t="shared" ca="1" si="8"/>
        <v>7.8216544352471822E-14</v>
      </c>
      <c r="K139" s="84">
        <f t="shared" ca="1" si="9"/>
        <v>9.3859853222966188E-15</v>
      </c>
      <c r="L139" s="83">
        <f t="shared" ca="1" si="10"/>
        <v>8.7602529674768438E-14</v>
      </c>
      <c r="M139" s="646">
        <f>INDEX(TablaCliente!_CapturaAbonoAnticipadoTablaCliente,__Amortizacion)</f>
        <v>0</v>
      </c>
      <c r="N139" s="84">
        <f t="shared" ca="1" si="11"/>
        <v>7.2759576141834259E-12</v>
      </c>
      <c r="P139" s="618" t="b">
        <f ca="1">__Saldo_Final _Anterior &gt; 0</f>
        <v>1</v>
      </c>
      <c r="Q139" s="98"/>
      <c r="R139" s="84">
        <f ca="1" xml:space="preserve"> T_AutoYSeguroMulti!_Pago.Fijo + T_SeguroAnual!__Pago_Fijo</f>
        <v>12689.724443555469</v>
      </c>
      <c r="S139" s="84">
        <f ca="1" xml:space="preserve"> T_AutoYSeguroMulti!__Capital + T_SeguroAnual!__Capital</f>
        <v>0</v>
      </c>
      <c r="T139" s="84">
        <f t="shared" ca="1" si="12"/>
        <v>12689.724443555469</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x14ac:dyDescent="0.3">
      <c r="D140" s="619">
        <v>122</v>
      </c>
      <c r="F140" s="18">
        <f ca="1" xml:space="preserve"> ( __Saldo_Final _Anterior + T_SeguroAnual!__Saldo_Ciclico ) * ( __Stopper_Saldo_Inicial )</f>
        <v>7.2759576141834259E-12</v>
      </c>
      <c r="G140" s="83">
        <f ca="1">MIN( CHOOSE(i.Opcion.Abono, __Capital_Opcion_1, __Capital_Opcion_2, __Capital_Opcion_3) _Actual, __Saldo_Inicial _Actual)</f>
        <v>0</v>
      </c>
      <c r="H140" s="83">
        <f t="shared" ca="1" si="7"/>
        <v>2.6072181450823943E-15</v>
      </c>
      <c r="I140" s="84">
        <f ca="1">T_AutoYSeguroMulti!__Dias_Interes_Periodo</f>
        <v>30</v>
      </c>
      <c r="J140" s="84">
        <f t="shared" ca="1" si="8"/>
        <v>7.8216544352471822E-14</v>
      </c>
      <c r="K140" s="84">
        <f t="shared" ca="1" si="9"/>
        <v>9.3859853222966188E-15</v>
      </c>
      <c r="L140" s="83">
        <f t="shared" ca="1" si="10"/>
        <v>8.7602529674768438E-14</v>
      </c>
      <c r="M140" s="646">
        <f>INDEX(TablaCliente!_CapturaAbonoAnticipadoTablaCliente,__Amortizacion)</f>
        <v>0</v>
      </c>
      <c r="N140" s="84">
        <f t="shared" ca="1" si="11"/>
        <v>7.2759576141834259E-12</v>
      </c>
      <c r="P140" s="618" t="b">
        <f ca="1">__Saldo_Final _Anterior &gt; 0</f>
        <v>1</v>
      </c>
      <c r="Q140" s="98"/>
      <c r="R140" s="84">
        <f ca="1" xml:space="preserve"> T_AutoYSeguroMulti!_Pago.Fijo + T_SeguroAnual!__Pago_Fijo</f>
        <v>12689.724443555469</v>
      </c>
      <c r="S140" s="84">
        <f ca="1" xml:space="preserve"> T_AutoYSeguroMulti!__Capital + T_SeguroAnual!__Capital</f>
        <v>0</v>
      </c>
      <c r="T140" s="84">
        <f t="shared" ca="1" si="12"/>
        <v>12689.724443555469</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x14ac:dyDescent="0.3">
      <c r="D141" s="619">
        <v>123</v>
      </c>
      <c r="F141" s="18">
        <f ca="1" xml:space="preserve"> ( __Saldo_Final _Anterior + T_SeguroAnual!__Saldo_Ciclico ) * ( __Stopper_Saldo_Inicial )</f>
        <v>7.2759576141834259E-12</v>
      </c>
      <c r="G141" s="83">
        <f ca="1">MIN( CHOOSE(i.Opcion.Abono, __Capital_Opcion_1, __Capital_Opcion_2, __Capital_Opcion_3) _Actual, __Saldo_Inicial _Actual)</f>
        <v>0</v>
      </c>
      <c r="H141" s="83">
        <f t="shared" ca="1" si="7"/>
        <v>2.6072181450823943E-15</v>
      </c>
      <c r="I141" s="84">
        <f ca="1">T_AutoYSeguroMulti!__Dias_Interes_Periodo</f>
        <v>30</v>
      </c>
      <c r="J141" s="84">
        <f t="shared" ca="1" si="8"/>
        <v>7.8216544352471822E-14</v>
      </c>
      <c r="K141" s="84">
        <f t="shared" ca="1" si="9"/>
        <v>9.3859853222966188E-15</v>
      </c>
      <c r="L141" s="83">
        <f t="shared" ca="1" si="10"/>
        <v>8.7602529674768438E-14</v>
      </c>
      <c r="M141" s="646">
        <f>INDEX(TablaCliente!_CapturaAbonoAnticipadoTablaCliente,__Amortizacion)</f>
        <v>0</v>
      </c>
      <c r="N141" s="84">
        <f t="shared" ca="1" si="11"/>
        <v>7.2759576141834259E-12</v>
      </c>
      <c r="P141" s="618" t="b">
        <f ca="1">__Saldo_Final _Anterior &gt; 0</f>
        <v>1</v>
      </c>
      <c r="Q141" s="98"/>
      <c r="R141" s="84">
        <f ca="1" xml:space="preserve"> T_AutoYSeguroMulti!_Pago.Fijo + T_SeguroAnual!__Pago_Fijo</f>
        <v>12689.724443555469</v>
      </c>
      <c r="S141" s="84">
        <f ca="1" xml:space="preserve"> T_AutoYSeguroMulti!__Capital + T_SeguroAnual!__Capital</f>
        <v>0</v>
      </c>
      <c r="T141" s="84">
        <f t="shared" ca="1" si="12"/>
        <v>12689.724443555469</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x14ac:dyDescent="0.3">
      <c r="D142" s="619">
        <v>124</v>
      </c>
      <c r="F142" s="18">
        <f ca="1" xml:space="preserve"> ( __Saldo_Final _Anterior + T_SeguroAnual!__Saldo_Ciclico ) * ( __Stopper_Saldo_Inicial )</f>
        <v>7.2759576141834259E-12</v>
      </c>
      <c r="G142" s="83">
        <f ca="1">MIN( CHOOSE(i.Opcion.Abono, __Capital_Opcion_1, __Capital_Opcion_2, __Capital_Opcion_3) _Actual, __Saldo_Inicial _Actual)</f>
        <v>0</v>
      </c>
      <c r="H142" s="83">
        <f t="shared" ca="1" si="7"/>
        <v>2.6072181450823943E-15</v>
      </c>
      <c r="I142" s="84">
        <f ca="1">T_AutoYSeguroMulti!__Dias_Interes_Periodo</f>
        <v>30</v>
      </c>
      <c r="J142" s="84">
        <f t="shared" ca="1" si="8"/>
        <v>7.8216544352471822E-14</v>
      </c>
      <c r="K142" s="84">
        <f t="shared" ca="1" si="9"/>
        <v>9.3859853222966188E-15</v>
      </c>
      <c r="L142" s="83">
        <f t="shared" ca="1" si="10"/>
        <v>8.7602529674768438E-14</v>
      </c>
      <c r="M142" s="646">
        <f>INDEX(TablaCliente!_CapturaAbonoAnticipadoTablaCliente,__Amortizacion)</f>
        <v>0</v>
      </c>
      <c r="N142" s="84">
        <f t="shared" ca="1" si="11"/>
        <v>7.2759576141834259E-12</v>
      </c>
      <c r="P142" s="618" t="b">
        <f ca="1">__Saldo_Final _Anterior &gt; 0</f>
        <v>1</v>
      </c>
      <c r="Q142" s="98"/>
      <c r="R142" s="84">
        <f ca="1" xml:space="preserve"> T_AutoYSeguroMulti!_Pago.Fijo + T_SeguroAnual!__Pago_Fijo</f>
        <v>12689.724443555469</v>
      </c>
      <c r="S142" s="84">
        <f ca="1" xml:space="preserve"> T_AutoYSeguroMulti!__Capital + T_SeguroAnual!__Capital</f>
        <v>0</v>
      </c>
      <c r="T142" s="84">
        <f t="shared" ca="1" si="12"/>
        <v>12689.724443555469</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x14ac:dyDescent="0.3">
      <c r="D143" s="619">
        <v>125</v>
      </c>
      <c r="F143" s="18">
        <f ca="1" xml:space="preserve"> ( __Saldo_Final _Anterior + T_SeguroAnual!__Saldo_Ciclico ) * ( __Stopper_Saldo_Inicial )</f>
        <v>7.2759576141834259E-12</v>
      </c>
      <c r="G143" s="83">
        <f ca="1">MIN( CHOOSE(i.Opcion.Abono, __Capital_Opcion_1, __Capital_Opcion_2, __Capital_Opcion_3) _Actual, __Saldo_Inicial _Actual)</f>
        <v>0</v>
      </c>
      <c r="H143" s="83">
        <f t="shared" ca="1" si="7"/>
        <v>2.6072181450823943E-15</v>
      </c>
      <c r="I143" s="84">
        <f ca="1">T_AutoYSeguroMulti!__Dias_Interes_Periodo</f>
        <v>30</v>
      </c>
      <c r="J143" s="84">
        <f t="shared" ca="1" si="8"/>
        <v>7.8216544352471822E-14</v>
      </c>
      <c r="K143" s="84">
        <f t="shared" ca="1" si="9"/>
        <v>9.3859853222966188E-15</v>
      </c>
      <c r="L143" s="83">
        <f t="shared" ca="1" si="10"/>
        <v>8.7602529674768438E-14</v>
      </c>
      <c r="M143" s="646">
        <f>INDEX(TablaCliente!_CapturaAbonoAnticipadoTablaCliente,__Amortizacion)</f>
        <v>0</v>
      </c>
      <c r="N143" s="84">
        <f t="shared" ca="1" si="11"/>
        <v>7.2759576141834259E-12</v>
      </c>
      <c r="P143" s="618" t="b">
        <f ca="1">__Saldo_Final _Anterior &gt; 0</f>
        <v>1</v>
      </c>
      <c r="Q143" s="98"/>
      <c r="R143" s="84">
        <f ca="1" xml:space="preserve"> T_AutoYSeguroMulti!_Pago.Fijo + T_SeguroAnual!__Pago_Fijo</f>
        <v>12689.724443555469</v>
      </c>
      <c r="S143" s="84">
        <f ca="1" xml:space="preserve"> T_AutoYSeguroMulti!__Capital + T_SeguroAnual!__Capital</f>
        <v>0</v>
      </c>
      <c r="T143" s="84">
        <f t="shared" ca="1" si="12"/>
        <v>12689.724443555469</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x14ac:dyDescent="0.3">
      <c r="D144" s="619">
        <v>126</v>
      </c>
      <c r="F144" s="18">
        <f ca="1" xml:space="preserve"> ( __Saldo_Final _Anterior + T_SeguroAnual!__Saldo_Ciclico ) * ( __Stopper_Saldo_Inicial )</f>
        <v>7.2759576141834259E-12</v>
      </c>
      <c r="G144" s="83">
        <f ca="1">MIN( CHOOSE(i.Opcion.Abono, __Capital_Opcion_1, __Capital_Opcion_2, __Capital_Opcion_3) _Actual, __Saldo_Inicial _Actual)</f>
        <v>0</v>
      </c>
      <c r="H144" s="83">
        <f t="shared" ca="1" si="7"/>
        <v>2.6072181450823943E-15</v>
      </c>
      <c r="I144" s="84">
        <f ca="1">T_AutoYSeguroMulti!__Dias_Interes_Periodo</f>
        <v>30</v>
      </c>
      <c r="J144" s="84">
        <f t="shared" ca="1" si="8"/>
        <v>7.8216544352471822E-14</v>
      </c>
      <c r="K144" s="84">
        <f t="shared" ca="1" si="9"/>
        <v>9.3859853222966188E-15</v>
      </c>
      <c r="L144" s="83">
        <f t="shared" ca="1" si="10"/>
        <v>8.7602529674768438E-14</v>
      </c>
      <c r="M144" s="646">
        <f>INDEX(TablaCliente!_CapturaAbonoAnticipadoTablaCliente,__Amortizacion)</f>
        <v>0</v>
      </c>
      <c r="N144" s="84">
        <f t="shared" ca="1" si="11"/>
        <v>7.2759576141834259E-12</v>
      </c>
      <c r="P144" s="618" t="b">
        <f ca="1">__Saldo_Final _Anterior &gt; 0</f>
        <v>1</v>
      </c>
      <c r="Q144" s="98"/>
      <c r="R144" s="84">
        <f ca="1" xml:space="preserve"> T_AutoYSeguroMulti!_Pago.Fijo + T_SeguroAnual!__Pago_Fijo</f>
        <v>12689.724443555469</v>
      </c>
      <c r="S144" s="84">
        <f ca="1" xml:space="preserve"> T_AutoYSeguroMulti!__Capital + T_SeguroAnual!__Capital</f>
        <v>0</v>
      </c>
      <c r="T144" s="84">
        <f t="shared" ca="1" si="12"/>
        <v>12689.724443555469</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x14ac:dyDescent="0.3">
      <c r="D145" s="619">
        <v>127</v>
      </c>
      <c r="F145" s="18">
        <f ca="1" xml:space="preserve"> ( __Saldo_Final _Anterior + T_SeguroAnual!__Saldo_Ciclico ) * ( __Stopper_Saldo_Inicial )</f>
        <v>7.2759576141834259E-12</v>
      </c>
      <c r="G145" s="83">
        <f ca="1">MIN( CHOOSE(i.Opcion.Abono, __Capital_Opcion_1, __Capital_Opcion_2, __Capital_Opcion_3) _Actual, __Saldo_Inicial _Actual)</f>
        <v>0</v>
      </c>
      <c r="H145" s="83">
        <f t="shared" ca="1" si="7"/>
        <v>2.6072181450823943E-15</v>
      </c>
      <c r="I145" s="84">
        <f ca="1">T_AutoYSeguroMulti!__Dias_Interes_Periodo</f>
        <v>30</v>
      </c>
      <c r="J145" s="84">
        <f t="shared" ca="1" si="8"/>
        <v>7.8216544352471822E-14</v>
      </c>
      <c r="K145" s="84">
        <f t="shared" ca="1" si="9"/>
        <v>9.3859853222966188E-15</v>
      </c>
      <c r="L145" s="83">
        <f t="shared" ca="1" si="10"/>
        <v>8.7602529674768438E-14</v>
      </c>
      <c r="M145" s="646">
        <f>INDEX(TablaCliente!_CapturaAbonoAnticipadoTablaCliente,__Amortizacion)</f>
        <v>0</v>
      </c>
      <c r="N145" s="84">
        <f t="shared" ca="1" si="11"/>
        <v>7.2759576141834259E-12</v>
      </c>
      <c r="P145" s="618" t="b">
        <f ca="1">__Saldo_Final _Anterior &gt; 0</f>
        <v>1</v>
      </c>
      <c r="Q145" s="98"/>
      <c r="R145" s="84">
        <f ca="1" xml:space="preserve"> T_AutoYSeguroMulti!_Pago.Fijo + T_SeguroAnual!__Pago_Fijo</f>
        <v>12689.724443555469</v>
      </c>
      <c r="S145" s="84">
        <f ca="1" xml:space="preserve"> T_AutoYSeguroMulti!__Capital + T_SeguroAnual!__Capital</f>
        <v>0</v>
      </c>
      <c r="T145" s="84">
        <f t="shared" ca="1" si="12"/>
        <v>12689.724443555469</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x14ac:dyDescent="0.3">
      <c r="D146" s="619">
        <v>128</v>
      </c>
      <c r="F146" s="18">
        <f ca="1" xml:space="preserve"> ( __Saldo_Final _Anterior + T_SeguroAnual!__Saldo_Ciclico ) * ( __Stopper_Saldo_Inicial )</f>
        <v>7.2759576141834259E-12</v>
      </c>
      <c r="G146" s="83">
        <f ca="1">MIN( CHOOSE(i.Opcion.Abono, __Capital_Opcion_1, __Capital_Opcion_2, __Capital_Opcion_3) _Actual, __Saldo_Inicial _Actual)</f>
        <v>0</v>
      </c>
      <c r="H146" s="83">
        <f t="shared" ca="1" si="7"/>
        <v>2.6072181450823943E-15</v>
      </c>
      <c r="I146" s="84">
        <f ca="1">T_AutoYSeguroMulti!__Dias_Interes_Periodo</f>
        <v>30</v>
      </c>
      <c r="J146" s="84">
        <f t="shared" ca="1" si="8"/>
        <v>7.8216544352471822E-14</v>
      </c>
      <c r="K146" s="84">
        <f t="shared" ca="1" si="9"/>
        <v>9.3859853222966188E-15</v>
      </c>
      <c r="L146" s="83">
        <f t="shared" ca="1" si="10"/>
        <v>8.7602529674768438E-14</v>
      </c>
      <c r="M146" s="646">
        <f>INDEX(TablaCliente!_CapturaAbonoAnticipadoTablaCliente,__Amortizacion)</f>
        <v>0</v>
      </c>
      <c r="N146" s="84">
        <f t="shared" ca="1" si="11"/>
        <v>7.2759576141834259E-12</v>
      </c>
      <c r="P146" s="618" t="b">
        <f ca="1">__Saldo_Final _Anterior &gt; 0</f>
        <v>1</v>
      </c>
      <c r="Q146" s="98"/>
      <c r="R146" s="84">
        <f ca="1" xml:space="preserve"> T_AutoYSeguroMulti!_Pago.Fijo + T_SeguroAnual!__Pago_Fijo</f>
        <v>12689.724443555469</v>
      </c>
      <c r="S146" s="84">
        <f ca="1" xml:space="preserve"> T_AutoYSeguroMulti!__Capital + T_SeguroAnual!__Capital</f>
        <v>0</v>
      </c>
      <c r="T146" s="84">
        <f t="shared" ca="1" si="12"/>
        <v>12689.724443555469</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x14ac:dyDescent="0.3">
      <c r="D147" s="619">
        <v>129</v>
      </c>
      <c r="F147" s="18">
        <f ca="1" xml:space="preserve"> ( __Saldo_Final _Anterior + T_SeguroAnual!__Saldo_Ciclico ) * ( __Stopper_Saldo_Inicial )</f>
        <v>7.2759576141834259E-12</v>
      </c>
      <c r="G147" s="83">
        <f ca="1">MIN( CHOOSE(i.Opcion.Abono, __Capital_Opcion_1, __Capital_Opcion_2, __Capital_Opcion_3) _Actual, __Saldo_Inicial _Actual)</f>
        <v>0</v>
      </c>
      <c r="H147" s="83">
        <f t="shared" ref="H147:H210" ca="1" si="14" xml:space="preserve"> __Saldo_Inicial * _Tasa.Diaria</f>
        <v>2.6072181450823943E-15</v>
      </c>
      <c r="I147" s="84">
        <f ca="1">T_AutoYSeguroMulti!__Dias_Interes_Periodo</f>
        <v>30</v>
      </c>
      <c r="J147" s="84">
        <f t="shared" ref="J147:J210" ca="1" si="15" xml:space="preserve"> __Interes_Diario * __Dias_Interes_Periodo</f>
        <v>7.8216544352471822E-14</v>
      </c>
      <c r="K147" s="84">
        <f t="shared" ref="K147:K210" ca="1" si="16" xml:space="preserve"> __Interes * i.Iva.Intereses</f>
        <v>9.3859853222966188E-15</v>
      </c>
      <c r="L147" s="83">
        <f t="shared" ref="L147:L210" ca="1" si="17" xml:space="preserve"> __Capital + __Interes + __IVA</f>
        <v>8.7602529674768438E-14</v>
      </c>
      <c r="M147" s="646">
        <f>INDEX(TablaCliente!_CapturaAbonoAnticipadoTablaCliente,__Amortizacion)</f>
        <v>0</v>
      </c>
      <c r="N147" s="84">
        <f t="shared" ref="N147:N210" ca="1" si="18">MAX( __Saldo_Inicial-__Capital-__Abono_Anticipado, 0)</f>
        <v>7.2759576141834259E-12</v>
      </c>
      <c r="P147" s="618" t="b">
        <f ca="1">__Saldo_Final _Anterior &gt; 0</f>
        <v>1</v>
      </c>
      <c r="Q147" s="98"/>
      <c r="R147" s="84">
        <f ca="1" xml:space="preserve"> T_AutoYSeguroMulti!_Pago.Fijo + T_SeguroAnual!__Pago_Fijo</f>
        <v>12689.724443555469</v>
      </c>
      <c r="S147" s="84">
        <f ca="1" xml:space="preserve"> T_AutoYSeguroMulti!__Capital + T_SeguroAnual!__Capital</f>
        <v>0</v>
      </c>
      <c r="T147" s="84">
        <f t="shared" ref="T147:T210" ca="1" si="19">__Pago_Fijo - (__Interes_Diario * i.Dias.Por.Periodo * (1+i.Iva.Intereses))</f>
        <v>12689.724443555469</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x14ac:dyDescent="0.3">
      <c r="D148" s="619">
        <v>130</v>
      </c>
      <c r="F148" s="18">
        <f ca="1" xml:space="preserve"> ( __Saldo_Final _Anterior + T_SeguroAnual!__Saldo_Ciclico ) * ( __Stopper_Saldo_Inicial )</f>
        <v>7.2759576141834259E-12</v>
      </c>
      <c r="G148" s="83">
        <f ca="1">MIN( CHOOSE(i.Opcion.Abono, __Capital_Opcion_1, __Capital_Opcion_2, __Capital_Opcion_3) _Actual, __Saldo_Inicial _Actual)</f>
        <v>0</v>
      </c>
      <c r="H148" s="83">
        <f t="shared" ca="1" si="14"/>
        <v>2.6072181450823943E-15</v>
      </c>
      <c r="I148" s="84">
        <f ca="1">T_AutoYSeguroMulti!__Dias_Interes_Periodo</f>
        <v>30</v>
      </c>
      <c r="J148" s="84">
        <f t="shared" ca="1" si="15"/>
        <v>7.8216544352471822E-14</v>
      </c>
      <c r="K148" s="84">
        <f t="shared" ca="1" si="16"/>
        <v>9.3859853222966188E-15</v>
      </c>
      <c r="L148" s="83">
        <f t="shared" ca="1" si="17"/>
        <v>8.7602529674768438E-14</v>
      </c>
      <c r="M148" s="646">
        <f>INDEX(TablaCliente!_CapturaAbonoAnticipadoTablaCliente,__Amortizacion)</f>
        <v>0</v>
      </c>
      <c r="N148" s="84">
        <f t="shared" ca="1" si="18"/>
        <v>7.2759576141834259E-12</v>
      </c>
      <c r="P148" s="618" t="b">
        <f ca="1">__Saldo_Final _Anterior &gt; 0</f>
        <v>1</v>
      </c>
      <c r="Q148" s="98"/>
      <c r="R148" s="84">
        <f ca="1" xml:space="preserve"> T_AutoYSeguroMulti!_Pago.Fijo + T_SeguroAnual!__Pago_Fijo</f>
        <v>12689.724443555469</v>
      </c>
      <c r="S148" s="84">
        <f ca="1" xml:space="preserve"> T_AutoYSeguroMulti!__Capital + T_SeguroAnual!__Capital</f>
        <v>0</v>
      </c>
      <c r="T148" s="84">
        <f t="shared" ca="1" si="19"/>
        <v>12689.724443555469</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x14ac:dyDescent="0.3">
      <c r="D149" s="619">
        <v>131</v>
      </c>
      <c r="F149" s="18">
        <f ca="1" xml:space="preserve"> ( __Saldo_Final _Anterior + T_SeguroAnual!__Saldo_Ciclico ) * ( __Stopper_Saldo_Inicial )</f>
        <v>7.2759576141834259E-12</v>
      </c>
      <c r="G149" s="83">
        <f ca="1">MIN( CHOOSE(i.Opcion.Abono, __Capital_Opcion_1, __Capital_Opcion_2, __Capital_Opcion_3) _Actual, __Saldo_Inicial _Actual)</f>
        <v>0</v>
      </c>
      <c r="H149" s="83">
        <f t="shared" ca="1" si="14"/>
        <v>2.6072181450823943E-15</v>
      </c>
      <c r="I149" s="84">
        <f ca="1">T_AutoYSeguroMulti!__Dias_Interes_Periodo</f>
        <v>30</v>
      </c>
      <c r="J149" s="84">
        <f t="shared" ca="1" si="15"/>
        <v>7.8216544352471822E-14</v>
      </c>
      <c r="K149" s="84">
        <f t="shared" ca="1" si="16"/>
        <v>9.3859853222966188E-15</v>
      </c>
      <c r="L149" s="83">
        <f t="shared" ca="1" si="17"/>
        <v>8.7602529674768438E-14</v>
      </c>
      <c r="M149" s="646">
        <f>INDEX(TablaCliente!_CapturaAbonoAnticipadoTablaCliente,__Amortizacion)</f>
        <v>0</v>
      </c>
      <c r="N149" s="84">
        <f t="shared" ca="1" si="18"/>
        <v>7.2759576141834259E-12</v>
      </c>
      <c r="P149" s="618" t="b">
        <f ca="1">__Saldo_Final _Anterior &gt; 0</f>
        <v>1</v>
      </c>
      <c r="Q149" s="98"/>
      <c r="R149" s="84">
        <f ca="1" xml:space="preserve"> T_AutoYSeguroMulti!_Pago.Fijo + T_SeguroAnual!__Pago_Fijo</f>
        <v>12689.724443555469</v>
      </c>
      <c r="S149" s="84">
        <f ca="1" xml:space="preserve"> T_AutoYSeguroMulti!__Capital + T_SeguroAnual!__Capital</f>
        <v>0</v>
      </c>
      <c r="T149" s="84">
        <f t="shared" ca="1" si="19"/>
        <v>12689.724443555469</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x14ac:dyDescent="0.3">
      <c r="D150" s="619">
        <v>132</v>
      </c>
      <c r="F150" s="18">
        <f ca="1" xml:space="preserve"> ( __Saldo_Final _Anterior + T_SeguroAnual!__Saldo_Ciclico ) * ( __Stopper_Saldo_Inicial )</f>
        <v>7.2759576141834259E-12</v>
      </c>
      <c r="G150" s="83">
        <f ca="1">MIN( CHOOSE(i.Opcion.Abono, __Capital_Opcion_1, __Capital_Opcion_2, __Capital_Opcion_3) _Actual, __Saldo_Inicial _Actual)</f>
        <v>0</v>
      </c>
      <c r="H150" s="83">
        <f t="shared" ca="1" si="14"/>
        <v>2.6072181450823943E-15</v>
      </c>
      <c r="I150" s="84">
        <f ca="1">T_AutoYSeguroMulti!__Dias_Interes_Periodo</f>
        <v>30</v>
      </c>
      <c r="J150" s="84">
        <f t="shared" ca="1" si="15"/>
        <v>7.8216544352471822E-14</v>
      </c>
      <c r="K150" s="84">
        <f t="shared" ca="1" si="16"/>
        <v>9.3859853222966188E-15</v>
      </c>
      <c r="L150" s="83">
        <f t="shared" ca="1" si="17"/>
        <v>8.7602529674768438E-14</v>
      </c>
      <c r="M150" s="646">
        <f>INDEX(TablaCliente!_CapturaAbonoAnticipadoTablaCliente,__Amortizacion)</f>
        <v>0</v>
      </c>
      <c r="N150" s="84">
        <f t="shared" ca="1" si="18"/>
        <v>7.2759576141834259E-12</v>
      </c>
      <c r="P150" s="618" t="b">
        <f ca="1">__Saldo_Final _Anterior &gt; 0</f>
        <v>1</v>
      </c>
      <c r="Q150" s="98"/>
      <c r="R150" s="84">
        <f ca="1" xml:space="preserve"> T_AutoYSeguroMulti!_Pago.Fijo + T_SeguroAnual!__Pago_Fijo</f>
        <v>12689.724443555469</v>
      </c>
      <c r="S150" s="84">
        <f ca="1" xml:space="preserve"> T_AutoYSeguroMulti!__Capital + T_SeguroAnual!__Capital</f>
        <v>0</v>
      </c>
      <c r="T150" s="84">
        <f t="shared" ca="1" si="19"/>
        <v>12689.724443555469</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x14ac:dyDescent="0.3">
      <c r="D151" s="619">
        <v>133</v>
      </c>
      <c r="F151" s="18">
        <f ca="1" xml:space="preserve"> ( __Saldo_Final _Anterior + T_SeguroAnual!__Saldo_Ciclico ) * ( __Stopper_Saldo_Inicial )</f>
        <v>7.2759576141834259E-12</v>
      </c>
      <c r="G151" s="83">
        <f ca="1">MIN( CHOOSE(i.Opcion.Abono, __Capital_Opcion_1, __Capital_Opcion_2, __Capital_Opcion_3) _Actual, __Saldo_Inicial _Actual)</f>
        <v>0</v>
      </c>
      <c r="H151" s="83">
        <f t="shared" ca="1" si="14"/>
        <v>2.6072181450823943E-15</v>
      </c>
      <c r="I151" s="84">
        <f ca="1">T_AutoYSeguroMulti!__Dias_Interes_Periodo</f>
        <v>30</v>
      </c>
      <c r="J151" s="84">
        <f t="shared" ca="1" si="15"/>
        <v>7.8216544352471822E-14</v>
      </c>
      <c r="K151" s="84">
        <f t="shared" ca="1" si="16"/>
        <v>9.3859853222966188E-15</v>
      </c>
      <c r="L151" s="83">
        <f t="shared" ca="1" si="17"/>
        <v>8.7602529674768438E-14</v>
      </c>
      <c r="M151" s="646">
        <f>INDEX(TablaCliente!_CapturaAbonoAnticipadoTablaCliente,__Amortizacion)</f>
        <v>0</v>
      </c>
      <c r="N151" s="84">
        <f t="shared" ca="1" si="18"/>
        <v>7.2759576141834259E-12</v>
      </c>
      <c r="P151" s="618" t="b">
        <f ca="1">__Saldo_Final _Anterior &gt; 0</f>
        <v>1</v>
      </c>
      <c r="Q151" s="98"/>
      <c r="R151" s="84">
        <f ca="1" xml:space="preserve"> T_AutoYSeguroMulti!_Pago.Fijo + T_SeguroAnual!__Pago_Fijo</f>
        <v>12689.724443555469</v>
      </c>
      <c r="S151" s="84">
        <f ca="1" xml:space="preserve"> T_AutoYSeguroMulti!__Capital + T_SeguroAnual!__Capital</f>
        <v>0</v>
      </c>
      <c r="T151" s="84">
        <f t="shared" ca="1" si="19"/>
        <v>12689.724443555469</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x14ac:dyDescent="0.3">
      <c r="D152" s="619">
        <v>134</v>
      </c>
      <c r="F152" s="18">
        <f ca="1" xml:space="preserve"> ( __Saldo_Final _Anterior + T_SeguroAnual!__Saldo_Ciclico ) * ( __Stopper_Saldo_Inicial )</f>
        <v>7.2759576141834259E-12</v>
      </c>
      <c r="G152" s="83">
        <f ca="1">MIN( CHOOSE(i.Opcion.Abono, __Capital_Opcion_1, __Capital_Opcion_2, __Capital_Opcion_3) _Actual, __Saldo_Inicial _Actual)</f>
        <v>0</v>
      </c>
      <c r="H152" s="83">
        <f t="shared" ca="1" si="14"/>
        <v>2.6072181450823943E-15</v>
      </c>
      <c r="I152" s="84">
        <f ca="1">T_AutoYSeguroMulti!__Dias_Interes_Periodo</f>
        <v>30</v>
      </c>
      <c r="J152" s="84">
        <f t="shared" ca="1" si="15"/>
        <v>7.8216544352471822E-14</v>
      </c>
      <c r="K152" s="84">
        <f t="shared" ca="1" si="16"/>
        <v>9.3859853222966188E-15</v>
      </c>
      <c r="L152" s="83">
        <f t="shared" ca="1" si="17"/>
        <v>8.7602529674768438E-14</v>
      </c>
      <c r="M152" s="646">
        <f>INDEX(TablaCliente!_CapturaAbonoAnticipadoTablaCliente,__Amortizacion)</f>
        <v>0</v>
      </c>
      <c r="N152" s="84">
        <f t="shared" ca="1" si="18"/>
        <v>7.2759576141834259E-12</v>
      </c>
      <c r="P152" s="618" t="b">
        <f ca="1">__Saldo_Final _Anterior &gt; 0</f>
        <v>1</v>
      </c>
      <c r="Q152" s="98"/>
      <c r="R152" s="84">
        <f ca="1" xml:space="preserve"> T_AutoYSeguroMulti!_Pago.Fijo + T_SeguroAnual!__Pago_Fijo</f>
        <v>12689.724443555469</v>
      </c>
      <c r="S152" s="84">
        <f ca="1" xml:space="preserve"> T_AutoYSeguroMulti!__Capital + T_SeguroAnual!__Capital</f>
        <v>0</v>
      </c>
      <c r="T152" s="84">
        <f t="shared" ca="1" si="19"/>
        <v>12689.724443555469</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x14ac:dyDescent="0.3">
      <c r="D153" s="98">
        <v>135</v>
      </c>
      <c r="F153" s="18">
        <f ca="1" xml:space="preserve"> ( __Saldo_Final _Anterior + T_SeguroAnual!__Saldo_Ciclico ) * ( __Stopper_Saldo_Inicial )</f>
        <v>7.2759576141834259E-12</v>
      </c>
      <c r="G153" s="83">
        <f ca="1">MIN( CHOOSE(i.Opcion.Abono, __Capital_Opcion_1, __Capital_Opcion_2, __Capital_Opcion_3) _Actual, __Saldo_Inicial _Actual)</f>
        <v>0</v>
      </c>
      <c r="H153" s="83">
        <f t="shared" ca="1" si="14"/>
        <v>2.6072181450823943E-15</v>
      </c>
      <c r="I153" s="84">
        <f ca="1">T_AutoYSeguroMulti!__Dias_Interes_Periodo</f>
        <v>30</v>
      </c>
      <c r="J153" s="84">
        <f t="shared" ca="1" si="15"/>
        <v>7.8216544352471822E-14</v>
      </c>
      <c r="K153" s="84">
        <f t="shared" ca="1" si="16"/>
        <v>9.3859853222966188E-15</v>
      </c>
      <c r="L153" s="83">
        <f t="shared" ca="1" si="17"/>
        <v>8.7602529674768438E-14</v>
      </c>
      <c r="M153" s="646">
        <f>INDEX(TablaCliente!_CapturaAbonoAnticipadoTablaCliente,__Amortizacion)</f>
        <v>0</v>
      </c>
      <c r="N153" s="84">
        <f t="shared" ca="1" si="18"/>
        <v>7.2759576141834259E-12</v>
      </c>
      <c r="P153" s="618" t="b">
        <f ca="1">__Saldo_Final _Anterior &gt; 0</f>
        <v>1</v>
      </c>
      <c r="Q153" s="98"/>
      <c r="R153" s="84">
        <f ca="1" xml:space="preserve"> T_AutoYSeguroMulti!_Pago.Fijo + T_SeguroAnual!__Pago_Fijo</f>
        <v>12689.724443555469</v>
      </c>
      <c r="S153" s="84">
        <f ca="1" xml:space="preserve"> T_AutoYSeguroMulti!__Capital + T_SeguroAnual!__Capital</f>
        <v>0</v>
      </c>
      <c r="T153" s="84">
        <f t="shared" ca="1" si="19"/>
        <v>12689.724443555469</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x14ac:dyDescent="0.3">
      <c r="D154" s="619">
        <v>136</v>
      </c>
      <c r="F154" s="18">
        <f ca="1" xml:space="preserve"> ( __Saldo_Final _Anterior + T_SeguroAnual!__Saldo_Ciclico ) * ( __Stopper_Saldo_Inicial )</f>
        <v>7.2759576141834259E-12</v>
      </c>
      <c r="G154" s="83">
        <f ca="1">MIN( CHOOSE(i.Opcion.Abono, __Capital_Opcion_1, __Capital_Opcion_2, __Capital_Opcion_3) _Actual, __Saldo_Inicial _Actual)</f>
        <v>0</v>
      </c>
      <c r="H154" s="83">
        <f t="shared" ca="1" si="14"/>
        <v>2.6072181450823943E-15</v>
      </c>
      <c r="I154" s="84">
        <f ca="1">T_AutoYSeguroMulti!__Dias_Interes_Periodo</f>
        <v>30</v>
      </c>
      <c r="J154" s="84">
        <f t="shared" ca="1" si="15"/>
        <v>7.8216544352471822E-14</v>
      </c>
      <c r="K154" s="84">
        <f t="shared" ca="1" si="16"/>
        <v>9.3859853222966188E-15</v>
      </c>
      <c r="L154" s="83">
        <f t="shared" ca="1" si="17"/>
        <v>8.7602529674768438E-14</v>
      </c>
      <c r="M154" s="646">
        <f>INDEX(TablaCliente!_CapturaAbonoAnticipadoTablaCliente,__Amortizacion)</f>
        <v>0</v>
      </c>
      <c r="N154" s="84">
        <f t="shared" ca="1" si="18"/>
        <v>7.2759576141834259E-12</v>
      </c>
      <c r="P154" s="618" t="b">
        <f ca="1">__Saldo_Final _Anterior &gt; 0</f>
        <v>1</v>
      </c>
      <c r="Q154" s="98"/>
      <c r="R154" s="84">
        <f ca="1" xml:space="preserve"> T_AutoYSeguroMulti!_Pago.Fijo + T_SeguroAnual!__Pago_Fijo</f>
        <v>12689.724443555469</v>
      </c>
      <c r="S154" s="84">
        <f ca="1" xml:space="preserve"> T_AutoYSeguroMulti!__Capital + T_SeguroAnual!__Capital</f>
        <v>0</v>
      </c>
      <c r="T154" s="84">
        <f t="shared" ca="1" si="19"/>
        <v>12689.724443555469</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x14ac:dyDescent="0.3">
      <c r="D155" s="619">
        <v>137</v>
      </c>
      <c r="F155" s="18">
        <f ca="1" xml:space="preserve"> ( __Saldo_Final _Anterior + T_SeguroAnual!__Saldo_Ciclico ) * ( __Stopper_Saldo_Inicial )</f>
        <v>7.2759576141834259E-12</v>
      </c>
      <c r="G155" s="83">
        <f ca="1">MIN( CHOOSE(i.Opcion.Abono, __Capital_Opcion_1, __Capital_Opcion_2, __Capital_Opcion_3) _Actual, __Saldo_Inicial _Actual)</f>
        <v>0</v>
      </c>
      <c r="H155" s="83">
        <f t="shared" ca="1" si="14"/>
        <v>2.6072181450823943E-15</v>
      </c>
      <c r="I155" s="84">
        <f ca="1">T_AutoYSeguroMulti!__Dias_Interes_Periodo</f>
        <v>30</v>
      </c>
      <c r="J155" s="84">
        <f t="shared" ca="1" si="15"/>
        <v>7.8216544352471822E-14</v>
      </c>
      <c r="K155" s="84">
        <f t="shared" ca="1" si="16"/>
        <v>9.3859853222966188E-15</v>
      </c>
      <c r="L155" s="83">
        <f t="shared" ca="1" si="17"/>
        <v>8.7602529674768438E-14</v>
      </c>
      <c r="M155" s="646">
        <f>INDEX(TablaCliente!_CapturaAbonoAnticipadoTablaCliente,__Amortizacion)</f>
        <v>0</v>
      </c>
      <c r="N155" s="84">
        <f t="shared" ca="1" si="18"/>
        <v>7.2759576141834259E-12</v>
      </c>
      <c r="P155" s="618" t="b">
        <f ca="1">__Saldo_Final _Anterior &gt; 0</f>
        <v>1</v>
      </c>
      <c r="Q155" s="98"/>
      <c r="R155" s="84">
        <f ca="1" xml:space="preserve"> T_AutoYSeguroMulti!_Pago.Fijo + T_SeguroAnual!__Pago_Fijo</f>
        <v>12689.724443555469</v>
      </c>
      <c r="S155" s="84">
        <f ca="1" xml:space="preserve"> T_AutoYSeguroMulti!__Capital + T_SeguroAnual!__Capital</f>
        <v>0</v>
      </c>
      <c r="T155" s="84">
        <f t="shared" ca="1" si="19"/>
        <v>12689.724443555469</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x14ac:dyDescent="0.3">
      <c r="D156" s="619">
        <v>138</v>
      </c>
      <c r="F156" s="18">
        <f ca="1" xml:space="preserve"> ( __Saldo_Final _Anterior + T_SeguroAnual!__Saldo_Ciclico ) * ( __Stopper_Saldo_Inicial )</f>
        <v>7.2759576141834259E-12</v>
      </c>
      <c r="G156" s="83">
        <f ca="1">MIN( CHOOSE(i.Opcion.Abono, __Capital_Opcion_1, __Capital_Opcion_2, __Capital_Opcion_3) _Actual, __Saldo_Inicial _Actual)</f>
        <v>0</v>
      </c>
      <c r="H156" s="83">
        <f t="shared" ca="1" si="14"/>
        <v>2.6072181450823943E-15</v>
      </c>
      <c r="I156" s="84">
        <f ca="1">T_AutoYSeguroMulti!__Dias_Interes_Periodo</f>
        <v>30</v>
      </c>
      <c r="J156" s="84">
        <f t="shared" ca="1" si="15"/>
        <v>7.8216544352471822E-14</v>
      </c>
      <c r="K156" s="84">
        <f t="shared" ca="1" si="16"/>
        <v>9.3859853222966188E-15</v>
      </c>
      <c r="L156" s="83">
        <f t="shared" ca="1" si="17"/>
        <v>8.7602529674768438E-14</v>
      </c>
      <c r="M156" s="646">
        <f>INDEX(TablaCliente!_CapturaAbonoAnticipadoTablaCliente,__Amortizacion)</f>
        <v>0</v>
      </c>
      <c r="N156" s="84">
        <f t="shared" ca="1" si="18"/>
        <v>7.2759576141834259E-12</v>
      </c>
      <c r="P156" s="618" t="b">
        <f ca="1">__Saldo_Final _Anterior &gt; 0</f>
        <v>1</v>
      </c>
      <c r="Q156" s="98"/>
      <c r="R156" s="84">
        <f ca="1" xml:space="preserve"> T_AutoYSeguroMulti!_Pago.Fijo + T_SeguroAnual!__Pago_Fijo</f>
        <v>12689.724443555469</v>
      </c>
      <c r="S156" s="84">
        <f ca="1" xml:space="preserve"> T_AutoYSeguroMulti!__Capital + T_SeguroAnual!__Capital</f>
        <v>0</v>
      </c>
      <c r="T156" s="84">
        <f t="shared" ca="1" si="19"/>
        <v>12689.724443555469</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x14ac:dyDescent="0.3">
      <c r="D157" s="619">
        <v>139</v>
      </c>
      <c r="F157" s="18">
        <f ca="1" xml:space="preserve"> ( __Saldo_Final _Anterior + T_SeguroAnual!__Saldo_Ciclico ) * ( __Stopper_Saldo_Inicial )</f>
        <v>7.2759576141834259E-12</v>
      </c>
      <c r="G157" s="83">
        <f ca="1">MIN( CHOOSE(i.Opcion.Abono, __Capital_Opcion_1, __Capital_Opcion_2, __Capital_Opcion_3) _Actual, __Saldo_Inicial _Actual)</f>
        <v>0</v>
      </c>
      <c r="H157" s="83">
        <f t="shared" ca="1" si="14"/>
        <v>2.6072181450823943E-15</v>
      </c>
      <c r="I157" s="84">
        <f ca="1">T_AutoYSeguroMulti!__Dias_Interes_Periodo</f>
        <v>30</v>
      </c>
      <c r="J157" s="84">
        <f t="shared" ca="1" si="15"/>
        <v>7.8216544352471822E-14</v>
      </c>
      <c r="K157" s="84">
        <f t="shared" ca="1" si="16"/>
        <v>9.3859853222966188E-15</v>
      </c>
      <c r="L157" s="83">
        <f t="shared" ca="1" si="17"/>
        <v>8.7602529674768438E-14</v>
      </c>
      <c r="M157" s="646">
        <f>INDEX(TablaCliente!_CapturaAbonoAnticipadoTablaCliente,__Amortizacion)</f>
        <v>0</v>
      </c>
      <c r="N157" s="84">
        <f t="shared" ca="1" si="18"/>
        <v>7.2759576141834259E-12</v>
      </c>
      <c r="P157" s="618" t="b">
        <f ca="1">__Saldo_Final _Anterior &gt; 0</f>
        <v>1</v>
      </c>
      <c r="Q157" s="98"/>
      <c r="R157" s="84">
        <f ca="1" xml:space="preserve"> T_AutoYSeguroMulti!_Pago.Fijo + T_SeguroAnual!__Pago_Fijo</f>
        <v>12689.724443555469</v>
      </c>
      <c r="S157" s="84">
        <f ca="1" xml:space="preserve"> T_AutoYSeguroMulti!__Capital + T_SeguroAnual!__Capital</f>
        <v>0</v>
      </c>
      <c r="T157" s="84">
        <f t="shared" ca="1" si="19"/>
        <v>12689.724443555469</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x14ac:dyDescent="0.3">
      <c r="D158" s="619">
        <v>140</v>
      </c>
      <c r="F158" s="18">
        <f ca="1" xml:space="preserve"> ( __Saldo_Final _Anterior + T_SeguroAnual!__Saldo_Ciclico ) * ( __Stopper_Saldo_Inicial )</f>
        <v>7.2759576141834259E-12</v>
      </c>
      <c r="G158" s="83">
        <f ca="1">MIN( CHOOSE(i.Opcion.Abono, __Capital_Opcion_1, __Capital_Opcion_2, __Capital_Opcion_3) _Actual, __Saldo_Inicial _Actual)</f>
        <v>0</v>
      </c>
      <c r="H158" s="83">
        <f t="shared" ca="1" si="14"/>
        <v>2.6072181450823943E-15</v>
      </c>
      <c r="I158" s="84">
        <f ca="1">T_AutoYSeguroMulti!__Dias_Interes_Periodo</f>
        <v>30</v>
      </c>
      <c r="J158" s="84">
        <f t="shared" ca="1" si="15"/>
        <v>7.8216544352471822E-14</v>
      </c>
      <c r="K158" s="84">
        <f t="shared" ca="1" si="16"/>
        <v>9.3859853222966188E-15</v>
      </c>
      <c r="L158" s="83">
        <f t="shared" ca="1" si="17"/>
        <v>8.7602529674768438E-14</v>
      </c>
      <c r="M158" s="646">
        <f>INDEX(TablaCliente!_CapturaAbonoAnticipadoTablaCliente,__Amortizacion)</f>
        <v>0</v>
      </c>
      <c r="N158" s="84">
        <f t="shared" ca="1" si="18"/>
        <v>7.2759576141834259E-12</v>
      </c>
      <c r="P158" s="618" t="b">
        <f ca="1">__Saldo_Final _Anterior &gt; 0</f>
        <v>1</v>
      </c>
      <c r="Q158" s="98"/>
      <c r="R158" s="84">
        <f ca="1" xml:space="preserve"> T_AutoYSeguroMulti!_Pago.Fijo + T_SeguroAnual!__Pago_Fijo</f>
        <v>12689.724443555469</v>
      </c>
      <c r="S158" s="84">
        <f ca="1" xml:space="preserve"> T_AutoYSeguroMulti!__Capital + T_SeguroAnual!__Capital</f>
        <v>0</v>
      </c>
      <c r="T158" s="84">
        <f t="shared" ca="1" si="19"/>
        <v>12689.724443555469</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x14ac:dyDescent="0.3">
      <c r="D159" s="619">
        <v>141</v>
      </c>
      <c r="F159" s="18">
        <f ca="1" xml:space="preserve"> ( __Saldo_Final _Anterior + T_SeguroAnual!__Saldo_Ciclico ) * ( __Stopper_Saldo_Inicial )</f>
        <v>7.2759576141834259E-12</v>
      </c>
      <c r="G159" s="83">
        <f ca="1">MIN( CHOOSE(i.Opcion.Abono, __Capital_Opcion_1, __Capital_Opcion_2, __Capital_Opcion_3) _Actual, __Saldo_Inicial _Actual)</f>
        <v>0</v>
      </c>
      <c r="H159" s="83">
        <f t="shared" ca="1" si="14"/>
        <v>2.6072181450823943E-15</v>
      </c>
      <c r="I159" s="84">
        <f ca="1">T_AutoYSeguroMulti!__Dias_Interes_Periodo</f>
        <v>30</v>
      </c>
      <c r="J159" s="84">
        <f t="shared" ca="1" si="15"/>
        <v>7.8216544352471822E-14</v>
      </c>
      <c r="K159" s="84">
        <f t="shared" ca="1" si="16"/>
        <v>9.3859853222966188E-15</v>
      </c>
      <c r="L159" s="83">
        <f t="shared" ca="1" si="17"/>
        <v>8.7602529674768438E-14</v>
      </c>
      <c r="M159" s="646">
        <f>INDEX(TablaCliente!_CapturaAbonoAnticipadoTablaCliente,__Amortizacion)</f>
        <v>0</v>
      </c>
      <c r="N159" s="84">
        <f t="shared" ca="1" si="18"/>
        <v>7.2759576141834259E-12</v>
      </c>
      <c r="P159" s="618" t="b">
        <f ca="1">__Saldo_Final _Anterior &gt; 0</f>
        <v>1</v>
      </c>
      <c r="Q159" s="98"/>
      <c r="R159" s="84">
        <f ca="1" xml:space="preserve"> T_AutoYSeguroMulti!_Pago.Fijo + T_SeguroAnual!__Pago_Fijo</f>
        <v>12689.724443555469</v>
      </c>
      <c r="S159" s="84">
        <f ca="1" xml:space="preserve"> T_AutoYSeguroMulti!__Capital + T_SeguroAnual!__Capital</f>
        <v>0</v>
      </c>
      <c r="T159" s="84">
        <f t="shared" ca="1" si="19"/>
        <v>12689.724443555469</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x14ac:dyDescent="0.3">
      <c r="D160" s="619">
        <v>142</v>
      </c>
      <c r="F160" s="18">
        <f ca="1" xml:space="preserve"> ( __Saldo_Final _Anterior + T_SeguroAnual!__Saldo_Ciclico ) * ( __Stopper_Saldo_Inicial )</f>
        <v>7.2759576141834259E-12</v>
      </c>
      <c r="G160" s="83">
        <f ca="1">MIN( CHOOSE(i.Opcion.Abono, __Capital_Opcion_1, __Capital_Opcion_2, __Capital_Opcion_3) _Actual, __Saldo_Inicial _Actual)</f>
        <v>0</v>
      </c>
      <c r="H160" s="83">
        <f t="shared" ca="1" si="14"/>
        <v>2.6072181450823943E-15</v>
      </c>
      <c r="I160" s="84">
        <f ca="1">T_AutoYSeguroMulti!__Dias_Interes_Periodo</f>
        <v>30</v>
      </c>
      <c r="J160" s="84">
        <f t="shared" ca="1" si="15"/>
        <v>7.8216544352471822E-14</v>
      </c>
      <c r="K160" s="84">
        <f t="shared" ca="1" si="16"/>
        <v>9.3859853222966188E-15</v>
      </c>
      <c r="L160" s="83">
        <f t="shared" ca="1" si="17"/>
        <v>8.7602529674768438E-14</v>
      </c>
      <c r="M160" s="646">
        <f>INDEX(TablaCliente!_CapturaAbonoAnticipadoTablaCliente,__Amortizacion)</f>
        <v>0</v>
      </c>
      <c r="N160" s="84">
        <f t="shared" ca="1" si="18"/>
        <v>7.2759576141834259E-12</v>
      </c>
      <c r="P160" s="618" t="b">
        <f ca="1">__Saldo_Final _Anterior &gt; 0</f>
        <v>1</v>
      </c>
      <c r="Q160" s="98"/>
      <c r="R160" s="84">
        <f ca="1" xml:space="preserve"> T_AutoYSeguroMulti!_Pago.Fijo + T_SeguroAnual!__Pago_Fijo</f>
        <v>12689.724443555469</v>
      </c>
      <c r="S160" s="84">
        <f ca="1" xml:space="preserve"> T_AutoYSeguroMulti!__Capital + T_SeguroAnual!__Capital</f>
        <v>0</v>
      </c>
      <c r="T160" s="84">
        <f t="shared" ca="1" si="19"/>
        <v>12689.724443555469</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x14ac:dyDescent="0.3">
      <c r="D161" s="619">
        <v>143</v>
      </c>
      <c r="F161" s="18">
        <f ca="1" xml:space="preserve"> ( __Saldo_Final _Anterior + T_SeguroAnual!__Saldo_Ciclico ) * ( __Stopper_Saldo_Inicial )</f>
        <v>7.2759576141834259E-12</v>
      </c>
      <c r="G161" s="83">
        <f ca="1">MIN( CHOOSE(i.Opcion.Abono, __Capital_Opcion_1, __Capital_Opcion_2, __Capital_Opcion_3) _Actual, __Saldo_Inicial _Actual)</f>
        <v>0</v>
      </c>
      <c r="H161" s="83">
        <f t="shared" ca="1" si="14"/>
        <v>2.6072181450823943E-15</v>
      </c>
      <c r="I161" s="84">
        <f ca="1">T_AutoYSeguroMulti!__Dias_Interes_Periodo</f>
        <v>30</v>
      </c>
      <c r="J161" s="84">
        <f t="shared" ca="1" si="15"/>
        <v>7.8216544352471822E-14</v>
      </c>
      <c r="K161" s="84">
        <f t="shared" ca="1" si="16"/>
        <v>9.3859853222966188E-15</v>
      </c>
      <c r="L161" s="83">
        <f t="shared" ca="1" si="17"/>
        <v>8.7602529674768438E-14</v>
      </c>
      <c r="M161" s="646">
        <f>INDEX(TablaCliente!_CapturaAbonoAnticipadoTablaCliente,__Amortizacion)</f>
        <v>0</v>
      </c>
      <c r="N161" s="84">
        <f t="shared" ca="1" si="18"/>
        <v>7.2759576141834259E-12</v>
      </c>
      <c r="P161" s="618" t="b">
        <f ca="1">__Saldo_Final _Anterior &gt; 0</f>
        <v>1</v>
      </c>
      <c r="Q161" s="98"/>
      <c r="R161" s="84">
        <f ca="1" xml:space="preserve"> T_AutoYSeguroMulti!_Pago.Fijo + T_SeguroAnual!__Pago_Fijo</f>
        <v>12689.724443555469</v>
      </c>
      <c r="S161" s="84">
        <f ca="1" xml:space="preserve"> T_AutoYSeguroMulti!__Capital + T_SeguroAnual!__Capital</f>
        <v>0</v>
      </c>
      <c r="T161" s="84">
        <f t="shared" ca="1" si="19"/>
        <v>12689.724443555469</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x14ac:dyDescent="0.3">
      <c r="D162" s="619">
        <v>144</v>
      </c>
      <c r="F162" s="18">
        <f ca="1" xml:space="preserve"> ( __Saldo_Final _Anterior + T_SeguroAnual!__Saldo_Ciclico ) * ( __Stopper_Saldo_Inicial )</f>
        <v>7.2759576141834259E-12</v>
      </c>
      <c r="G162" s="83">
        <f ca="1">MIN( CHOOSE(i.Opcion.Abono, __Capital_Opcion_1, __Capital_Opcion_2, __Capital_Opcion_3) _Actual, __Saldo_Inicial _Actual)</f>
        <v>0</v>
      </c>
      <c r="H162" s="83">
        <f t="shared" ca="1" si="14"/>
        <v>2.6072181450823943E-15</v>
      </c>
      <c r="I162" s="84">
        <f ca="1">T_AutoYSeguroMulti!__Dias_Interes_Periodo</f>
        <v>30</v>
      </c>
      <c r="J162" s="84">
        <f t="shared" ca="1" si="15"/>
        <v>7.8216544352471822E-14</v>
      </c>
      <c r="K162" s="84">
        <f t="shared" ca="1" si="16"/>
        <v>9.3859853222966188E-15</v>
      </c>
      <c r="L162" s="83">
        <f t="shared" ca="1" si="17"/>
        <v>8.7602529674768438E-14</v>
      </c>
      <c r="M162" s="646">
        <f>INDEX(TablaCliente!_CapturaAbonoAnticipadoTablaCliente,__Amortizacion)</f>
        <v>0</v>
      </c>
      <c r="N162" s="84">
        <f t="shared" ca="1" si="18"/>
        <v>7.2759576141834259E-12</v>
      </c>
      <c r="P162" s="618" t="b">
        <f ca="1">__Saldo_Final _Anterior &gt; 0</f>
        <v>1</v>
      </c>
      <c r="Q162" s="98"/>
      <c r="R162" s="84">
        <f ca="1" xml:space="preserve"> T_AutoYSeguroMulti!_Pago.Fijo + T_SeguroAnual!__Pago_Fijo</f>
        <v>12689.724443555469</v>
      </c>
      <c r="S162" s="84">
        <f ca="1" xml:space="preserve"> T_AutoYSeguroMulti!__Capital + T_SeguroAnual!__Capital</f>
        <v>0</v>
      </c>
      <c r="T162" s="84">
        <f t="shared" ca="1" si="19"/>
        <v>12689.724443555469</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x14ac:dyDescent="0.3">
      <c r="D163" s="619">
        <v>145</v>
      </c>
      <c r="F163" s="18">
        <f ca="1" xml:space="preserve"> ( __Saldo_Final _Anterior + T_SeguroAnual!__Saldo_Ciclico ) * ( __Stopper_Saldo_Inicial )</f>
        <v>7.2759576141834259E-12</v>
      </c>
      <c r="G163" s="83">
        <f ca="1">MIN( CHOOSE(i.Opcion.Abono, __Capital_Opcion_1, __Capital_Opcion_2, __Capital_Opcion_3) _Actual, __Saldo_Inicial _Actual)</f>
        <v>0</v>
      </c>
      <c r="H163" s="83">
        <f t="shared" ca="1" si="14"/>
        <v>2.6072181450823943E-15</v>
      </c>
      <c r="I163" s="84">
        <f ca="1">T_AutoYSeguroMulti!__Dias_Interes_Periodo</f>
        <v>30</v>
      </c>
      <c r="J163" s="84">
        <f t="shared" ca="1" si="15"/>
        <v>7.8216544352471822E-14</v>
      </c>
      <c r="K163" s="84">
        <f t="shared" ca="1" si="16"/>
        <v>9.3859853222966188E-15</v>
      </c>
      <c r="L163" s="83">
        <f t="shared" ca="1" si="17"/>
        <v>8.7602529674768438E-14</v>
      </c>
      <c r="M163" s="646">
        <f>INDEX(TablaCliente!_CapturaAbonoAnticipadoTablaCliente,__Amortizacion)</f>
        <v>0</v>
      </c>
      <c r="N163" s="84">
        <f t="shared" ca="1" si="18"/>
        <v>7.2759576141834259E-12</v>
      </c>
      <c r="P163" s="618" t="b">
        <f ca="1">__Saldo_Final _Anterior &gt; 0</f>
        <v>1</v>
      </c>
      <c r="Q163" s="98"/>
      <c r="R163" s="84">
        <f ca="1" xml:space="preserve"> T_AutoYSeguroMulti!_Pago.Fijo + T_SeguroAnual!__Pago_Fijo</f>
        <v>12689.724443555469</v>
      </c>
      <c r="S163" s="84">
        <f ca="1" xml:space="preserve"> T_AutoYSeguroMulti!__Capital + T_SeguroAnual!__Capital</f>
        <v>0</v>
      </c>
      <c r="T163" s="84">
        <f t="shared" ca="1" si="19"/>
        <v>12689.724443555469</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x14ac:dyDescent="0.3">
      <c r="D164" s="619">
        <v>146</v>
      </c>
      <c r="F164" s="18">
        <f ca="1" xml:space="preserve"> ( __Saldo_Final _Anterior + T_SeguroAnual!__Saldo_Ciclico ) * ( __Stopper_Saldo_Inicial )</f>
        <v>7.2759576141834259E-12</v>
      </c>
      <c r="G164" s="83">
        <f ca="1">MIN( CHOOSE(i.Opcion.Abono, __Capital_Opcion_1, __Capital_Opcion_2, __Capital_Opcion_3) _Actual, __Saldo_Inicial _Actual)</f>
        <v>0</v>
      </c>
      <c r="H164" s="83">
        <f t="shared" ca="1" si="14"/>
        <v>2.6072181450823943E-15</v>
      </c>
      <c r="I164" s="84">
        <f ca="1">T_AutoYSeguroMulti!__Dias_Interes_Periodo</f>
        <v>30</v>
      </c>
      <c r="J164" s="84">
        <f t="shared" ca="1" si="15"/>
        <v>7.8216544352471822E-14</v>
      </c>
      <c r="K164" s="84">
        <f t="shared" ca="1" si="16"/>
        <v>9.3859853222966188E-15</v>
      </c>
      <c r="L164" s="83">
        <f t="shared" ca="1" si="17"/>
        <v>8.7602529674768438E-14</v>
      </c>
      <c r="M164" s="646">
        <f>INDEX(TablaCliente!_CapturaAbonoAnticipadoTablaCliente,__Amortizacion)</f>
        <v>0</v>
      </c>
      <c r="N164" s="84">
        <f t="shared" ca="1" si="18"/>
        <v>7.2759576141834259E-12</v>
      </c>
      <c r="P164" s="618" t="b">
        <f ca="1">__Saldo_Final _Anterior &gt; 0</f>
        <v>1</v>
      </c>
      <c r="Q164" s="98"/>
      <c r="R164" s="84">
        <f ca="1" xml:space="preserve"> T_AutoYSeguroMulti!_Pago.Fijo + T_SeguroAnual!__Pago_Fijo</f>
        <v>12689.724443555469</v>
      </c>
      <c r="S164" s="84">
        <f ca="1" xml:space="preserve"> T_AutoYSeguroMulti!__Capital + T_SeguroAnual!__Capital</f>
        <v>0</v>
      </c>
      <c r="T164" s="84">
        <f t="shared" ca="1" si="19"/>
        <v>12689.724443555469</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x14ac:dyDescent="0.3">
      <c r="D165" s="619">
        <v>147</v>
      </c>
      <c r="F165" s="18">
        <f ca="1" xml:space="preserve"> ( __Saldo_Final _Anterior + T_SeguroAnual!__Saldo_Ciclico ) * ( __Stopper_Saldo_Inicial )</f>
        <v>7.2759576141834259E-12</v>
      </c>
      <c r="G165" s="83">
        <f ca="1">MIN( CHOOSE(i.Opcion.Abono, __Capital_Opcion_1, __Capital_Opcion_2, __Capital_Opcion_3) _Actual, __Saldo_Inicial _Actual)</f>
        <v>0</v>
      </c>
      <c r="H165" s="83">
        <f t="shared" ca="1" si="14"/>
        <v>2.6072181450823943E-15</v>
      </c>
      <c r="I165" s="84">
        <f ca="1">T_AutoYSeguroMulti!__Dias_Interes_Periodo</f>
        <v>30</v>
      </c>
      <c r="J165" s="84">
        <f t="shared" ca="1" si="15"/>
        <v>7.8216544352471822E-14</v>
      </c>
      <c r="K165" s="84">
        <f t="shared" ca="1" si="16"/>
        <v>9.3859853222966188E-15</v>
      </c>
      <c r="L165" s="83">
        <f t="shared" ca="1" si="17"/>
        <v>8.7602529674768438E-14</v>
      </c>
      <c r="M165" s="646">
        <f>INDEX(TablaCliente!_CapturaAbonoAnticipadoTablaCliente,__Amortizacion)</f>
        <v>0</v>
      </c>
      <c r="N165" s="84">
        <f t="shared" ca="1" si="18"/>
        <v>7.2759576141834259E-12</v>
      </c>
      <c r="P165" s="618" t="b">
        <f ca="1">__Saldo_Final _Anterior &gt; 0</f>
        <v>1</v>
      </c>
      <c r="Q165" s="98"/>
      <c r="R165" s="84">
        <f ca="1" xml:space="preserve"> T_AutoYSeguroMulti!_Pago.Fijo + T_SeguroAnual!__Pago_Fijo</f>
        <v>12689.724443555469</v>
      </c>
      <c r="S165" s="84">
        <f ca="1" xml:space="preserve"> T_AutoYSeguroMulti!__Capital + T_SeguroAnual!__Capital</f>
        <v>0</v>
      </c>
      <c r="T165" s="84">
        <f t="shared" ca="1" si="19"/>
        <v>12689.724443555469</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x14ac:dyDescent="0.3">
      <c r="D166" s="619">
        <v>148</v>
      </c>
      <c r="F166" s="18">
        <f ca="1" xml:space="preserve"> ( __Saldo_Final _Anterior + T_SeguroAnual!__Saldo_Ciclico ) * ( __Stopper_Saldo_Inicial )</f>
        <v>7.2759576141834259E-12</v>
      </c>
      <c r="G166" s="83">
        <f ca="1">MIN( CHOOSE(i.Opcion.Abono, __Capital_Opcion_1, __Capital_Opcion_2, __Capital_Opcion_3) _Actual, __Saldo_Inicial _Actual)</f>
        <v>0</v>
      </c>
      <c r="H166" s="83">
        <f t="shared" ca="1" si="14"/>
        <v>2.6072181450823943E-15</v>
      </c>
      <c r="I166" s="84">
        <f ca="1">T_AutoYSeguroMulti!__Dias_Interes_Periodo</f>
        <v>30</v>
      </c>
      <c r="J166" s="84">
        <f t="shared" ca="1" si="15"/>
        <v>7.8216544352471822E-14</v>
      </c>
      <c r="K166" s="84">
        <f t="shared" ca="1" si="16"/>
        <v>9.3859853222966188E-15</v>
      </c>
      <c r="L166" s="83">
        <f t="shared" ca="1" si="17"/>
        <v>8.7602529674768438E-14</v>
      </c>
      <c r="M166" s="646">
        <f>INDEX(TablaCliente!_CapturaAbonoAnticipadoTablaCliente,__Amortizacion)</f>
        <v>0</v>
      </c>
      <c r="N166" s="84">
        <f t="shared" ca="1" si="18"/>
        <v>7.2759576141834259E-12</v>
      </c>
      <c r="P166" s="618" t="b">
        <f ca="1">__Saldo_Final _Anterior &gt; 0</f>
        <v>1</v>
      </c>
      <c r="Q166" s="98"/>
      <c r="R166" s="84">
        <f ca="1" xml:space="preserve"> T_AutoYSeguroMulti!_Pago.Fijo + T_SeguroAnual!__Pago_Fijo</f>
        <v>12689.724443555469</v>
      </c>
      <c r="S166" s="84">
        <f ca="1" xml:space="preserve"> T_AutoYSeguroMulti!__Capital + T_SeguroAnual!__Capital</f>
        <v>0</v>
      </c>
      <c r="T166" s="84">
        <f t="shared" ca="1" si="19"/>
        <v>12689.724443555469</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x14ac:dyDescent="0.3">
      <c r="D167" s="619">
        <v>149</v>
      </c>
      <c r="F167" s="18">
        <f ca="1" xml:space="preserve"> ( __Saldo_Final _Anterior + T_SeguroAnual!__Saldo_Ciclico ) * ( __Stopper_Saldo_Inicial )</f>
        <v>7.2759576141834259E-12</v>
      </c>
      <c r="G167" s="83">
        <f ca="1">MIN( CHOOSE(i.Opcion.Abono, __Capital_Opcion_1, __Capital_Opcion_2, __Capital_Opcion_3) _Actual, __Saldo_Inicial _Actual)</f>
        <v>0</v>
      </c>
      <c r="H167" s="83">
        <f t="shared" ca="1" si="14"/>
        <v>2.6072181450823943E-15</v>
      </c>
      <c r="I167" s="84">
        <f ca="1">T_AutoYSeguroMulti!__Dias_Interes_Periodo</f>
        <v>30</v>
      </c>
      <c r="J167" s="84">
        <f t="shared" ca="1" si="15"/>
        <v>7.8216544352471822E-14</v>
      </c>
      <c r="K167" s="84">
        <f t="shared" ca="1" si="16"/>
        <v>9.3859853222966188E-15</v>
      </c>
      <c r="L167" s="83">
        <f t="shared" ca="1" si="17"/>
        <v>8.7602529674768438E-14</v>
      </c>
      <c r="M167" s="646">
        <f>INDEX(TablaCliente!_CapturaAbonoAnticipadoTablaCliente,__Amortizacion)</f>
        <v>0</v>
      </c>
      <c r="N167" s="84">
        <f t="shared" ca="1" si="18"/>
        <v>7.2759576141834259E-12</v>
      </c>
      <c r="P167" s="618" t="b">
        <f ca="1">__Saldo_Final _Anterior &gt; 0</f>
        <v>1</v>
      </c>
      <c r="Q167" s="98"/>
      <c r="R167" s="84">
        <f ca="1" xml:space="preserve"> T_AutoYSeguroMulti!_Pago.Fijo + T_SeguroAnual!__Pago_Fijo</f>
        <v>12689.724443555469</v>
      </c>
      <c r="S167" s="84">
        <f ca="1" xml:space="preserve"> T_AutoYSeguroMulti!__Capital + T_SeguroAnual!__Capital</f>
        <v>0</v>
      </c>
      <c r="T167" s="84">
        <f t="shared" ca="1" si="19"/>
        <v>12689.724443555469</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x14ac:dyDescent="0.3">
      <c r="D168" s="619">
        <v>150</v>
      </c>
      <c r="F168" s="18">
        <f ca="1" xml:space="preserve"> ( __Saldo_Final _Anterior + T_SeguroAnual!__Saldo_Ciclico ) * ( __Stopper_Saldo_Inicial )</f>
        <v>7.2759576141834259E-12</v>
      </c>
      <c r="G168" s="83">
        <f ca="1">MIN( CHOOSE(i.Opcion.Abono, __Capital_Opcion_1, __Capital_Opcion_2, __Capital_Opcion_3) _Actual, __Saldo_Inicial _Actual)</f>
        <v>0</v>
      </c>
      <c r="H168" s="83">
        <f t="shared" ca="1" si="14"/>
        <v>2.6072181450823943E-15</v>
      </c>
      <c r="I168" s="84">
        <f ca="1">T_AutoYSeguroMulti!__Dias_Interes_Periodo</f>
        <v>30</v>
      </c>
      <c r="J168" s="84">
        <f t="shared" ca="1" si="15"/>
        <v>7.8216544352471822E-14</v>
      </c>
      <c r="K168" s="84">
        <f t="shared" ca="1" si="16"/>
        <v>9.3859853222966188E-15</v>
      </c>
      <c r="L168" s="83">
        <f t="shared" ca="1" si="17"/>
        <v>8.7602529674768438E-14</v>
      </c>
      <c r="M168" s="646">
        <f>INDEX(TablaCliente!_CapturaAbonoAnticipadoTablaCliente,__Amortizacion)</f>
        <v>0</v>
      </c>
      <c r="N168" s="84">
        <f t="shared" ca="1" si="18"/>
        <v>7.2759576141834259E-12</v>
      </c>
      <c r="P168" s="618" t="b">
        <f ca="1">__Saldo_Final _Anterior &gt; 0</f>
        <v>1</v>
      </c>
      <c r="Q168" s="98"/>
      <c r="R168" s="84">
        <f ca="1" xml:space="preserve"> T_AutoYSeguroMulti!_Pago.Fijo + T_SeguroAnual!__Pago_Fijo</f>
        <v>12689.724443555469</v>
      </c>
      <c r="S168" s="84">
        <f ca="1" xml:space="preserve"> T_AutoYSeguroMulti!__Capital + T_SeguroAnual!__Capital</f>
        <v>0</v>
      </c>
      <c r="T168" s="84">
        <f t="shared" ca="1" si="19"/>
        <v>12689.724443555469</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x14ac:dyDescent="0.3">
      <c r="D169" s="619">
        <v>151</v>
      </c>
      <c r="F169" s="18">
        <f ca="1" xml:space="preserve"> ( __Saldo_Final _Anterior + T_SeguroAnual!__Saldo_Ciclico ) * ( __Stopper_Saldo_Inicial )</f>
        <v>7.2759576141834259E-12</v>
      </c>
      <c r="G169" s="83">
        <f ca="1">MIN( CHOOSE(i.Opcion.Abono, __Capital_Opcion_1, __Capital_Opcion_2, __Capital_Opcion_3) _Actual, __Saldo_Inicial _Actual)</f>
        <v>0</v>
      </c>
      <c r="H169" s="83">
        <f t="shared" ca="1" si="14"/>
        <v>2.6072181450823943E-15</v>
      </c>
      <c r="I169" s="84">
        <f ca="1">T_AutoYSeguroMulti!__Dias_Interes_Periodo</f>
        <v>30</v>
      </c>
      <c r="J169" s="84">
        <f t="shared" ca="1" si="15"/>
        <v>7.8216544352471822E-14</v>
      </c>
      <c r="K169" s="84">
        <f t="shared" ca="1" si="16"/>
        <v>9.3859853222966188E-15</v>
      </c>
      <c r="L169" s="83">
        <f t="shared" ca="1" si="17"/>
        <v>8.7602529674768438E-14</v>
      </c>
      <c r="M169" s="646">
        <f>INDEX(TablaCliente!_CapturaAbonoAnticipadoTablaCliente,__Amortizacion)</f>
        <v>0</v>
      </c>
      <c r="N169" s="84">
        <f t="shared" ca="1" si="18"/>
        <v>7.2759576141834259E-12</v>
      </c>
      <c r="P169" s="618" t="b">
        <f ca="1">__Saldo_Final _Anterior &gt; 0</f>
        <v>1</v>
      </c>
      <c r="Q169" s="98"/>
      <c r="R169" s="84">
        <f ca="1" xml:space="preserve"> T_AutoYSeguroMulti!_Pago.Fijo + T_SeguroAnual!__Pago_Fijo</f>
        <v>12689.724443555469</v>
      </c>
      <c r="S169" s="84">
        <f ca="1" xml:space="preserve"> T_AutoYSeguroMulti!__Capital + T_SeguroAnual!__Capital</f>
        <v>0</v>
      </c>
      <c r="T169" s="84">
        <f t="shared" ca="1" si="19"/>
        <v>12689.724443555469</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x14ac:dyDescent="0.3">
      <c r="D170" s="619">
        <v>152</v>
      </c>
      <c r="F170" s="18">
        <f ca="1" xml:space="preserve"> ( __Saldo_Final _Anterior + T_SeguroAnual!__Saldo_Ciclico ) * ( __Stopper_Saldo_Inicial )</f>
        <v>7.2759576141834259E-12</v>
      </c>
      <c r="G170" s="83">
        <f ca="1">MIN( CHOOSE(i.Opcion.Abono, __Capital_Opcion_1, __Capital_Opcion_2, __Capital_Opcion_3) _Actual, __Saldo_Inicial _Actual)</f>
        <v>0</v>
      </c>
      <c r="H170" s="83">
        <f t="shared" ca="1" si="14"/>
        <v>2.6072181450823943E-15</v>
      </c>
      <c r="I170" s="84">
        <f ca="1">T_AutoYSeguroMulti!__Dias_Interes_Periodo</f>
        <v>30</v>
      </c>
      <c r="J170" s="84">
        <f t="shared" ca="1" si="15"/>
        <v>7.8216544352471822E-14</v>
      </c>
      <c r="K170" s="84">
        <f t="shared" ca="1" si="16"/>
        <v>9.3859853222966188E-15</v>
      </c>
      <c r="L170" s="83">
        <f t="shared" ca="1" si="17"/>
        <v>8.7602529674768438E-14</v>
      </c>
      <c r="M170" s="646">
        <f>INDEX(TablaCliente!_CapturaAbonoAnticipadoTablaCliente,__Amortizacion)</f>
        <v>0</v>
      </c>
      <c r="N170" s="84">
        <f t="shared" ca="1" si="18"/>
        <v>7.2759576141834259E-12</v>
      </c>
      <c r="P170" s="618" t="b">
        <f ca="1">__Saldo_Final _Anterior &gt; 0</f>
        <v>1</v>
      </c>
      <c r="Q170" s="98"/>
      <c r="R170" s="84">
        <f ca="1" xml:space="preserve"> T_AutoYSeguroMulti!_Pago.Fijo + T_SeguroAnual!__Pago_Fijo</f>
        <v>12689.724443555469</v>
      </c>
      <c r="S170" s="84">
        <f ca="1" xml:space="preserve"> T_AutoYSeguroMulti!__Capital + T_SeguroAnual!__Capital</f>
        <v>0</v>
      </c>
      <c r="T170" s="84">
        <f t="shared" ca="1" si="19"/>
        <v>12689.724443555469</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x14ac:dyDescent="0.3">
      <c r="D171" s="619">
        <v>153</v>
      </c>
      <c r="F171" s="18">
        <f ca="1" xml:space="preserve"> ( __Saldo_Final _Anterior + T_SeguroAnual!__Saldo_Ciclico ) * ( __Stopper_Saldo_Inicial )</f>
        <v>7.2759576141834259E-12</v>
      </c>
      <c r="G171" s="83">
        <f ca="1">MIN( CHOOSE(i.Opcion.Abono, __Capital_Opcion_1, __Capital_Opcion_2, __Capital_Opcion_3) _Actual, __Saldo_Inicial _Actual)</f>
        <v>0</v>
      </c>
      <c r="H171" s="83">
        <f t="shared" ca="1" si="14"/>
        <v>2.6072181450823943E-15</v>
      </c>
      <c r="I171" s="84">
        <f ca="1">T_AutoYSeguroMulti!__Dias_Interes_Periodo</f>
        <v>30</v>
      </c>
      <c r="J171" s="84">
        <f t="shared" ca="1" si="15"/>
        <v>7.8216544352471822E-14</v>
      </c>
      <c r="K171" s="84">
        <f t="shared" ca="1" si="16"/>
        <v>9.3859853222966188E-15</v>
      </c>
      <c r="L171" s="83">
        <f t="shared" ca="1" si="17"/>
        <v>8.7602529674768438E-14</v>
      </c>
      <c r="M171" s="646">
        <f>INDEX(TablaCliente!_CapturaAbonoAnticipadoTablaCliente,__Amortizacion)</f>
        <v>0</v>
      </c>
      <c r="N171" s="84">
        <f t="shared" ca="1" si="18"/>
        <v>7.2759576141834259E-12</v>
      </c>
      <c r="P171" s="618" t="b">
        <f ca="1">__Saldo_Final _Anterior &gt; 0</f>
        <v>1</v>
      </c>
      <c r="Q171" s="98"/>
      <c r="R171" s="84">
        <f ca="1" xml:space="preserve"> T_AutoYSeguroMulti!_Pago.Fijo + T_SeguroAnual!__Pago_Fijo</f>
        <v>12689.724443555469</v>
      </c>
      <c r="S171" s="84">
        <f ca="1" xml:space="preserve"> T_AutoYSeguroMulti!__Capital + T_SeguroAnual!__Capital</f>
        <v>0</v>
      </c>
      <c r="T171" s="84">
        <f t="shared" ca="1" si="19"/>
        <v>12689.724443555469</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x14ac:dyDescent="0.3">
      <c r="D172" s="619">
        <v>154</v>
      </c>
      <c r="F172" s="18">
        <f ca="1" xml:space="preserve"> ( __Saldo_Final _Anterior + T_SeguroAnual!__Saldo_Ciclico ) * ( __Stopper_Saldo_Inicial )</f>
        <v>7.2759576141834259E-12</v>
      </c>
      <c r="G172" s="83">
        <f ca="1">MIN( CHOOSE(i.Opcion.Abono, __Capital_Opcion_1, __Capital_Opcion_2, __Capital_Opcion_3) _Actual, __Saldo_Inicial _Actual)</f>
        <v>0</v>
      </c>
      <c r="H172" s="83">
        <f t="shared" ca="1" si="14"/>
        <v>2.6072181450823943E-15</v>
      </c>
      <c r="I172" s="84">
        <f ca="1">T_AutoYSeguroMulti!__Dias_Interes_Periodo</f>
        <v>30</v>
      </c>
      <c r="J172" s="84">
        <f t="shared" ca="1" si="15"/>
        <v>7.8216544352471822E-14</v>
      </c>
      <c r="K172" s="84">
        <f t="shared" ca="1" si="16"/>
        <v>9.3859853222966188E-15</v>
      </c>
      <c r="L172" s="83">
        <f t="shared" ca="1" si="17"/>
        <v>8.7602529674768438E-14</v>
      </c>
      <c r="M172" s="646">
        <f>INDEX(TablaCliente!_CapturaAbonoAnticipadoTablaCliente,__Amortizacion)</f>
        <v>0</v>
      </c>
      <c r="N172" s="84">
        <f t="shared" ca="1" si="18"/>
        <v>7.2759576141834259E-12</v>
      </c>
      <c r="P172" s="618" t="b">
        <f ca="1">__Saldo_Final _Anterior &gt; 0</f>
        <v>1</v>
      </c>
      <c r="Q172" s="98"/>
      <c r="R172" s="84">
        <f ca="1" xml:space="preserve"> T_AutoYSeguroMulti!_Pago.Fijo + T_SeguroAnual!__Pago_Fijo</f>
        <v>12689.724443555469</v>
      </c>
      <c r="S172" s="84">
        <f ca="1" xml:space="preserve"> T_AutoYSeguroMulti!__Capital + T_SeguroAnual!__Capital</f>
        <v>0</v>
      </c>
      <c r="T172" s="84">
        <f t="shared" ca="1" si="19"/>
        <v>12689.724443555469</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x14ac:dyDescent="0.3">
      <c r="D173" s="619">
        <v>155</v>
      </c>
      <c r="F173" s="18">
        <f ca="1" xml:space="preserve"> ( __Saldo_Final _Anterior + T_SeguroAnual!__Saldo_Ciclico ) * ( __Stopper_Saldo_Inicial )</f>
        <v>7.2759576141834259E-12</v>
      </c>
      <c r="G173" s="83">
        <f ca="1">MIN( CHOOSE(i.Opcion.Abono, __Capital_Opcion_1, __Capital_Opcion_2, __Capital_Opcion_3) _Actual, __Saldo_Inicial _Actual)</f>
        <v>0</v>
      </c>
      <c r="H173" s="83">
        <f t="shared" ca="1" si="14"/>
        <v>2.6072181450823943E-15</v>
      </c>
      <c r="I173" s="84">
        <f ca="1">T_AutoYSeguroMulti!__Dias_Interes_Periodo</f>
        <v>30</v>
      </c>
      <c r="J173" s="84">
        <f t="shared" ca="1" si="15"/>
        <v>7.8216544352471822E-14</v>
      </c>
      <c r="K173" s="84">
        <f t="shared" ca="1" si="16"/>
        <v>9.3859853222966188E-15</v>
      </c>
      <c r="L173" s="83">
        <f t="shared" ca="1" si="17"/>
        <v>8.7602529674768438E-14</v>
      </c>
      <c r="M173" s="646">
        <f>INDEX(TablaCliente!_CapturaAbonoAnticipadoTablaCliente,__Amortizacion)</f>
        <v>0</v>
      </c>
      <c r="N173" s="84">
        <f t="shared" ca="1" si="18"/>
        <v>7.2759576141834259E-12</v>
      </c>
      <c r="P173" s="618" t="b">
        <f ca="1">__Saldo_Final _Anterior &gt; 0</f>
        <v>1</v>
      </c>
      <c r="Q173" s="98"/>
      <c r="R173" s="84">
        <f ca="1" xml:space="preserve"> T_AutoYSeguroMulti!_Pago.Fijo + T_SeguroAnual!__Pago_Fijo</f>
        <v>12689.724443555469</v>
      </c>
      <c r="S173" s="84">
        <f ca="1" xml:space="preserve"> T_AutoYSeguroMulti!__Capital + T_SeguroAnual!__Capital</f>
        <v>0</v>
      </c>
      <c r="T173" s="84">
        <f t="shared" ca="1" si="19"/>
        <v>12689.724443555469</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x14ac:dyDescent="0.3">
      <c r="D174" s="619">
        <v>156</v>
      </c>
      <c r="F174" s="18">
        <f ca="1" xml:space="preserve"> ( __Saldo_Final _Anterior + T_SeguroAnual!__Saldo_Ciclico ) * ( __Stopper_Saldo_Inicial )</f>
        <v>7.2759576141834259E-12</v>
      </c>
      <c r="G174" s="83">
        <f ca="1">MIN( CHOOSE(i.Opcion.Abono, __Capital_Opcion_1, __Capital_Opcion_2, __Capital_Opcion_3) _Actual, __Saldo_Inicial _Actual)</f>
        <v>0</v>
      </c>
      <c r="H174" s="83">
        <f t="shared" ca="1" si="14"/>
        <v>2.6072181450823943E-15</v>
      </c>
      <c r="I174" s="84">
        <f ca="1">T_AutoYSeguroMulti!__Dias_Interes_Periodo</f>
        <v>30</v>
      </c>
      <c r="J174" s="84">
        <f t="shared" ca="1" si="15"/>
        <v>7.8216544352471822E-14</v>
      </c>
      <c r="K174" s="84">
        <f t="shared" ca="1" si="16"/>
        <v>9.3859853222966188E-15</v>
      </c>
      <c r="L174" s="83">
        <f t="shared" ca="1" si="17"/>
        <v>8.7602529674768438E-14</v>
      </c>
      <c r="M174" s="646">
        <f>INDEX(TablaCliente!_CapturaAbonoAnticipadoTablaCliente,__Amortizacion)</f>
        <v>0</v>
      </c>
      <c r="N174" s="84">
        <f t="shared" ca="1" si="18"/>
        <v>7.2759576141834259E-12</v>
      </c>
      <c r="P174" s="618" t="b">
        <f ca="1">__Saldo_Final _Anterior &gt; 0</f>
        <v>1</v>
      </c>
      <c r="Q174" s="98"/>
      <c r="R174" s="84">
        <f ca="1" xml:space="preserve"> T_AutoYSeguroMulti!_Pago.Fijo + T_SeguroAnual!__Pago_Fijo</f>
        <v>12689.724443555469</v>
      </c>
      <c r="S174" s="84">
        <f ca="1" xml:space="preserve"> T_AutoYSeguroMulti!__Capital + T_SeguroAnual!__Capital</f>
        <v>0</v>
      </c>
      <c r="T174" s="84">
        <f t="shared" ca="1" si="19"/>
        <v>12689.724443555469</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x14ac:dyDescent="0.3">
      <c r="D175" s="619">
        <v>157</v>
      </c>
      <c r="F175" s="18">
        <f ca="1" xml:space="preserve"> ( __Saldo_Final _Anterior + T_SeguroAnual!__Saldo_Ciclico ) * ( __Stopper_Saldo_Inicial )</f>
        <v>7.2759576141834259E-12</v>
      </c>
      <c r="G175" s="83">
        <f ca="1">MIN( CHOOSE(i.Opcion.Abono, __Capital_Opcion_1, __Capital_Opcion_2, __Capital_Opcion_3) _Actual, __Saldo_Inicial _Actual)</f>
        <v>0</v>
      </c>
      <c r="H175" s="83">
        <f t="shared" ca="1" si="14"/>
        <v>2.6072181450823943E-15</v>
      </c>
      <c r="I175" s="84">
        <f ca="1">T_AutoYSeguroMulti!__Dias_Interes_Periodo</f>
        <v>30</v>
      </c>
      <c r="J175" s="84">
        <f t="shared" ca="1" si="15"/>
        <v>7.8216544352471822E-14</v>
      </c>
      <c r="K175" s="84">
        <f t="shared" ca="1" si="16"/>
        <v>9.3859853222966188E-15</v>
      </c>
      <c r="L175" s="83">
        <f t="shared" ca="1" si="17"/>
        <v>8.7602529674768438E-14</v>
      </c>
      <c r="M175" s="646">
        <f>INDEX(TablaCliente!_CapturaAbonoAnticipadoTablaCliente,__Amortizacion)</f>
        <v>0</v>
      </c>
      <c r="N175" s="84">
        <f t="shared" ca="1" si="18"/>
        <v>7.2759576141834259E-12</v>
      </c>
      <c r="P175" s="618" t="b">
        <f ca="1">__Saldo_Final _Anterior &gt; 0</f>
        <v>1</v>
      </c>
      <c r="Q175" s="98"/>
      <c r="R175" s="84">
        <f ca="1" xml:space="preserve"> T_AutoYSeguroMulti!_Pago.Fijo + T_SeguroAnual!__Pago_Fijo</f>
        <v>12689.724443555469</v>
      </c>
      <c r="S175" s="84">
        <f ca="1" xml:space="preserve"> T_AutoYSeguroMulti!__Capital + T_SeguroAnual!__Capital</f>
        <v>0</v>
      </c>
      <c r="T175" s="84">
        <f t="shared" ca="1" si="19"/>
        <v>12689.724443555469</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x14ac:dyDescent="0.3">
      <c r="D176" s="619">
        <v>158</v>
      </c>
      <c r="F176" s="18">
        <f ca="1" xml:space="preserve"> ( __Saldo_Final _Anterior + T_SeguroAnual!__Saldo_Ciclico ) * ( __Stopper_Saldo_Inicial )</f>
        <v>7.2759576141834259E-12</v>
      </c>
      <c r="G176" s="83">
        <f ca="1">MIN( CHOOSE(i.Opcion.Abono, __Capital_Opcion_1, __Capital_Opcion_2, __Capital_Opcion_3) _Actual, __Saldo_Inicial _Actual)</f>
        <v>0</v>
      </c>
      <c r="H176" s="83">
        <f t="shared" ca="1" si="14"/>
        <v>2.6072181450823943E-15</v>
      </c>
      <c r="I176" s="84">
        <f ca="1">T_AutoYSeguroMulti!__Dias_Interes_Periodo</f>
        <v>30</v>
      </c>
      <c r="J176" s="84">
        <f t="shared" ca="1" si="15"/>
        <v>7.8216544352471822E-14</v>
      </c>
      <c r="K176" s="84">
        <f t="shared" ca="1" si="16"/>
        <v>9.3859853222966188E-15</v>
      </c>
      <c r="L176" s="83">
        <f t="shared" ca="1" si="17"/>
        <v>8.7602529674768438E-14</v>
      </c>
      <c r="M176" s="646">
        <f>INDEX(TablaCliente!_CapturaAbonoAnticipadoTablaCliente,__Amortizacion)</f>
        <v>0</v>
      </c>
      <c r="N176" s="84">
        <f t="shared" ca="1" si="18"/>
        <v>7.2759576141834259E-12</v>
      </c>
      <c r="P176" s="618" t="b">
        <f ca="1">__Saldo_Final _Anterior &gt; 0</f>
        <v>1</v>
      </c>
      <c r="Q176" s="98"/>
      <c r="R176" s="84">
        <f ca="1" xml:space="preserve"> T_AutoYSeguroMulti!_Pago.Fijo + T_SeguroAnual!__Pago_Fijo</f>
        <v>12689.724443555469</v>
      </c>
      <c r="S176" s="84">
        <f ca="1" xml:space="preserve"> T_AutoYSeguroMulti!__Capital + T_SeguroAnual!__Capital</f>
        <v>0</v>
      </c>
      <c r="T176" s="84">
        <f t="shared" ca="1" si="19"/>
        <v>12689.724443555469</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x14ac:dyDescent="0.3">
      <c r="D177" s="619">
        <v>159</v>
      </c>
      <c r="F177" s="18">
        <f ca="1" xml:space="preserve"> ( __Saldo_Final _Anterior + T_SeguroAnual!__Saldo_Ciclico ) * ( __Stopper_Saldo_Inicial )</f>
        <v>7.2759576141834259E-12</v>
      </c>
      <c r="G177" s="83">
        <f ca="1">MIN( CHOOSE(i.Opcion.Abono, __Capital_Opcion_1, __Capital_Opcion_2, __Capital_Opcion_3) _Actual, __Saldo_Inicial _Actual)</f>
        <v>0</v>
      </c>
      <c r="H177" s="83">
        <f t="shared" ca="1" si="14"/>
        <v>2.6072181450823943E-15</v>
      </c>
      <c r="I177" s="84">
        <f ca="1">T_AutoYSeguroMulti!__Dias_Interes_Periodo</f>
        <v>30</v>
      </c>
      <c r="J177" s="84">
        <f t="shared" ca="1" si="15"/>
        <v>7.8216544352471822E-14</v>
      </c>
      <c r="K177" s="84">
        <f t="shared" ca="1" si="16"/>
        <v>9.3859853222966188E-15</v>
      </c>
      <c r="L177" s="83">
        <f t="shared" ca="1" si="17"/>
        <v>8.7602529674768438E-14</v>
      </c>
      <c r="M177" s="646">
        <f>INDEX(TablaCliente!_CapturaAbonoAnticipadoTablaCliente,__Amortizacion)</f>
        <v>0</v>
      </c>
      <c r="N177" s="84">
        <f t="shared" ca="1" si="18"/>
        <v>7.2759576141834259E-12</v>
      </c>
      <c r="P177" s="618" t="b">
        <f ca="1">__Saldo_Final _Anterior &gt; 0</f>
        <v>1</v>
      </c>
      <c r="Q177" s="98"/>
      <c r="R177" s="84">
        <f ca="1" xml:space="preserve"> T_AutoYSeguroMulti!_Pago.Fijo + T_SeguroAnual!__Pago_Fijo</f>
        <v>12689.724443555469</v>
      </c>
      <c r="S177" s="84">
        <f ca="1" xml:space="preserve"> T_AutoYSeguroMulti!__Capital + T_SeguroAnual!__Capital</f>
        <v>0</v>
      </c>
      <c r="T177" s="84">
        <f t="shared" ca="1" si="19"/>
        <v>12689.724443555469</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x14ac:dyDescent="0.3">
      <c r="D178" s="619">
        <v>160</v>
      </c>
      <c r="F178" s="18">
        <f ca="1" xml:space="preserve"> ( __Saldo_Final _Anterior + T_SeguroAnual!__Saldo_Ciclico ) * ( __Stopper_Saldo_Inicial )</f>
        <v>7.2759576141834259E-12</v>
      </c>
      <c r="G178" s="83">
        <f ca="1">MIN( CHOOSE(i.Opcion.Abono, __Capital_Opcion_1, __Capital_Opcion_2, __Capital_Opcion_3) _Actual, __Saldo_Inicial _Actual)</f>
        <v>0</v>
      </c>
      <c r="H178" s="83">
        <f t="shared" ca="1" si="14"/>
        <v>2.6072181450823943E-15</v>
      </c>
      <c r="I178" s="84">
        <f ca="1">T_AutoYSeguroMulti!__Dias_Interes_Periodo</f>
        <v>30</v>
      </c>
      <c r="J178" s="84">
        <f t="shared" ca="1" si="15"/>
        <v>7.8216544352471822E-14</v>
      </c>
      <c r="K178" s="84">
        <f t="shared" ca="1" si="16"/>
        <v>9.3859853222966188E-15</v>
      </c>
      <c r="L178" s="83">
        <f t="shared" ca="1" si="17"/>
        <v>8.7602529674768438E-14</v>
      </c>
      <c r="M178" s="646">
        <f>INDEX(TablaCliente!_CapturaAbonoAnticipadoTablaCliente,__Amortizacion)</f>
        <v>0</v>
      </c>
      <c r="N178" s="84">
        <f t="shared" ca="1" si="18"/>
        <v>7.2759576141834259E-12</v>
      </c>
      <c r="P178" s="618" t="b">
        <f ca="1">__Saldo_Final _Anterior &gt; 0</f>
        <v>1</v>
      </c>
      <c r="Q178" s="98"/>
      <c r="R178" s="84">
        <f ca="1" xml:space="preserve"> T_AutoYSeguroMulti!_Pago.Fijo + T_SeguroAnual!__Pago_Fijo</f>
        <v>12689.724443555469</v>
      </c>
      <c r="S178" s="84">
        <f ca="1" xml:space="preserve"> T_AutoYSeguroMulti!__Capital + T_SeguroAnual!__Capital</f>
        <v>0</v>
      </c>
      <c r="T178" s="84">
        <f t="shared" ca="1" si="19"/>
        <v>12689.724443555469</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x14ac:dyDescent="0.3">
      <c r="D179" s="619">
        <v>161</v>
      </c>
      <c r="F179" s="18">
        <f ca="1" xml:space="preserve"> ( __Saldo_Final _Anterior + T_SeguroAnual!__Saldo_Ciclico ) * ( __Stopper_Saldo_Inicial )</f>
        <v>7.2759576141834259E-12</v>
      </c>
      <c r="G179" s="83">
        <f ca="1">MIN( CHOOSE(i.Opcion.Abono, __Capital_Opcion_1, __Capital_Opcion_2, __Capital_Opcion_3) _Actual, __Saldo_Inicial _Actual)</f>
        <v>0</v>
      </c>
      <c r="H179" s="83">
        <f t="shared" ca="1" si="14"/>
        <v>2.6072181450823943E-15</v>
      </c>
      <c r="I179" s="84">
        <f ca="1">T_AutoYSeguroMulti!__Dias_Interes_Periodo</f>
        <v>30</v>
      </c>
      <c r="J179" s="84">
        <f t="shared" ca="1" si="15"/>
        <v>7.8216544352471822E-14</v>
      </c>
      <c r="K179" s="84">
        <f t="shared" ca="1" si="16"/>
        <v>9.3859853222966188E-15</v>
      </c>
      <c r="L179" s="83">
        <f t="shared" ca="1" si="17"/>
        <v>8.7602529674768438E-14</v>
      </c>
      <c r="M179" s="646">
        <f>INDEX(TablaCliente!_CapturaAbonoAnticipadoTablaCliente,__Amortizacion)</f>
        <v>0</v>
      </c>
      <c r="N179" s="84">
        <f t="shared" ca="1" si="18"/>
        <v>7.2759576141834259E-12</v>
      </c>
      <c r="P179" s="618" t="b">
        <f ca="1">__Saldo_Final _Anterior &gt; 0</f>
        <v>1</v>
      </c>
      <c r="Q179" s="98"/>
      <c r="R179" s="84">
        <f ca="1" xml:space="preserve"> T_AutoYSeguroMulti!_Pago.Fijo + T_SeguroAnual!__Pago_Fijo</f>
        <v>12689.724443555469</v>
      </c>
      <c r="S179" s="84">
        <f ca="1" xml:space="preserve"> T_AutoYSeguroMulti!__Capital + T_SeguroAnual!__Capital</f>
        <v>0</v>
      </c>
      <c r="T179" s="84">
        <f t="shared" ca="1" si="19"/>
        <v>12689.724443555469</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x14ac:dyDescent="0.3">
      <c r="D180" s="619">
        <v>162</v>
      </c>
      <c r="F180" s="18">
        <f ca="1" xml:space="preserve"> ( __Saldo_Final _Anterior + T_SeguroAnual!__Saldo_Ciclico ) * ( __Stopper_Saldo_Inicial )</f>
        <v>7.2759576141834259E-12</v>
      </c>
      <c r="G180" s="83">
        <f ca="1">MIN( CHOOSE(i.Opcion.Abono, __Capital_Opcion_1, __Capital_Opcion_2, __Capital_Opcion_3) _Actual, __Saldo_Inicial _Actual)</f>
        <v>0</v>
      </c>
      <c r="H180" s="83">
        <f t="shared" ca="1" si="14"/>
        <v>2.6072181450823943E-15</v>
      </c>
      <c r="I180" s="84">
        <f ca="1">T_AutoYSeguroMulti!__Dias_Interes_Periodo</f>
        <v>30</v>
      </c>
      <c r="J180" s="84">
        <f t="shared" ca="1" si="15"/>
        <v>7.8216544352471822E-14</v>
      </c>
      <c r="K180" s="84">
        <f t="shared" ca="1" si="16"/>
        <v>9.3859853222966188E-15</v>
      </c>
      <c r="L180" s="83">
        <f t="shared" ca="1" si="17"/>
        <v>8.7602529674768438E-14</v>
      </c>
      <c r="M180" s="646">
        <f>INDEX(TablaCliente!_CapturaAbonoAnticipadoTablaCliente,__Amortizacion)</f>
        <v>0</v>
      </c>
      <c r="N180" s="84">
        <f t="shared" ca="1" si="18"/>
        <v>7.2759576141834259E-12</v>
      </c>
      <c r="P180" s="618" t="b">
        <f ca="1">__Saldo_Final _Anterior &gt; 0</f>
        <v>1</v>
      </c>
      <c r="Q180" s="98"/>
      <c r="R180" s="84">
        <f ca="1" xml:space="preserve"> T_AutoYSeguroMulti!_Pago.Fijo + T_SeguroAnual!__Pago_Fijo</f>
        <v>12689.724443555469</v>
      </c>
      <c r="S180" s="84">
        <f ca="1" xml:space="preserve"> T_AutoYSeguroMulti!__Capital + T_SeguroAnual!__Capital</f>
        <v>0</v>
      </c>
      <c r="T180" s="84">
        <f t="shared" ca="1" si="19"/>
        <v>12689.724443555469</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x14ac:dyDescent="0.3">
      <c r="D181" s="619">
        <v>163</v>
      </c>
      <c r="F181" s="18">
        <f ca="1" xml:space="preserve"> ( __Saldo_Final _Anterior + T_SeguroAnual!__Saldo_Ciclico ) * ( __Stopper_Saldo_Inicial )</f>
        <v>7.2759576141834259E-12</v>
      </c>
      <c r="G181" s="83">
        <f ca="1">MIN( CHOOSE(i.Opcion.Abono, __Capital_Opcion_1, __Capital_Opcion_2, __Capital_Opcion_3) _Actual, __Saldo_Inicial _Actual)</f>
        <v>0</v>
      </c>
      <c r="H181" s="83">
        <f t="shared" ca="1" si="14"/>
        <v>2.6072181450823943E-15</v>
      </c>
      <c r="I181" s="84">
        <f ca="1">T_AutoYSeguroMulti!__Dias_Interes_Periodo</f>
        <v>30</v>
      </c>
      <c r="J181" s="84">
        <f t="shared" ca="1" si="15"/>
        <v>7.8216544352471822E-14</v>
      </c>
      <c r="K181" s="84">
        <f t="shared" ca="1" si="16"/>
        <v>9.3859853222966188E-15</v>
      </c>
      <c r="L181" s="83">
        <f t="shared" ca="1" si="17"/>
        <v>8.7602529674768438E-14</v>
      </c>
      <c r="M181" s="646">
        <f>INDEX(TablaCliente!_CapturaAbonoAnticipadoTablaCliente,__Amortizacion)</f>
        <v>0</v>
      </c>
      <c r="N181" s="84">
        <f t="shared" ca="1" si="18"/>
        <v>7.2759576141834259E-12</v>
      </c>
      <c r="P181" s="618" t="b">
        <f ca="1">__Saldo_Final _Anterior &gt; 0</f>
        <v>1</v>
      </c>
      <c r="Q181" s="98"/>
      <c r="R181" s="84">
        <f ca="1" xml:space="preserve"> T_AutoYSeguroMulti!_Pago.Fijo + T_SeguroAnual!__Pago_Fijo</f>
        <v>12689.724443555469</v>
      </c>
      <c r="S181" s="84">
        <f ca="1" xml:space="preserve"> T_AutoYSeguroMulti!__Capital + T_SeguroAnual!__Capital</f>
        <v>0</v>
      </c>
      <c r="T181" s="84">
        <f t="shared" ca="1" si="19"/>
        <v>12689.724443555469</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x14ac:dyDescent="0.3">
      <c r="D182" s="619">
        <v>164</v>
      </c>
      <c r="F182" s="18">
        <f ca="1" xml:space="preserve"> ( __Saldo_Final _Anterior + T_SeguroAnual!__Saldo_Ciclico ) * ( __Stopper_Saldo_Inicial )</f>
        <v>7.2759576141834259E-12</v>
      </c>
      <c r="G182" s="83">
        <f ca="1">MIN( CHOOSE(i.Opcion.Abono, __Capital_Opcion_1, __Capital_Opcion_2, __Capital_Opcion_3) _Actual, __Saldo_Inicial _Actual)</f>
        <v>0</v>
      </c>
      <c r="H182" s="83">
        <f t="shared" ca="1" si="14"/>
        <v>2.6072181450823943E-15</v>
      </c>
      <c r="I182" s="84">
        <f ca="1">T_AutoYSeguroMulti!__Dias_Interes_Periodo</f>
        <v>30</v>
      </c>
      <c r="J182" s="84">
        <f t="shared" ca="1" si="15"/>
        <v>7.8216544352471822E-14</v>
      </c>
      <c r="K182" s="84">
        <f t="shared" ca="1" si="16"/>
        <v>9.3859853222966188E-15</v>
      </c>
      <c r="L182" s="83">
        <f t="shared" ca="1" si="17"/>
        <v>8.7602529674768438E-14</v>
      </c>
      <c r="M182" s="646">
        <f>INDEX(TablaCliente!_CapturaAbonoAnticipadoTablaCliente,__Amortizacion)</f>
        <v>0</v>
      </c>
      <c r="N182" s="84">
        <f t="shared" ca="1" si="18"/>
        <v>7.2759576141834259E-12</v>
      </c>
      <c r="P182" s="618" t="b">
        <f ca="1">__Saldo_Final _Anterior &gt; 0</f>
        <v>1</v>
      </c>
      <c r="Q182" s="98"/>
      <c r="R182" s="84">
        <f ca="1" xml:space="preserve"> T_AutoYSeguroMulti!_Pago.Fijo + T_SeguroAnual!__Pago_Fijo</f>
        <v>12689.724443555469</v>
      </c>
      <c r="S182" s="84">
        <f ca="1" xml:space="preserve"> T_AutoYSeguroMulti!__Capital + T_SeguroAnual!__Capital</f>
        <v>0</v>
      </c>
      <c r="T182" s="84">
        <f t="shared" ca="1" si="19"/>
        <v>12689.724443555469</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x14ac:dyDescent="0.3">
      <c r="D183" s="619">
        <v>165</v>
      </c>
      <c r="F183" s="18">
        <f ca="1" xml:space="preserve"> ( __Saldo_Final _Anterior + T_SeguroAnual!__Saldo_Ciclico ) * ( __Stopper_Saldo_Inicial )</f>
        <v>7.2759576141834259E-12</v>
      </c>
      <c r="G183" s="83">
        <f ca="1">MIN( CHOOSE(i.Opcion.Abono, __Capital_Opcion_1, __Capital_Opcion_2, __Capital_Opcion_3) _Actual, __Saldo_Inicial _Actual)</f>
        <v>0</v>
      </c>
      <c r="H183" s="83">
        <f t="shared" ca="1" si="14"/>
        <v>2.6072181450823943E-15</v>
      </c>
      <c r="I183" s="84">
        <f ca="1">T_AutoYSeguroMulti!__Dias_Interes_Periodo</f>
        <v>30</v>
      </c>
      <c r="J183" s="84">
        <f t="shared" ca="1" si="15"/>
        <v>7.8216544352471822E-14</v>
      </c>
      <c r="K183" s="84">
        <f t="shared" ca="1" si="16"/>
        <v>9.3859853222966188E-15</v>
      </c>
      <c r="L183" s="83">
        <f t="shared" ca="1" si="17"/>
        <v>8.7602529674768438E-14</v>
      </c>
      <c r="M183" s="646">
        <f>INDEX(TablaCliente!_CapturaAbonoAnticipadoTablaCliente,__Amortizacion)</f>
        <v>0</v>
      </c>
      <c r="N183" s="84">
        <f t="shared" ca="1" si="18"/>
        <v>7.2759576141834259E-12</v>
      </c>
      <c r="P183" s="618" t="b">
        <f ca="1">__Saldo_Final _Anterior &gt; 0</f>
        <v>1</v>
      </c>
      <c r="Q183" s="98"/>
      <c r="R183" s="84">
        <f ca="1" xml:space="preserve"> T_AutoYSeguroMulti!_Pago.Fijo + T_SeguroAnual!__Pago_Fijo</f>
        <v>12689.724443555469</v>
      </c>
      <c r="S183" s="84">
        <f ca="1" xml:space="preserve"> T_AutoYSeguroMulti!__Capital + T_SeguroAnual!__Capital</f>
        <v>0</v>
      </c>
      <c r="T183" s="84">
        <f t="shared" ca="1" si="19"/>
        <v>12689.724443555469</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x14ac:dyDescent="0.3">
      <c r="D184" s="619">
        <v>166</v>
      </c>
      <c r="F184" s="18">
        <f ca="1" xml:space="preserve"> ( __Saldo_Final _Anterior + T_SeguroAnual!__Saldo_Ciclico ) * ( __Stopper_Saldo_Inicial )</f>
        <v>7.2759576141834259E-12</v>
      </c>
      <c r="G184" s="83">
        <f ca="1">MIN( CHOOSE(i.Opcion.Abono, __Capital_Opcion_1, __Capital_Opcion_2, __Capital_Opcion_3) _Actual, __Saldo_Inicial _Actual)</f>
        <v>0</v>
      </c>
      <c r="H184" s="83">
        <f t="shared" ca="1" si="14"/>
        <v>2.6072181450823943E-15</v>
      </c>
      <c r="I184" s="84">
        <f ca="1">T_AutoYSeguroMulti!__Dias_Interes_Periodo</f>
        <v>30</v>
      </c>
      <c r="J184" s="84">
        <f t="shared" ca="1" si="15"/>
        <v>7.8216544352471822E-14</v>
      </c>
      <c r="K184" s="84">
        <f t="shared" ca="1" si="16"/>
        <v>9.3859853222966188E-15</v>
      </c>
      <c r="L184" s="83">
        <f t="shared" ca="1" si="17"/>
        <v>8.7602529674768438E-14</v>
      </c>
      <c r="M184" s="646">
        <f>INDEX(TablaCliente!_CapturaAbonoAnticipadoTablaCliente,__Amortizacion)</f>
        <v>0</v>
      </c>
      <c r="N184" s="84">
        <f t="shared" ca="1" si="18"/>
        <v>7.2759576141834259E-12</v>
      </c>
      <c r="P184" s="618" t="b">
        <f ca="1">__Saldo_Final _Anterior &gt; 0</f>
        <v>1</v>
      </c>
      <c r="Q184" s="98"/>
      <c r="R184" s="84">
        <f ca="1" xml:space="preserve"> T_AutoYSeguroMulti!_Pago.Fijo + T_SeguroAnual!__Pago_Fijo</f>
        <v>12689.724443555469</v>
      </c>
      <c r="S184" s="84">
        <f ca="1" xml:space="preserve"> T_AutoYSeguroMulti!__Capital + T_SeguroAnual!__Capital</f>
        <v>0</v>
      </c>
      <c r="T184" s="84">
        <f t="shared" ca="1" si="19"/>
        <v>12689.724443555469</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x14ac:dyDescent="0.3">
      <c r="D185" s="619">
        <v>167</v>
      </c>
      <c r="F185" s="18">
        <f ca="1" xml:space="preserve"> ( __Saldo_Final _Anterior + T_SeguroAnual!__Saldo_Ciclico ) * ( __Stopper_Saldo_Inicial )</f>
        <v>7.2759576141834259E-12</v>
      </c>
      <c r="G185" s="83">
        <f ca="1">MIN( CHOOSE(i.Opcion.Abono, __Capital_Opcion_1, __Capital_Opcion_2, __Capital_Opcion_3) _Actual, __Saldo_Inicial _Actual)</f>
        <v>0</v>
      </c>
      <c r="H185" s="83">
        <f t="shared" ca="1" si="14"/>
        <v>2.6072181450823943E-15</v>
      </c>
      <c r="I185" s="84">
        <f ca="1">T_AutoYSeguroMulti!__Dias_Interes_Periodo</f>
        <v>30</v>
      </c>
      <c r="J185" s="84">
        <f t="shared" ca="1" si="15"/>
        <v>7.8216544352471822E-14</v>
      </c>
      <c r="K185" s="84">
        <f t="shared" ca="1" si="16"/>
        <v>9.3859853222966188E-15</v>
      </c>
      <c r="L185" s="83">
        <f t="shared" ca="1" si="17"/>
        <v>8.7602529674768438E-14</v>
      </c>
      <c r="M185" s="646">
        <f>INDEX(TablaCliente!_CapturaAbonoAnticipadoTablaCliente,__Amortizacion)</f>
        <v>0</v>
      </c>
      <c r="N185" s="84">
        <f t="shared" ca="1" si="18"/>
        <v>7.2759576141834259E-12</v>
      </c>
      <c r="P185" s="618" t="b">
        <f ca="1">__Saldo_Final _Anterior &gt; 0</f>
        <v>1</v>
      </c>
      <c r="Q185" s="98"/>
      <c r="R185" s="84">
        <f ca="1" xml:space="preserve"> T_AutoYSeguroMulti!_Pago.Fijo + T_SeguroAnual!__Pago_Fijo</f>
        <v>12689.724443555469</v>
      </c>
      <c r="S185" s="84">
        <f ca="1" xml:space="preserve"> T_AutoYSeguroMulti!__Capital + T_SeguroAnual!__Capital</f>
        <v>0</v>
      </c>
      <c r="T185" s="84">
        <f t="shared" ca="1" si="19"/>
        <v>12689.724443555469</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x14ac:dyDescent="0.3">
      <c r="D186" s="619">
        <v>168</v>
      </c>
      <c r="F186" s="18">
        <f ca="1" xml:space="preserve"> ( __Saldo_Final _Anterior + T_SeguroAnual!__Saldo_Ciclico ) * ( __Stopper_Saldo_Inicial )</f>
        <v>7.2759576141834259E-12</v>
      </c>
      <c r="G186" s="83">
        <f ca="1">MIN( CHOOSE(i.Opcion.Abono, __Capital_Opcion_1, __Capital_Opcion_2, __Capital_Opcion_3) _Actual, __Saldo_Inicial _Actual)</f>
        <v>0</v>
      </c>
      <c r="H186" s="83">
        <f t="shared" ca="1" si="14"/>
        <v>2.6072181450823943E-15</v>
      </c>
      <c r="I186" s="84">
        <f ca="1">T_AutoYSeguroMulti!__Dias_Interes_Periodo</f>
        <v>30</v>
      </c>
      <c r="J186" s="84">
        <f t="shared" ca="1" si="15"/>
        <v>7.8216544352471822E-14</v>
      </c>
      <c r="K186" s="84">
        <f t="shared" ca="1" si="16"/>
        <v>9.3859853222966188E-15</v>
      </c>
      <c r="L186" s="83">
        <f t="shared" ca="1" si="17"/>
        <v>8.7602529674768438E-14</v>
      </c>
      <c r="M186" s="646">
        <f>INDEX(TablaCliente!_CapturaAbonoAnticipadoTablaCliente,__Amortizacion)</f>
        <v>0</v>
      </c>
      <c r="N186" s="84">
        <f t="shared" ca="1" si="18"/>
        <v>7.2759576141834259E-12</v>
      </c>
      <c r="P186" s="618" t="b">
        <f ca="1">__Saldo_Final _Anterior &gt; 0</f>
        <v>1</v>
      </c>
      <c r="Q186" s="98"/>
      <c r="R186" s="84">
        <f ca="1" xml:space="preserve"> T_AutoYSeguroMulti!_Pago.Fijo + T_SeguroAnual!__Pago_Fijo</f>
        <v>12689.724443555469</v>
      </c>
      <c r="S186" s="84">
        <f ca="1" xml:space="preserve"> T_AutoYSeguroMulti!__Capital + T_SeguroAnual!__Capital</f>
        <v>0</v>
      </c>
      <c r="T186" s="84">
        <f t="shared" ca="1" si="19"/>
        <v>12689.724443555469</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x14ac:dyDescent="0.3">
      <c r="D187" s="619">
        <v>169</v>
      </c>
      <c r="F187" s="18">
        <f ca="1" xml:space="preserve"> ( __Saldo_Final _Anterior + T_SeguroAnual!__Saldo_Ciclico ) * ( __Stopper_Saldo_Inicial )</f>
        <v>7.2759576141834259E-12</v>
      </c>
      <c r="G187" s="83">
        <f ca="1">MIN( CHOOSE(i.Opcion.Abono, __Capital_Opcion_1, __Capital_Opcion_2, __Capital_Opcion_3) _Actual, __Saldo_Inicial _Actual)</f>
        <v>0</v>
      </c>
      <c r="H187" s="83">
        <f t="shared" ca="1" si="14"/>
        <v>2.6072181450823943E-15</v>
      </c>
      <c r="I187" s="84">
        <f ca="1">T_AutoYSeguroMulti!__Dias_Interes_Periodo</f>
        <v>30</v>
      </c>
      <c r="J187" s="84">
        <f t="shared" ca="1" si="15"/>
        <v>7.8216544352471822E-14</v>
      </c>
      <c r="K187" s="84">
        <f t="shared" ca="1" si="16"/>
        <v>9.3859853222966188E-15</v>
      </c>
      <c r="L187" s="83">
        <f t="shared" ca="1" si="17"/>
        <v>8.7602529674768438E-14</v>
      </c>
      <c r="M187" s="646">
        <f>INDEX(TablaCliente!_CapturaAbonoAnticipadoTablaCliente,__Amortizacion)</f>
        <v>0</v>
      </c>
      <c r="N187" s="84">
        <f t="shared" ca="1" si="18"/>
        <v>7.2759576141834259E-12</v>
      </c>
      <c r="P187" s="618" t="b">
        <f ca="1">__Saldo_Final _Anterior &gt; 0</f>
        <v>1</v>
      </c>
      <c r="Q187" s="98"/>
      <c r="R187" s="84">
        <f ca="1" xml:space="preserve"> T_AutoYSeguroMulti!_Pago.Fijo + T_SeguroAnual!__Pago_Fijo</f>
        <v>12689.724443555469</v>
      </c>
      <c r="S187" s="84">
        <f ca="1" xml:space="preserve"> T_AutoYSeguroMulti!__Capital + T_SeguroAnual!__Capital</f>
        <v>0</v>
      </c>
      <c r="T187" s="84">
        <f t="shared" ca="1" si="19"/>
        <v>12689.724443555469</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x14ac:dyDescent="0.3">
      <c r="D188" s="619">
        <v>170</v>
      </c>
      <c r="F188" s="18">
        <f ca="1" xml:space="preserve"> ( __Saldo_Final _Anterior + T_SeguroAnual!__Saldo_Ciclico ) * ( __Stopper_Saldo_Inicial )</f>
        <v>7.2759576141834259E-12</v>
      </c>
      <c r="G188" s="83">
        <f ca="1">MIN( CHOOSE(i.Opcion.Abono, __Capital_Opcion_1, __Capital_Opcion_2, __Capital_Opcion_3) _Actual, __Saldo_Inicial _Actual)</f>
        <v>0</v>
      </c>
      <c r="H188" s="83">
        <f t="shared" ca="1" si="14"/>
        <v>2.6072181450823943E-15</v>
      </c>
      <c r="I188" s="84">
        <f ca="1">T_AutoYSeguroMulti!__Dias_Interes_Periodo</f>
        <v>30</v>
      </c>
      <c r="J188" s="84">
        <f t="shared" ca="1" si="15"/>
        <v>7.8216544352471822E-14</v>
      </c>
      <c r="K188" s="84">
        <f t="shared" ca="1" si="16"/>
        <v>9.3859853222966188E-15</v>
      </c>
      <c r="L188" s="83">
        <f t="shared" ca="1" si="17"/>
        <v>8.7602529674768438E-14</v>
      </c>
      <c r="M188" s="646">
        <f>INDEX(TablaCliente!_CapturaAbonoAnticipadoTablaCliente,__Amortizacion)</f>
        <v>0</v>
      </c>
      <c r="N188" s="84">
        <f t="shared" ca="1" si="18"/>
        <v>7.2759576141834259E-12</v>
      </c>
      <c r="P188" s="618" t="b">
        <f ca="1">__Saldo_Final _Anterior &gt; 0</f>
        <v>1</v>
      </c>
      <c r="Q188" s="98"/>
      <c r="R188" s="84">
        <f ca="1" xml:space="preserve"> T_AutoYSeguroMulti!_Pago.Fijo + T_SeguroAnual!__Pago_Fijo</f>
        <v>12689.724443555469</v>
      </c>
      <c r="S188" s="84">
        <f ca="1" xml:space="preserve"> T_AutoYSeguroMulti!__Capital + T_SeguroAnual!__Capital</f>
        <v>0</v>
      </c>
      <c r="T188" s="84">
        <f t="shared" ca="1" si="19"/>
        <v>12689.724443555469</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x14ac:dyDescent="0.3">
      <c r="D189" s="619">
        <v>171</v>
      </c>
      <c r="F189" s="18">
        <f ca="1" xml:space="preserve"> ( __Saldo_Final _Anterior + T_SeguroAnual!__Saldo_Ciclico ) * ( __Stopper_Saldo_Inicial )</f>
        <v>7.2759576141834259E-12</v>
      </c>
      <c r="G189" s="83">
        <f ca="1">MIN( CHOOSE(i.Opcion.Abono, __Capital_Opcion_1, __Capital_Opcion_2, __Capital_Opcion_3) _Actual, __Saldo_Inicial _Actual)</f>
        <v>0</v>
      </c>
      <c r="H189" s="83">
        <f t="shared" ca="1" si="14"/>
        <v>2.6072181450823943E-15</v>
      </c>
      <c r="I189" s="84">
        <f ca="1">T_AutoYSeguroMulti!__Dias_Interes_Periodo</f>
        <v>30</v>
      </c>
      <c r="J189" s="84">
        <f t="shared" ca="1" si="15"/>
        <v>7.8216544352471822E-14</v>
      </c>
      <c r="K189" s="84">
        <f t="shared" ca="1" si="16"/>
        <v>9.3859853222966188E-15</v>
      </c>
      <c r="L189" s="83">
        <f t="shared" ca="1" si="17"/>
        <v>8.7602529674768438E-14</v>
      </c>
      <c r="M189" s="646">
        <f>INDEX(TablaCliente!_CapturaAbonoAnticipadoTablaCliente,__Amortizacion)</f>
        <v>0</v>
      </c>
      <c r="N189" s="84">
        <f t="shared" ca="1" si="18"/>
        <v>7.2759576141834259E-12</v>
      </c>
      <c r="P189" s="618" t="b">
        <f ca="1">__Saldo_Final _Anterior &gt; 0</f>
        <v>1</v>
      </c>
      <c r="Q189" s="98"/>
      <c r="R189" s="84">
        <f ca="1" xml:space="preserve"> T_AutoYSeguroMulti!_Pago.Fijo + T_SeguroAnual!__Pago_Fijo</f>
        <v>12689.724443555469</v>
      </c>
      <c r="S189" s="84">
        <f ca="1" xml:space="preserve"> T_AutoYSeguroMulti!__Capital + T_SeguroAnual!__Capital</f>
        <v>0</v>
      </c>
      <c r="T189" s="84">
        <f t="shared" ca="1" si="19"/>
        <v>12689.724443555469</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x14ac:dyDescent="0.3">
      <c r="D190" s="619">
        <v>172</v>
      </c>
      <c r="F190" s="18">
        <f ca="1" xml:space="preserve"> ( __Saldo_Final _Anterior + T_SeguroAnual!__Saldo_Ciclico ) * ( __Stopper_Saldo_Inicial )</f>
        <v>7.2759576141834259E-12</v>
      </c>
      <c r="G190" s="83">
        <f ca="1">MIN( CHOOSE(i.Opcion.Abono, __Capital_Opcion_1, __Capital_Opcion_2, __Capital_Opcion_3) _Actual, __Saldo_Inicial _Actual)</f>
        <v>0</v>
      </c>
      <c r="H190" s="83">
        <f t="shared" ca="1" si="14"/>
        <v>2.6072181450823943E-15</v>
      </c>
      <c r="I190" s="84">
        <f ca="1">T_AutoYSeguroMulti!__Dias_Interes_Periodo</f>
        <v>30</v>
      </c>
      <c r="J190" s="84">
        <f t="shared" ca="1" si="15"/>
        <v>7.8216544352471822E-14</v>
      </c>
      <c r="K190" s="84">
        <f t="shared" ca="1" si="16"/>
        <v>9.3859853222966188E-15</v>
      </c>
      <c r="L190" s="83">
        <f t="shared" ca="1" si="17"/>
        <v>8.7602529674768438E-14</v>
      </c>
      <c r="M190" s="646">
        <f>INDEX(TablaCliente!_CapturaAbonoAnticipadoTablaCliente,__Amortizacion)</f>
        <v>0</v>
      </c>
      <c r="N190" s="84">
        <f t="shared" ca="1" si="18"/>
        <v>7.2759576141834259E-12</v>
      </c>
      <c r="P190" s="618" t="b">
        <f ca="1">__Saldo_Final _Anterior &gt; 0</f>
        <v>1</v>
      </c>
      <c r="Q190" s="98"/>
      <c r="R190" s="84">
        <f ca="1" xml:space="preserve"> T_AutoYSeguroMulti!_Pago.Fijo + T_SeguroAnual!__Pago_Fijo</f>
        <v>12689.724443555469</v>
      </c>
      <c r="S190" s="84">
        <f ca="1" xml:space="preserve"> T_AutoYSeguroMulti!__Capital + T_SeguroAnual!__Capital</f>
        <v>0</v>
      </c>
      <c r="T190" s="84">
        <f t="shared" ca="1" si="19"/>
        <v>12689.724443555469</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x14ac:dyDescent="0.3">
      <c r="D191" s="619">
        <v>173</v>
      </c>
      <c r="F191" s="18">
        <f ca="1" xml:space="preserve"> ( __Saldo_Final _Anterior + T_SeguroAnual!__Saldo_Ciclico ) * ( __Stopper_Saldo_Inicial )</f>
        <v>7.2759576141834259E-12</v>
      </c>
      <c r="G191" s="83">
        <f ca="1">MIN( CHOOSE(i.Opcion.Abono, __Capital_Opcion_1, __Capital_Opcion_2, __Capital_Opcion_3) _Actual, __Saldo_Inicial _Actual)</f>
        <v>0</v>
      </c>
      <c r="H191" s="83">
        <f t="shared" ca="1" si="14"/>
        <v>2.6072181450823943E-15</v>
      </c>
      <c r="I191" s="84">
        <f ca="1">T_AutoYSeguroMulti!__Dias_Interes_Periodo</f>
        <v>30</v>
      </c>
      <c r="J191" s="84">
        <f t="shared" ca="1" si="15"/>
        <v>7.8216544352471822E-14</v>
      </c>
      <c r="K191" s="84">
        <f t="shared" ca="1" si="16"/>
        <v>9.3859853222966188E-15</v>
      </c>
      <c r="L191" s="83">
        <f t="shared" ca="1" si="17"/>
        <v>8.7602529674768438E-14</v>
      </c>
      <c r="M191" s="646">
        <f>INDEX(TablaCliente!_CapturaAbonoAnticipadoTablaCliente,__Amortizacion)</f>
        <v>0</v>
      </c>
      <c r="N191" s="84">
        <f t="shared" ca="1" si="18"/>
        <v>7.2759576141834259E-12</v>
      </c>
      <c r="P191" s="618" t="b">
        <f ca="1">__Saldo_Final _Anterior &gt; 0</f>
        <v>1</v>
      </c>
      <c r="Q191" s="98"/>
      <c r="R191" s="84">
        <f ca="1" xml:space="preserve"> T_AutoYSeguroMulti!_Pago.Fijo + T_SeguroAnual!__Pago_Fijo</f>
        <v>12689.724443555469</v>
      </c>
      <c r="S191" s="84">
        <f ca="1" xml:space="preserve"> T_AutoYSeguroMulti!__Capital + T_SeguroAnual!__Capital</f>
        <v>0</v>
      </c>
      <c r="T191" s="84">
        <f t="shared" ca="1" si="19"/>
        <v>12689.724443555469</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x14ac:dyDescent="0.3">
      <c r="D192" s="619">
        <v>174</v>
      </c>
      <c r="F192" s="18">
        <f ca="1" xml:space="preserve"> ( __Saldo_Final _Anterior + T_SeguroAnual!__Saldo_Ciclico ) * ( __Stopper_Saldo_Inicial )</f>
        <v>7.2759576141834259E-12</v>
      </c>
      <c r="G192" s="83">
        <f ca="1">MIN( CHOOSE(i.Opcion.Abono, __Capital_Opcion_1, __Capital_Opcion_2, __Capital_Opcion_3) _Actual, __Saldo_Inicial _Actual)</f>
        <v>0</v>
      </c>
      <c r="H192" s="83">
        <f t="shared" ca="1" si="14"/>
        <v>2.6072181450823943E-15</v>
      </c>
      <c r="I192" s="84">
        <f ca="1">T_AutoYSeguroMulti!__Dias_Interes_Periodo</f>
        <v>30</v>
      </c>
      <c r="J192" s="84">
        <f t="shared" ca="1" si="15"/>
        <v>7.8216544352471822E-14</v>
      </c>
      <c r="K192" s="84">
        <f t="shared" ca="1" si="16"/>
        <v>9.3859853222966188E-15</v>
      </c>
      <c r="L192" s="83">
        <f t="shared" ca="1" si="17"/>
        <v>8.7602529674768438E-14</v>
      </c>
      <c r="M192" s="646">
        <f>INDEX(TablaCliente!_CapturaAbonoAnticipadoTablaCliente,__Amortizacion)</f>
        <v>0</v>
      </c>
      <c r="N192" s="84">
        <f t="shared" ca="1" si="18"/>
        <v>7.2759576141834259E-12</v>
      </c>
      <c r="P192" s="618" t="b">
        <f ca="1">__Saldo_Final _Anterior &gt; 0</f>
        <v>1</v>
      </c>
      <c r="Q192" s="98"/>
      <c r="R192" s="84">
        <f ca="1" xml:space="preserve"> T_AutoYSeguroMulti!_Pago.Fijo + T_SeguroAnual!__Pago_Fijo</f>
        <v>12689.724443555469</v>
      </c>
      <c r="S192" s="84">
        <f ca="1" xml:space="preserve"> T_AutoYSeguroMulti!__Capital + T_SeguroAnual!__Capital</f>
        <v>0</v>
      </c>
      <c r="T192" s="84">
        <f t="shared" ca="1" si="19"/>
        <v>12689.724443555469</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x14ac:dyDescent="0.3">
      <c r="D193" s="619">
        <v>175</v>
      </c>
      <c r="F193" s="18">
        <f ca="1" xml:space="preserve"> ( __Saldo_Final _Anterior + T_SeguroAnual!__Saldo_Ciclico ) * ( __Stopper_Saldo_Inicial )</f>
        <v>7.2759576141834259E-12</v>
      </c>
      <c r="G193" s="83">
        <f ca="1">MIN( CHOOSE(i.Opcion.Abono, __Capital_Opcion_1, __Capital_Opcion_2, __Capital_Opcion_3) _Actual, __Saldo_Inicial _Actual)</f>
        <v>0</v>
      </c>
      <c r="H193" s="83">
        <f t="shared" ca="1" si="14"/>
        <v>2.6072181450823943E-15</v>
      </c>
      <c r="I193" s="84">
        <f ca="1">T_AutoYSeguroMulti!__Dias_Interes_Periodo</f>
        <v>30</v>
      </c>
      <c r="J193" s="84">
        <f t="shared" ca="1" si="15"/>
        <v>7.8216544352471822E-14</v>
      </c>
      <c r="K193" s="84">
        <f t="shared" ca="1" si="16"/>
        <v>9.3859853222966188E-15</v>
      </c>
      <c r="L193" s="83">
        <f t="shared" ca="1" si="17"/>
        <v>8.7602529674768438E-14</v>
      </c>
      <c r="M193" s="646">
        <f>INDEX(TablaCliente!_CapturaAbonoAnticipadoTablaCliente,__Amortizacion)</f>
        <v>0</v>
      </c>
      <c r="N193" s="84">
        <f t="shared" ca="1" si="18"/>
        <v>7.2759576141834259E-12</v>
      </c>
      <c r="P193" s="618" t="b">
        <f ca="1">__Saldo_Final _Anterior &gt; 0</f>
        <v>1</v>
      </c>
      <c r="Q193" s="98"/>
      <c r="R193" s="84">
        <f ca="1" xml:space="preserve"> T_AutoYSeguroMulti!_Pago.Fijo + T_SeguroAnual!__Pago_Fijo</f>
        <v>12689.724443555469</v>
      </c>
      <c r="S193" s="84">
        <f ca="1" xml:space="preserve"> T_AutoYSeguroMulti!__Capital + T_SeguroAnual!__Capital</f>
        <v>0</v>
      </c>
      <c r="T193" s="84">
        <f t="shared" ca="1" si="19"/>
        <v>12689.724443555469</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x14ac:dyDescent="0.3">
      <c r="D194" s="619">
        <v>176</v>
      </c>
      <c r="F194" s="18">
        <f ca="1" xml:space="preserve"> ( __Saldo_Final _Anterior + T_SeguroAnual!__Saldo_Ciclico ) * ( __Stopper_Saldo_Inicial )</f>
        <v>7.2759576141834259E-12</v>
      </c>
      <c r="G194" s="83">
        <f ca="1">MIN( CHOOSE(i.Opcion.Abono, __Capital_Opcion_1, __Capital_Opcion_2, __Capital_Opcion_3) _Actual, __Saldo_Inicial _Actual)</f>
        <v>0</v>
      </c>
      <c r="H194" s="83">
        <f t="shared" ca="1" si="14"/>
        <v>2.6072181450823943E-15</v>
      </c>
      <c r="I194" s="84">
        <f ca="1">T_AutoYSeguroMulti!__Dias_Interes_Periodo</f>
        <v>30</v>
      </c>
      <c r="J194" s="84">
        <f t="shared" ca="1" si="15"/>
        <v>7.8216544352471822E-14</v>
      </c>
      <c r="K194" s="84">
        <f t="shared" ca="1" si="16"/>
        <v>9.3859853222966188E-15</v>
      </c>
      <c r="L194" s="83">
        <f t="shared" ca="1" si="17"/>
        <v>8.7602529674768438E-14</v>
      </c>
      <c r="M194" s="646">
        <f>INDEX(TablaCliente!_CapturaAbonoAnticipadoTablaCliente,__Amortizacion)</f>
        <v>0</v>
      </c>
      <c r="N194" s="84">
        <f t="shared" ca="1" si="18"/>
        <v>7.2759576141834259E-12</v>
      </c>
      <c r="P194" s="618" t="b">
        <f ca="1">__Saldo_Final _Anterior &gt; 0</f>
        <v>1</v>
      </c>
      <c r="Q194" s="98"/>
      <c r="R194" s="84">
        <f ca="1" xml:space="preserve"> T_AutoYSeguroMulti!_Pago.Fijo + T_SeguroAnual!__Pago_Fijo</f>
        <v>12689.724443555469</v>
      </c>
      <c r="S194" s="84">
        <f ca="1" xml:space="preserve"> T_AutoYSeguroMulti!__Capital + T_SeguroAnual!__Capital</f>
        <v>0</v>
      </c>
      <c r="T194" s="84">
        <f t="shared" ca="1" si="19"/>
        <v>12689.724443555469</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x14ac:dyDescent="0.3">
      <c r="D195" s="619">
        <v>177</v>
      </c>
      <c r="F195" s="18">
        <f ca="1" xml:space="preserve"> ( __Saldo_Final _Anterior + T_SeguroAnual!__Saldo_Ciclico ) * ( __Stopper_Saldo_Inicial )</f>
        <v>7.2759576141834259E-12</v>
      </c>
      <c r="G195" s="83">
        <f ca="1">MIN( CHOOSE(i.Opcion.Abono, __Capital_Opcion_1, __Capital_Opcion_2, __Capital_Opcion_3) _Actual, __Saldo_Inicial _Actual)</f>
        <v>0</v>
      </c>
      <c r="H195" s="83">
        <f t="shared" ca="1" si="14"/>
        <v>2.6072181450823943E-15</v>
      </c>
      <c r="I195" s="84">
        <f ca="1">T_AutoYSeguroMulti!__Dias_Interes_Periodo</f>
        <v>30</v>
      </c>
      <c r="J195" s="84">
        <f t="shared" ca="1" si="15"/>
        <v>7.8216544352471822E-14</v>
      </c>
      <c r="K195" s="84">
        <f t="shared" ca="1" si="16"/>
        <v>9.3859853222966188E-15</v>
      </c>
      <c r="L195" s="83">
        <f t="shared" ca="1" si="17"/>
        <v>8.7602529674768438E-14</v>
      </c>
      <c r="M195" s="646">
        <f>INDEX(TablaCliente!_CapturaAbonoAnticipadoTablaCliente,__Amortizacion)</f>
        <v>0</v>
      </c>
      <c r="N195" s="84">
        <f t="shared" ca="1" si="18"/>
        <v>7.2759576141834259E-12</v>
      </c>
      <c r="P195" s="618" t="b">
        <f ca="1">__Saldo_Final _Anterior &gt; 0</f>
        <v>1</v>
      </c>
      <c r="Q195" s="98"/>
      <c r="R195" s="84">
        <f ca="1" xml:space="preserve"> T_AutoYSeguroMulti!_Pago.Fijo + T_SeguroAnual!__Pago_Fijo</f>
        <v>12689.724443555469</v>
      </c>
      <c r="S195" s="84">
        <f ca="1" xml:space="preserve"> T_AutoYSeguroMulti!__Capital + T_SeguroAnual!__Capital</f>
        <v>0</v>
      </c>
      <c r="T195" s="84">
        <f t="shared" ca="1" si="19"/>
        <v>12689.724443555469</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x14ac:dyDescent="0.3">
      <c r="D196" s="619">
        <v>178</v>
      </c>
      <c r="F196" s="18">
        <f ca="1" xml:space="preserve"> ( __Saldo_Final _Anterior + T_SeguroAnual!__Saldo_Ciclico ) * ( __Stopper_Saldo_Inicial )</f>
        <v>7.2759576141834259E-12</v>
      </c>
      <c r="G196" s="83">
        <f ca="1">MIN( CHOOSE(i.Opcion.Abono, __Capital_Opcion_1, __Capital_Opcion_2, __Capital_Opcion_3) _Actual, __Saldo_Inicial _Actual)</f>
        <v>0</v>
      </c>
      <c r="H196" s="83">
        <f t="shared" ca="1" si="14"/>
        <v>2.6072181450823943E-15</v>
      </c>
      <c r="I196" s="84">
        <f ca="1">T_AutoYSeguroMulti!__Dias_Interes_Periodo</f>
        <v>30</v>
      </c>
      <c r="J196" s="84">
        <f t="shared" ca="1" si="15"/>
        <v>7.8216544352471822E-14</v>
      </c>
      <c r="K196" s="84">
        <f t="shared" ca="1" si="16"/>
        <v>9.3859853222966188E-15</v>
      </c>
      <c r="L196" s="83">
        <f t="shared" ca="1" si="17"/>
        <v>8.7602529674768438E-14</v>
      </c>
      <c r="M196" s="646">
        <f>INDEX(TablaCliente!_CapturaAbonoAnticipadoTablaCliente,__Amortizacion)</f>
        <v>0</v>
      </c>
      <c r="N196" s="84">
        <f t="shared" ca="1" si="18"/>
        <v>7.2759576141834259E-12</v>
      </c>
      <c r="P196" s="618" t="b">
        <f ca="1">__Saldo_Final _Anterior &gt; 0</f>
        <v>1</v>
      </c>
      <c r="Q196" s="98"/>
      <c r="R196" s="84">
        <f ca="1" xml:space="preserve"> T_AutoYSeguroMulti!_Pago.Fijo + T_SeguroAnual!__Pago_Fijo</f>
        <v>12689.724443555469</v>
      </c>
      <c r="S196" s="84">
        <f ca="1" xml:space="preserve"> T_AutoYSeguroMulti!__Capital + T_SeguroAnual!__Capital</f>
        <v>0</v>
      </c>
      <c r="T196" s="84">
        <f t="shared" ca="1" si="19"/>
        <v>12689.724443555469</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x14ac:dyDescent="0.3">
      <c r="D197" s="619">
        <v>179</v>
      </c>
      <c r="F197" s="18">
        <f ca="1" xml:space="preserve"> ( __Saldo_Final _Anterior + T_SeguroAnual!__Saldo_Ciclico ) * ( __Stopper_Saldo_Inicial )</f>
        <v>7.2759576141834259E-12</v>
      </c>
      <c r="G197" s="83">
        <f ca="1">MIN( CHOOSE(i.Opcion.Abono, __Capital_Opcion_1, __Capital_Opcion_2, __Capital_Opcion_3) _Actual, __Saldo_Inicial _Actual)</f>
        <v>0</v>
      </c>
      <c r="H197" s="83">
        <f t="shared" ca="1" si="14"/>
        <v>2.6072181450823943E-15</v>
      </c>
      <c r="I197" s="84">
        <f ca="1">T_AutoYSeguroMulti!__Dias_Interes_Periodo</f>
        <v>30</v>
      </c>
      <c r="J197" s="84">
        <f t="shared" ca="1" si="15"/>
        <v>7.8216544352471822E-14</v>
      </c>
      <c r="K197" s="84">
        <f t="shared" ca="1" si="16"/>
        <v>9.3859853222966188E-15</v>
      </c>
      <c r="L197" s="83">
        <f t="shared" ca="1" si="17"/>
        <v>8.7602529674768438E-14</v>
      </c>
      <c r="M197" s="646">
        <f>INDEX(TablaCliente!_CapturaAbonoAnticipadoTablaCliente,__Amortizacion)</f>
        <v>0</v>
      </c>
      <c r="N197" s="84">
        <f t="shared" ca="1" si="18"/>
        <v>7.2759576141834259E-12</v>
      </c>
      <c r="P197" s="618" t="b">
        <f ca="1">__Saldo_Final _Anterior &gt; 0</f>
        <v>1</v>
      </c>
      <c r="Q197" s="98"/>
      <c r="R197" s="84">
        <f ca="1" xml:space="preserve"> T_AutoYSeguroMulti!_Pago.Fijo + T_SeguroAnual!__Pago_Fijo</f>
        <v>12689.724443555469</v>
      </c>
      <c r="S197" s="84">
        <f ca="1" xml:space="preserve"> T_AutoYSeguroMulti!__Capital + T_SeguroAnual!__Capital</f>
        <v>0</v>
      </c>
      <c r="T197" s="84">
        <f t="shared" ca="1" si="19"/>
        <v>12689.724443555469</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x14ac:dyDescent="0.3">
      <c r="D198" s="619">
        <v>180</v>
      </c>
      <c r="F198" s="18">
        <f ca="1" xml:space="preserve"> ( __Saldo_Final _Anterior + T_SeguroAnual!__Saldo_Ciclico ) * ( __Stopper_Saldo_Inicial )</f>
        <v>7.2759576141834259E-12</v>
      </c>
      <c r="G198" s="83">
        <f ca="1">MIN( CHOOSE(i.Opcion.Abono, __Capital_Opcion_1, __Capital_Opcion_2, __Capital_Opcion_3) _Actual, __Saldo_Inicial _Actual)</f>
        <v>0</v>
      </c>
      <c r="H198" s="83">
        <f t="shared" ca="1" si="14"/>
        <v>2.6072181450823943E-15</v>
      </c>
      <c r="I198" s="84">
        <f ca="1">T_AutoYSeguroMulti!__Dias_Interes_Periodo</f>
        <v>30</v>
      </c>
      <c r="J198" s="84">
        <f t="shared" ca="1" si="15"/>
        <v>7.8216544352471822E-14</v>
      </c>
      <c r="K198" s="84">
        <f t="shared" ca="1" si="16"/>
        <v>9.3859853222966188E-15</v>
      </c>
      <c r="L198" s="83">
        <f t="shared" ca="1" si="17"/>
        <v>8.7602529674768438E-14</v>
      </c>
      <c r="M198" s="646">
        <f>INDEX(TablaCliente!_CapturaAbonoAnticipadoTablaCliente,__Amortizacion)</f>
        <v>0</v>
      </c>
      <c r="N198" s="84">
        <f t="shared" ca="1" si="18"/>
        <v>7.2759576141834259E-12</v>
      </c>
      <c r="P198" s="618" t="b">
        <f ca="1">__Saldo_Final _Anterior &gt; 0</f>
        <v>1</v>
      </c>
      <c r="Q198" s="98"/>
      <c r="R198" s="84">
        <f ca="1" xml:space="preserve"> T_AutoYSeguroMulti!_Pago.Fijo + T_SeguroAnual!__Pago_Fijo</f>
        <v>12689.724443555469</v>
      </c>
      <c r="S198" s="84">
        <f ca="1" xml:space="preserve"> T_AutoYSeguroMulti!__Capital + T_SeguroAnual!__Capital</f>
        <v>0</v>
      </c>
      <c r="T198" s="84">
        <f t="shared" ca="1" si="19"/>
        <v>12689.724443555469</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x14ac:dyDescent="0.3">
      <c r="D199" s="619">
        <v>181</v>
      </c>
      <c r="F199" s="18">
        <f ca="1" xml:space="preserve"> ( __Saldo_Final _Anterior + T_SeguroAnual!__Saldo_Ciclico ) * ( __Stopper_Saldo_Inicial )</f>
        <v>7.2759576141834259E-12</v>
      </c>
      <c r="G199" s="83">
        <f ca="1">MIN( CHOOSE(i.Opcion.Abono, __Capital_Opcion_1, __Capital_Opcion_2, __Capital_Opcion_3) _Actual, __Saldo_Inicial _Actual)</f>
        <v>0</v>
      </c>
      <c r="H199" s="83">
        <f t="shared" ca="1" si="14"/>
        <v>2.6072181450823943E-15</v>
      </c>
      <c r="I199" s="84">
        <f ca="1">T_AutoYSeguroMulti!__Dias_Interes_Periodo</f>
        <v>30</v>
      </c>
      <c r="J199" s="84">
        <f t="shared" ca="1" si="15"/>
        <v>7.8216544352471822E-14</v>
      </c>
      <c r="K199" s="84">
        <f t="shared" ca="1" si="16"/>
        <v>9.3859853222966188E-15</v>
      </c>
      <c r="L199" s="83">
        <f t="shared" ca="1" si="17"/>
        <v>8.7602529674768438E-14</v>
      </c>
      <c r="M199" s="646">
        <f>INDEX(TablaCliente!_CapturaAbonoAnticipadoTablaCliente,__Amortizacion)</f>
        <v>0</v>
      </c>
      <c r="N199" s="84">
        <f t="shared" ca="1" si="18"/>
        <v>7.2759576141834259E-12</v>
      </c>
      <c r="P199" s="618" t="b">
        <f ca="1">__Saldo_Final _Anterior &gt; 0</f>
        <v>1</v>
      </c>
      <c r="Q199" s="98"/>
      <c r="R199" s="84">
        <f ca="1" xml:space="preserve"> T_AutoYSeguroMulti!_Pago.Fijo + T_SeguroAnual!__Pago_Fijo</f>
        <v>12689.724443555469</v>
      </c>
      <c r="S199" s="84">
        <f ca="1" xml:space="preserve"> T_AutoYSeguroMulti!__Capital + T_SeguroAnual!__Capital</f>
        <v>0</v>
      </c>
      <c r="T199" s="84">
        <f t="shared" ca="1" si="19"/>
        <v>12689.724443555469</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x14ac:dyDescent="0.3">
      <c r="D200" s="619">
        <v>182</v>
      </c>
      <c r="F200" s="18">
        <f ca="1" xml:space="preserve"> ( __Saldo_Final _Anterior + T_SeguroAnual!__Saldo_Ciclico ) * ( __Stopper_Saldo_Inicial )</f>
        <v>7.2759576141834259E-12</v>
      </c>
      <c r="G200" s="83">
        <f ca="1">MIN( CHOOSE(i.Opcion.Abono, __Capital_Opcion_1, __Capital_Opcion_2, __Capital_Opcion_3) _Actual, __Saldo_Inicial _Actual)</f>
        <v>0</v>
      </c>
      <c r="H200" s="83">
        <f t="shared" ca="1" si="14"/>
        <v>2.6072181450823943E-15</v>
      </c>
      <c r="I200" s="84">
        <f ca="1">T_AutoYSeguroMulti!__Dias_Interes_Periodo</f>
        <v>30</v>
      </c>
      <c r="J200" s="84">
        <f t="shared" ca="1" si="15"/>
        <v>7.8216544352471822E-14</v>
      </c>
      <c r="K200" s="84">
        <f t="shared" ca="1" si="16"/>
        <v>9.3859853222966188E-15</v>
      </c>
      <c r="L200" s="83">
        <f t="shared" ca="1" si="17"/>
        <v>8.7602529674768438E-14</v>
      </c>
      <c r="M200" s="646">
        <f>INDEX(TablaCliente!_CapturaAbonoAnticipadoTablaCliente,__Amortizacion)</f>
        <v>0</v>
      </c>
      <c r="N200" s="84">
        <f t="shared" ca="1" si="18"/>
        <v>7.2759576141834259E-12</v>
      </c>
      <c r="P200" s="618" t="b">
        <f ca="1">__Saldo_Final _Anterior &gt; 0</f>
        <v>1</v>
      </c>
      <c r="Q200" s="98"/>
      <c r="R200" s="84">
        <f ca="1" xml:space="preserve"> T_AutoYSeguroMulti!_Pago.Fijo + T_SeguroAnual!__Pago_Fijo</f>
        <v>12689.724443555469</v>
      </c>
      <c r="S200" s="84">
        <f ca="1" xml:space="preserve"> T_AutoYSeguroMulti!__Capital + T_SeguroAnual!__Capital</f>
        <v>0</v>
      </c>
      <c r="T200" s="84">
        <f t="shared" ca="1" si="19"/>
        <v>12689.724443555469</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x14ac:dyDescent="0.3">
      <c r="D201" s="619">
        <v>183</v>
      </c>
      <c r="F201" s="18">
        <f ca="1" xml:space="preserve"> ( __Saldo_Final _Anterior + T_SeguroAnual!__Saldo_Ciclico ) * ( __Stopper_Saldo_Inicial )</f>
        <v>7.2759576141834259E-12</v>
      </c>
      <c r="G201" s="83">
        <f ca="1">MIN( CHOOSE(i.Opcion.Abono, __Capital_Opcion_1, __Capital_Opcion_2, __Capital_Opcion_3) _Actual, __Saldo_Inicial _Actual)</f>
        <v>0</v>
      </c>
      <c r="H201" s="83">
        <f t="shared" ca="1" si="14"/>
        <v>2.6072181450823943E-15</v>
      </c>
      <c r="I201" s="84">
        <f ca="1">T_AutoYSeguroMulti!__Dias_Interes_Periodo</f>
        <v>30</v>
      </c>
      <c r="J201" s="84">
        <f t="shared" ca="1" si="15"/>
        <v>7.8216544352471822E-14</v>
      </c>
      <c r="K201" s="84">
        <f t="shared" ca="1" si="16"/>
        <v>9.3859853222966188E-15</v>
      </c>
      <c r="L201" s="83">
        <f t="shared" ca="1" si="17"/>
        <v>8.7602529674768438E-14</v>
      </c>
      <c r="M201" s="646">
        <f>INDEX(TablaCliente!_CapturaAbonoAnticipadoTablaCliente,__Amortizacion)</f>
        <v>0</v>
      </c>
      <c r="N201" s="84">
        <f t="shared" ca="1" si="18"/>
        <v>7.2759576141834259E-12</v>
      </c>
      <c r="P201" s="618" t="b">
        <f ca="1">__Saldo_Final _Anterior &gt; 0</f>
        <v>1</v>
      </c>
      <c r="Q201" s="98"/>
      <c r="R201" s="84">
        <f ca="1" xml:space="preserve"> T_AutoYSeguroMulti!_Pago.Fijo + T_SeguroAnual!__Pago_Fijo</f>
        <v>12689.724443555469</v>
      </c>
      <c r="S201" s="84">
        <f ca="1" xml:space="preserve"> T_AutoYSeguroMulti!__Capital + T_SeguroAnual!__Capital</f>
        <v>0</v>
      </c>
      <c r="T201" s="84">
        <f t="shared" ca="1" si="19"/>
        <v>12689.724443555469</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x14ac:dyDescent="0.3">
      <c r="D202" s="619">
        <v>184</v>
      </c>
      <c r="F202" s="18">
        <f ca="1" xml:space="preserve"> ( __Saldo_Final _Anterior + T_SeguroAnual!__Saldo_Ciclico ) * ( __Stopper_Saldo_Inicial )</f>
        <v>7.2759576141834259E-12</v>
      </c>
      <c r="G202" s="83">
        <f ca="1">MIN( CHOOSE(i.Opcion.Abono, __Capital_Opcion_1, __Capital_Opcion_2, __Capital_Opcion_3) _Actual, __Saldo_Inicial _Actual)</f>
        <v>0</v>
      </c>
      <c r="H202" s="83">
        <f t="shared" ca="1" si="14"/>
        <v>2.6072181450823943E-15</v>
      </c>
      <c r="I202" s="84">
        <f ca="1">T_AutoYSeguroMulti!__Dias_Interes_Periodo</f>
        <v>30</v>
      </c>
      <c r="J202" s="84">
        <f t="shared" ca="1" si="15"/>
        <v>7.8216544352471822E-14</v>
      </c>
      <c r="K202" s="84">
        <f t="shared" ca="1" si="16"/>
        <v>9.3859853222966188E-15</v>
      </c>
      <c r="L202" s="83">
        <f t="shared" ca="1" si="17"/>
        <v>8.7602529674768438E-14</v>
      </c>
      <c r="M202" s="646">
        <f>INDEX(TablaCliente!_CapturaAbonoAnticipadoTablaCliente,__Amortizacion)</f>
        <v>0</v>
      </c>
      <c r="N202" s="84">
        <f t="shared" ca="1" si="18"/>
        <v>7.2759576141834259E-12</v>
      </c>
      <c r="P202" s="618" t="b">
        <f ca="1">__Saldo_Final _Anterior &gt; 0</f>
        <v>1</v>
      </c>
      <c r="Q202" s="98"/>
      <c r="R202" s="84">
        <f ca="1" xml:space="preserve"> T_AutoYSeguroMulti!_Pago.Fijo + T_SeguroAnual!__Pago_Fijo</f>
        <v>12689.724443555469</v>
      </c>
      <c r="S202" s="84">
        <f ca="1" xml:space="preserve"> T_AutoYSeguroMulti!__Capital + T_SeguroAnual!__Capital</f>
        <v>0</v>
      </c>
      <c r="T202" s="84">
        <f t="shared" ca="1" si="19"/>
        <v>12689.724443555469</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x14ac:dyDescent="0.3">
      <c r="D203" s="619">
        <v>185</v>
      </c>
      <c r="F203" s="18">
        <f ca="1" xml:space="preserve"> ( __Saldo_Final _Anterior + T_SeguroAnual!__Saldo_Ciclico ) * ( __Stopper_Saldo_Inicial )</f>
        <v>7.2759576141834259E-12</v>
      </c>
      <c r="G203" s="83">
        <f ca="1">MIN( CHOOSE(i.Opcion.Abono, __Capital_Opcion_1, __Capital_Opcion_2, __Capital_Opcion_3) _Actual, __Saldo_Inicial _Actual)</f>
        <v>0</v>
      </c>
      <c r="H203" s="83">
        <f t="shared" ca="1" si="14"/>
        <v>2.6072181450823943E-15</v>
      </c>
      <c r="I203" s="84">
        <f ca="1">T_AutoYSeguroMulti!__Dias_Interes_Periodo</f>
        <v>30</v>
      </c>
      <c r="J203" s="84">
        <f t="shared" ca="1" si="15"/>
        <v>7.8216544352471822E-14</v>
      </c>
      <c r="K203" s="84">
        <f t="shared" ca="1" si="16"/>
        <v>9.3859853222966188E-15</v>
      </c>
      <c r="L203" s="83">
        <f t="shared" ca="1" si="17"/>
        <v>8.7602529674768438E-14</v>
      </c>
      <c r="M203" s="646">
        <f>INDEX(TablaCliente!_CapturaAbonoAnticipadoTablaCliente,__Amortizacion)</f>
        <v>0</v>
      </c>
      <c r="N203" s="84">
        <f t="shared" ca="1" si="18"/>
        <v>7.2759576141834259E-12</v>
      </c>
      <c r="P203" s="618" t="b">
        <f ca="1">__Saldo_Final _Anterior &gt; 0</f>
        <v>1</v>
      </c>
      <c r="Q203" s="98"/>
      <c r="R203" s="84">
        <f ca="1" xml:space="preserve"> T_AutoYSeguroMulti!_Pago.Fijo + T_SeguroAnual!__Pago_Fijo</f>
        <v>12689.724443555469</v>
      </c>
      <c r="S203" s="84">
        <f ca="1" xml:space="preserve"> T_AutoYSeguroMulti!__Capital + T_SeguroAnual!__Capital</f>
        <v>0</v>
      </c>
      <c r="T203" s="84">
        <f t="shared" ca="1" si="19"/>
        <v>12689.724443555469</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x14ac:dyDescent="0.3">
      <c r="D204" s="619">
        <v>186</v>
      </c>
      <c r="F204" s="18">
        <f ca="1" xml:space="preserve"> ( __Saldo_Final _Anterior + T_SeguroAnual!__Saldo_Ciclico ) * ( __Stopper_Saldo_Inicial )</f>
        <v>7.2759576141834259E-12</v>
      </c>
      <c r="G204" s="83">
        <f ca="1">MIN( CHOOSE(i.Opcion.Abono, __Capital_Opcion_1, __Capital_Opcion_2, __Capital_Opcion_3) _Actual, __Saldo_Inicial _Actual)</f>
        <v>0</v>
      </c>
      <c r="H204" s="83">
        <f t="shared" ca="1" si="14"/>
        <v>2.6072181450823943E-15</v>
      </c>
      <c r="I204" s="84">
        <f ca="1">T_AutoYSeguroMulti!__Dias_Interes_Periodo</f>
        <v>30</v>
      </c>
      <c r="J204" s="84">
        <f t="shared" ca="1" si="15"/>
        <v>7.8216544352471822E-14</v>
      </c>
      <c r="K204" s="84">
        <f t="shared" ca="1" si="16"/>
        <v>9.3859853222966188E-15</v>
      </c>
      <c r="L204" s="83">
        <f t="shared" ca="1" si="17"/>
        <v>8.7602529674768438E-14</v>
      </c>
      <c r="M204" s="646">
        <f>INDEX(TablaCliente!_CapturaAbonoAnticipadoTablaCliente,__Amortizacion)</f>
        <v>0</v>
      </c>
      <c r="N204" s="84">
        <f t="shared" ca="1" si="18"/>
        <v>7.2759576141834259E-12</v>
      </c>
      <c r="P204" s="618" t="b">
        <f ca="1">__Saldo_Final _Anterior &gt; 0</f>
        <v>1</v>
      </c>
      <c r="Q204" s="98"/>
      <c r="R204" s="84">
        <f ca="1" xml:space="preserve"> T_AutoYSeguroMulti!_Pago.Fijo + T_SeguroAnual!__Pago_Fijo</f>
        <v>12689.724443555469</v>
      </c>
      <c r="S204" s="84">
        <f ca="1" xml:space="preserve"> T_AutoYSeguroMulti!__Capital + T_SeguroAnual!__Capital</f>
        <v>0</v>
      </c>
      <c r="T204" s="84">
        <f t="shared" ca="1" si="19"/>
        <v>12689.724443555469</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x14ac:dyDescent="0.3">
      <c r="D205" s="619">
        <v>187</v>
      </c>
      <c r="F205" s="18">
        <f ca="1" xml:space="preserve"> ( __Saldo_Final _Anterior + T_SeguroAnual!__Saldo_Ciclico ) * ( __Stopper_Saldo_Inicial )</f>
        <v>7.2759576141834259E-12</v>
      </c>
      <c r="G205" s="83">
        <f ca="1">MIN( CHOOSE(i.Opcion.Abono, __Capital_Opcion_1, __Capital_Opcion_2, __Capital_Opcion_3) _Actual, __Saldo_Inicial _Actual)</f>
        <v>0</v>
      </c>
      <c r="H205" s="83">
        <f t="shared" ca="1" si="14"/>
        <v>2.6072181450823943E-15</v>
      </c>
      <c r="I205" s="84">
        <f ca="1">T_AutoYSeguroMulti!__Dias_Interes_Periodo</f>
        <v>30</v>
      </c>
      <c r="J205" s="84">
        <f t="shared" ca="1" si="15"/>
        <v>7.8216544352471822E-14</v>
      </c>
      <c r="K205" s="84">
        <f t="shared" ca="1" si="16"/>
        <v>9.3859853222966188E-15</v>
      </c>
      <c r="L205" s="83">
        <f t="shared" ca="1" si="17"/>
        <v>8.7602529674768438E-14</v>
      </c>
      <c r="M205" s="646">
        <f>INDEX(TablaCliente!_CapturaAbonoAnticipadoTablaCliente,__Amortizacion)</f>
        <v>0</v>
      </c>
      <c r="N205" s="84">
        <f t="shared" ca="1" si="18"/>
        <v>7.2759576141834259E-12</v>
      </c>
      <c r="P205" s="618" t="b">
        <f ca="1">__Saldo_Final _Anterior &gt; 0</f>
        <v>1</v>
      </c>
      <c r="Q205" s="98"/>
      <c r="R205" s="84">
        <f ca="1" xml:space="preserve"> T_AutoYSeguroMulti!_Pago.Fijo + T_SeguroAnual!__Pago_Fijo</f>
        <v>12689.724443555469</v>
      </c>
      <c r="S205" s="84">
        <f ca="1" xml:space="preserve"> T_AutoYSeguroMulti!__Capital + T_SeguroAnual!__Capital</f>
        <v>0</v>
      </c>
      <c r="T205" s="84">
        <f t="shared" ca="1" si="19"/>
        <v>12689.724443555469</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x14ac:dyDescent="0.3">
      <c r="D206" s="619">
        <v>188</v>
      </c>
      <c r="F206" s="18">
        <f ca="1" xml:space="preserve"> ( __Saldo_Final _Anterior + T_SeguroAnual!__Saldo_Ciclico ) * ( __Stopper_Saldo_Inicial )</f>
        <v>7.2759576141834259E-12</v>
      </c>
      <c r="G206" s="83">
        <f ca="1">MIN( CHOOSE(i.Opcion.Abono, __Capital_Opcion_1, __Capital_Opcion_2, __Capital_Opcion_3) _Actual, __Saldo_Inicial _Actual)</f>
        <v>0</v>
      </c>
      <c r="H206" s="83">
        <f t="shared" ca="1" si="14"/>
        <v>2.6072181450823943E-15</v>
      </c>
      <c r="I206" s="84">
        <f ca="1">T_AutoYSeguroMulti!__Dias_Interes_Periodo</f>
        <v>30</v>
      </c>
      <c r="J206" s="84">
        <f t="shared" ca="1" si="15"/>
        <v>7.8216544352471822E-14</v>
      </c>
      <c r="K206" s="84">
        <f t="shared" ca="1" si="16"/>
        <v>9.3859853222966188E-15</v>
      </c>
      <c r="L206" s="83">
        <f t="shared" ca="1" si="17"/>
        <v>8.7602529674768438E-14</v>
      </c>
      <c r="M206" s="646">
        <f>INDEX(TablaCliente!_CapturaAbonoAnticipadoTablaCliente,__Amortizacion)</f>
        <v>0</v>
      </c>
      <c r="N206" s="84">
        <f t="shared" ca="1" si="18"/>
        <v>7.2759576141834259E-12</v>
      </c>
      <c r="P206" s="618" t="b">
        <f ca="1">__Saldo_Final _Anterior &gt; 0</f>
        <v>1</v>
      </c>
      <c r="Q206" s="98"/>
      <c r="R206" s="84">
        <f ca="1" xml:space="preserve"> T_AutoYSeguroMulti!_Pago.Fijo + T_SeguroAnual!__Pago_Fijo</f>
        <v>12689.724443555469</v>
      </c>
      <c r="S206" s="84">
        <f ca="1" xml:space="preserve"> T_AutoYSeguroMulti!__Capital + T_SeguroAnual!__Capital</f>
        <v>0</v>
      </c>
      <c r="T206" s="84">
        <f t="shared" ca="1" si="19"/>
        <v>12689.724443555469</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x14ac:dyDescent="0.3">
      <c r="D207" s="619">
        <v>189</v>
      </c>
      <c r="F207" s="18">
        <f ca="1" xml:space="preserve"> ( __Saldo_Final _Anterior + T_SeguroAnual!__Saldo_Ciclico ) * ( __Stopper_Saldo_Inicial )</f>
        <v>7.2759576141834259E-12</v>
      </c>
      <c r="G207" s="83">
        <f ca="1">MIN( CHOOSE(i.Opcion.Abono, __Capital_Opcion_1, __Capital_Opcion_2, __Capital_Opcion_3) _Actual, __Saldo_Inicial _Actual)</f>
        <v>0</v>
      </c>
      <c r="H207" s="83">
        <f t="shared" ca="1" si="14"/>
        <v>2.6072181450823943E-15</v>
      </c>
      <c r="I207" s="84">
        <f ca="1">T_AutoYSeguroMulti!__Dias_Interes_Periodo</f>
        <v>30</v>
      </c>
      <c r="J207" s="84">
        <f t="shared" ca="1" si="15"/>
        <v>7.8216544352471822E-14</v>
      </c>
      <c r="K207" s="84">
        <f t="shared" ca="1" si="16"/>
        <v>9.3859853222966188E-15</v>
      </c>
      <c r="L207" s="83">
        <f t="shared" ca="1" si="17"/>
        <v>8.7602529674768438E-14</v>
      </c>
      <c r="M207" s="646">
        <f>INDEX(TablaCliente!_CapturaAbonoAnticipadoTablaCliente,__Amortizacion)</f>
        <v>0</v>
      </c>
      <c r="N207" s="84">
        <f t="shared" ca="1" si="18"/>
        <v>7.2759576141834259E-12</v>
      </c>
      <c r="P207" s="618" t="b">
        <f ca="1">__Saldo_Final _Anterior &gt; 0</f>
        <v>1</v>
      </c>
      <c r="Q207" s="98"/>
      <c r="R207" s="84">
        <f ca="1" xml:space="preserve"> T_AutoYSeguroMulti!_Pago.Fijo + T_SeguroAnual!__Pago_Fijo</f>
        <v>12689.724443555469</v>
      </c>
      <c r="S207" s="84">
        <f ca="1" xml:space="preserve"> T_AutoYSeguroMulti!__Capital + T_SeguroAnual!__Capital</f>
        <v>0</v>
      </c>
      <c r="T207" s="84">
        <f t="shared" ca="1" si="19"/>
        <v>12689.724443555469</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x14ac:dyDescent="0.3">
      <c r="D208" s="98">
        <v>190</v>
      </c>
      <c r="F208" s="18">
        <f ca="1" xml:space="preserve"> ( __Saldo_Final _Anterior + T_SeguroAnual!__Saldo_Ciclico ) * ( __Stopper_Saldo_Inicial )</f>
        <v>7.2759576141834259E-12</v>
      </c>
      <c r="G208" s="83">
        <f ca="1">MIN( CHOOSE(i.Opcion.Abono, __Capital_Opcion_1, __Capital_Opcion_2, __Capital_Opcion_3) _Actual, __Saldo_Inicial _Actual)</f>
        <v>0</v>
      </c>
      <c r="H208" s="83">
        <f t="shared" ca="1" si="14"/>
        <v>2.6072181450823943E-15</v>
      </c>
      <c r="I208" s="84">
        <f ca="1">T_AutoYSeguroMulti!__Dias_Interes_Periodo</f>
        <v>30</v>
      </c>
      <c r="J208" s="84">
        <f t="shared" ca="1" si="15"/>
        <v>7.8216544352471822E-14</v>
      </c>
      <c r="K208" s="84">
        <f t="shared" ca="1" si="16"/>
        <v>9.3859853222966188E-15</v>
      </c>
      <c r="L208" s="83">
        <f t="shared" ca="1" si="17"/>
        <v>8.7602529674768438E-14</v>
      </c>
      <c r="M208" s="646">
        <f>INDEX(TablaCliente!_CapturaAbonoAnticipadoTablaCliente,__Amortizacion)</f>
        <v>0</v>
      </c>
      <c r="N208" s="84">
        <f t="shared" ca="1" si="18"/>
        <v>7.2759576141834259E-12</v>
      </c>
      <c r="P208" s="618" t="b">
        <f ca="1">__Saldo_Final _Anterior &gt; 0</f>
        <v>1</v>
      </c>
      <c r="Q208" s="98"/>
      <c r="R208" s="84">
        <f ca="1" xml:space="preserve"> T_AutoYSeguroMulti!_Pago.Fijo + T_SeguroAnual!__Pago_Fijo</f>
        <v>12689.724443555469</v>
      </c>
      <c r="S208" s="84">
        <f ca="1" xml:space="preserve"> T_AutoYSeguroMulti!__Capital + T_SeguroAnual!__Capital</f>
        <v>0</v>
      </c>
      <c r="T208" s="84">
        <f t="shared" ca="1" si="19"/>
        <v>12689.724443555469</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x14ac:dyDescent="0.3">
      <c r="D209" s="619">
        <v>191</v>
      </c>
      <c r="F209" s="18">
        <f ca="1" xml:space="preserve"> ( __Saldo_Final _Anterior + T_SeguroAnual!__Saldo_Ciclico ) * ( __Stopper_Saldo_Inicial )</f>
        <v>7.2759576141834259E-12</v>
      </c>
      <c r="G209" s="83">
        <f ca="1">MIN( CHOOSE(i.Opcion.Abono, __Capital_Opcion_1, __Capital_Opcion_2, __Capital_Opcion_3) _Actual, __Saldo_Inicial _Actual)</f>
        <v>0</v>
      </c>
      <c r="H209" s="83">
        <f t="shared" ca="1" si="14"/>
        <v>2.6072181450823943E-15</v>
      </c>
      <c r="I209" s="84">
        <f ca="1">T_AutoYSeguroMulti!__Dias_Interes_Periodo</f>
        <v>30</v>
      </c>
      <c r="J209" s="84">
        <f t="shared" ca="1" si="15"/>
        <v>7.8216544352471822E-14</v>
      </c>
      <c r="K209" s="84">
        <f t="shared" ca="1" si="16"/>
        <v>9.3859853222966188E-15</v>
      </c>
      <c r="L209" s="83">
        <f t="shared" ca="1" si="17"/>
        <v>8.7602529674768438E-14</v>
      </c>
      <c r="M209" s="646">
        <f>INDEX(TablaCliente!_CapturaAbonoAnticipadoTablaCliente,__Amortizacion)</f>
        <v>0</v>
      </c>
      <c r="N209" s="84">
        <f t="shared" ca="1" si="18"/>
        <v>7.2759576141834259E-12</v>
      </c>
      <c r="P209" s="618" t="b">
        <f ca="1">__Saldo_Final _Anterior &gt; 0</f>
        <v>1</v>
      </c>
      <c r="Q209" s="98"/>
      <c r="R209" s="84">
        <f ca="1" xml:space="preserve"> T_AutoYSeguroMulti!_Pago.Fijo + T_SeguroAnual!__Pago_Fijo</f>
        <v>12689.724443555469</v>
      </c>
      <c r="S209" s="84">
        <f ca="1" xml:space="preserve"> T_AutoYSeguroMulti!__Capital + T_SeguroAnual!__Capital</f>
        <v>0</v>
      </c>
      <c r="T209" s="84">
        <f t="shared" ca="1" si="19"/>
        <v>12689.724443555469</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x14ac:dyDescent="0.3">
      <c r="D210" s="619">
        <v>192</v>
      </c>
      <c r="F210" s="18">
        <f ca="1" xml:space="preserve"> ( __Saldo_Final _Anterior + T_SeguroAnual!__Saldo_Ciclico ) * ( __Stopper_Saldo_Inicial )</f>
        <v>7.2759576141834259E-12</v>
      </c>
      <c r="G210" s="83">
        <f ca="1">MIN( CHOOSE(i.Opcion.Abono, __Capital_Opcion_1, __Capital_Opcion_2, __Capital_Opcion_3) _Actual, __Saldo_Inicial _Actual)</f>
        <v>0</v>
      </c>
      <c r="H210" s="83">
        <f t="shared" ca="1" si="14"/>
        <v>2.6072181450823943E-15</v>
      </c>
      <c r="I210" s="84">
        <f ca="1">T_AutoYSeguroMulti!__Dias_Interes_Periodo</f>
        <v>30</v>
      </c>
      <c r="J210" s="84">
        <f t="shared" ca="1" si="15"/>
        <v>7.8216544352471822E-14</v>
      </c>
      <c r="K210" s="84">
        <f t="shared" ca="1" si="16"/>
        <v>9.3859853222966188E-15</v>
      </c>
      <c r="L210" s="83">
        <f t="shared" ca="1" si="17"/>
        <v>8.7602529674768438E-14</v>
      </c>
      <c r="M210" s="646">
        <f>INDEX(TablaCliente!_CapturaAbonoAnticipadoTablaCliente,__Amortizacion)</f>
        <v>0</v>
      </c>
      <c r="N210" s="84">
        <f t="shared" ca="1" si="18"/>
        <v>7.2759576141834259E-12</v>
      </c>
      <c r="P210" s="618" t="b">
        <f ca="1">__Saldo_Final _Anterior &gt; 0</f>
        <v>1</v>
      </c>
      <c r="Q210" s="98"/>
      <c r="R210" s="84">
        <f ca="1" xml:space="preserve"> T_AutoYSeguroMulti!_Pago.Fijo + T_SeguroAnual!__Pago_Fijo</f>
        <v>12689.724443555469</v>
      </c>
      <c r="S210" s="84">
        <f ca="1" xml:space="preserve"> T_AutoYSeguroMulti!__Capital + T_SeguroAnual!__Capital</f>
        <v>0</v>
      </c>
      <c r="T210" s="84">
        <f t="shared" ca="1" si="19"/>
        <v>12689.724443555469</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x14ac:dyDescent="0.3">
      <c r="D211" s="619">
        <v>193</v>
      </c>
      <c r="F211" s="18">
        <f ca="1" xml:space="preserve"> ( __Saldo_Final _Anterior + T_SeguroAnual!__Saldo_Ciclico ) * ( __Stopper_Saldo_Inicial )</f>
        <v>7.2759576141834259E-12</v>
      </c>
      <c r="G211" s="83">
        <f ca="1">MIN( CHOOSE(i.Opcion.Abono, __Capital_Opcion_1, __Capital_Opcion_2, __Capital_Opcion_3) _Actual, __Saldo_Inicial _Actual)</f>
        <v>0</v>
      </c>
      <c r="H211" s="83">
        <f t="shared" ref="H211:H278" ca="1" si="21" xml:space="preserve"> __Saldo_Inicial * _Tasa.Diaria</f>
        <v>2.6072181450823943E-15</v>
      </c>
      <c r="I211" s="84">
        <f ca="1">T_AutoYSeguroMulti!__Dias_Interes_Periodo</f>
        <v>30</v>
      </c>
      <c r="J211" s="84">
        <f t="shared" ref="J211:J278" ca="1" si="22" xml:space="preserve"> __Interes_Diario * __Dias_Interes_Periodo</f>
        <v>7.8216544352471822E-14</v>
      </c>
      <c r="K211" s="84">
        <f t="shared" ref="K211:K278" ca="1" si="23" xml:space="preserve"> __Interes * i.Iva.Intereses</f>
        <v>9.3859853222966188E-15</v>
      </c>
      <c r="L211" s="83">
        <f t="shared" ref="L211:L278" ca="1" si="24" xml:space="preserve"> __Capital + __Interes + __IVA</f>
        <v>8.7602529674768438E-14</v>
      </c>
      <c r="M211" s="646">
        <f>INDEX(TablaCliente!_CapturaAbonoAnticipadoTablaCliente,__Amortizacion)</f>
        <v>0</v>
      </c>
      <c r="N211" s="84">
        <f t="shared" ref="N211:N278" ca="1" si="25">MAX( __Saldo_Inicial-__Capital-__Abono_Anticipado, 0)</f>
        <v>7.2759576141834259E-12</v>
      </c>
      <c r="P211" s="618" t="b">
        <f ca="1">__Saldo_Final _Anterior &gt; 0</f>
        <v>1</v>
      </c>
      <c r="Q211" s="98"/>
      <c r="R211" s="84">
        <f ca="1" xml:space="preserve"> T_AutoYSeguroMulti!_Pago.Fijo + T_SeguroAnual!__Pago_Fijo</f>
        <v>12689.724443555469</v>
      </c>
      <c r="S211" s="84">
        <f ca="1" xml:space="preserve"> T_AutoYSeguroMulti!__Capital + T_SeguroAnual!__Capital</f>
        <v>0</v>
      </c>
      <c r="T211" s="84">
        <f t="shared" ref="T211:T278" ca="1" si="26">__Pago_Fijo - (__Interes_Diario * i.Dias.Por.Periodo * (1+i.Iva.Intereses))</f>
        <v>12689.724443555469</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x14ac:dyDescent="0.3">
      <c r="D212" s="619">
        <v>194</v>
      </c>
      <c r="F212" s="18">
        <f ca="1" xml:space="preserve"> ( __Saldo_Final _Anterior + T_SeguroAnual!__Saldo_Ciclico ) * ( __Stopper_Saldo_Inicial )</f>
        <v>7.2759576141834259E-12</v>
      </c>
      <c r="G212" s="83">
        <f ca="1">MIN( CHOOSE(i.Opcion.Abono, __Capital_Opcion_1, __Capital_Opcion_2, __Capital_Opcion_3) _Actual, __Saldo_Inicial _Actual)</f>
        <v>0</v>
      </c>
      <c r="H212" s="83">
        <f t="shared" ca="1" si="21"/>
        <v>2.6072181450823943E-15</v>
      </c>
      <c r="I212" s="84">
        <f ca="1">T_AutoYSeguroMulti!__Dias_Interes_Periodo</f>
        <v>30</v>
      </c>
      <c r="J212" s="84">
        <f t="shared" ca="1" si="22"/>
        <v>7.8216544352471822E-14</v>
      </c>
      <c r="K212" s="84">
        <f t="shared" ca="1" si="23"/>
        <v>9.3859853222966188E-15</v>
      </c>
      <c r="L212" s="83">
        <f t="shared" ca="1" si="24"/>
        <v>8.7602529674768438E-14</v>
      </c>
      <c r="M212" s="646">
        <f>INDEX(TablaCliente!_CapturaAbonoAnticipadoTablaCliente,__Amortizacion)</f>
        <v>0</v>
      </c>
      <c r="N212" s="84">
        <f t="shared" ca="1" si="25"/>
        <v>7.2759576141834259E-12</v>
      </c>
      <c r="P212" s="618" t="b">
        <f ca="1">__Saldo_Final _Anterior &gt; 0</f>
        <v>1</v>
      </c>
      <c r="Q212" s="98"/>
      <c r="R212" s="84">
        <f ca="1" xml:space="preserve"> T_AutoYSeguroMulti!_Pago.Fijo + T_SeguroAnual!__Pago_Fijo</f>
        <v>12689.724443555469</v>
      </c>
      <c r="S212" s="84">
        <f ca="1" xml:space="preserve"> T_AutoYSeguroMulti!__Capital + T_SeguroAnual!__Capital</f>
        <v>0</v>
      </c>
      <c r="T212" s="84">
        <f t="shared" ca="1" si="26"/>
        <v>12689.724443555469</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x14ac:dyDescent="0.3">
      <c r="D213" s="619">
        <v>195</v>
      </c>
      <c r="F213" s="18">
        <f ca="1" xml:space="preserve"> ( __Saldo_Final _Anterior + T_SeguroAnual!__Saldo_Ciclico ) * ( __Stopper_Saldo_Inicial )</f>
        <v>7.2759576141834259E-12</v>
      </c>
      <c r="G213" s="83">
        <f ca="1">MIN( CHOOSE(i.Opcion.Abono, __Capital_Opcion_1, __Capital_Opcion_2, __Capital_Opcion_3) _Actual, __Saldo_Inicial _Actual)</f>
        <v>0</v>
      </c>
      <c r="H213" s="83">
        <f t="shared" ca="1" si="21"/>
        <v>2.6072181450823943E-15</v>
      </c>
      <c r="I213" s="84">
        <f ca="1">T_AutoYSeguroMulti!__Dias_Interes_Periodo</f>
        <v>30</v>
      </c>
      <c r="J213" s="84">
        <f t="shared" ca="1" si="22"/>
        <v>7.8216544352471822E-14</v>
      </c>
      <c r="K213" s="84">
        <f t="shared" ca="1" si="23"/>
        <v>9.3859853222966188E-15</v>
      </c>
      <c r="L213" s="83">
        <f t="shared" ca="1" si="24"/>
        <v>8.7602529674768438E-14</v>
      </c>
      <c r="M213" s="646">
        <f>INDEX(TablaCliente!_CapturaAbonoAnticipadoTablaCliente,__Amortizacion)</f>
        <v>0</v>
      </c>
      <c r="N213" s="84">
        <f t="shared" ca="1" si="25"/>
        <v>7.2759576141834259E-12</v>
      </c>
      <c r="P213" s="618" t="b">
        <f ca="1">__Saldo_Final _Anterior &gt; 0</f>
        <v>1</v>
      </c>
      <c r="Q213" s="98"/>
      <c r="R213" s="84">
        <f ca="1" xml:space="preserve"> T_AutoYSeguroMulti!_Pago.Fijo + T_SeguroAnual!__Pago_Fijo</f>
        <v>12689.724443555469</v>
      </c>
      <c r="S213" s="84">
        <f ca="1" xml:space="preserve"> T_AutoYSeguroMulti!__Capital + T_SeguroAnual!__Capital</f>
        <v>0</v>
      </c>
      <c r="T213" s="84">
        <f t="shared" ca="1" si="26"/>
        <v>12689.724443555469</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x14ac:dyDescent="0.3">
      <c r="D214" s="619">
        <v>196</v>
      </c>
      <c r="F214" s="18">
        <f ca="1" xml:space="preserve"> ( __Saldo_Final _Anterior + T_SeguroAnual!__Saldo_Ciclico ) * ( __Stopper_Saldo_Inicial )</f>
        <v>7.2759576141834259E-12</v>
      </c>
      <c r="G214" s="83">
        <f ca="1">MIN( CHOOSE(i.Opcion.Abono, __Capital_Opcion_1, __Capital_Opcion_2, __Capital_Opcion_3) _Actual, __Saldo_Inicial _Actual)</f>
        <v>0</v>
      </c>
      <c r="H214" s="83">
        <f t="shared" ca="1" si="21"/>
        <v>2.6072181450823943E-15</v>
      </c>
      <c r="I214" s="84">
        <f ca="1">T_AutoYSeguroMulti!__Dias_Interes_Periodo</f>
        <v>30</v>
      </c>
      <c r="J214" s="84">
        <f t="shared" ca="1" si="22"/>
        <v>7.8216544352471822E-14</v>
      </c>
      <c r="K214" s="84">
        <f t="shared" ca="1" si="23"/>
        <v>9.3859853222966188E-15</v>
      </c>
      <c r="L214" s="83">
        <f t="shared" ca="1" si="24"/>
        <v>8.7602529674768438E-14</v>
      </c>
      <c r="M214" s="646">
        <f>INDEX(TablaCliente!_CapturaAbonoAnticipadoTablaCliente,__Amortizacion)</f>
        <v>0</v>
      </c>
      <c r="N214" s="84">
        <f t="shared" ca="1" si="25"/>
        <v>7.2759576141834259E-12</v>
      </c>
      <c r="P214" s="618" t="b">
        <f ca="1">__Saldo_Final _Anterior &gt; 0</f>
        <v>1</v>
      </c>
      <c r="Q214" s="98"/>
      <c r="R214" s="84">
        <f ca="1" xml:space="preserve"> T_AutoYSeguroMulti!_Pago.Fijo + T_SeguroAnual!__Pago_Fijo</f>
        <v>12689.724443555469</v>
      </c>
      <c r="S214" s="84">
        <f ca="1" xml:space="preserve"> T_AutoYSeguroMulti!__Capital + T_SeguroAnual!__Capital</f>
        <v>0</v>
      </c>
      <c r="T214" s="84">
        <f t="shared" ca="1" si="26"/>
        <v>12689.724443555469</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x14ac:dyDescent="0.3">
      <c r="D215" s="619">
        <v>197</v>
      </c>
      <c r="F215" s="18">
        <f ca="1" xml:space="preserve"> ( __Saldo_Final _Anterior + T_SeguroAnual!__Saldo_Ciclico ) * ( __Stopper_Saldo_Inicial )</f>
        <v>7.2759576141834259E-12</v>
      </c>
      <c r="G215" s="83">
        <f ca="1">MIN( CHOOSE(i.Opcion.Abono, __Capital_Opcion_1, __Capital_Opcion_2, __Capital_Opcion_3) _Actual, __Saldo_Inicial _Actual)</f>
        <v>0</v>
      </c>
      <c r="H215" s="83">
        <f t="shared" ca="1" si="21"/>
        <v>2.6072181450823943E-15</v>
      </c>
      <c r="I215" s="84">
        <f ca="1">T_AutoYSeguroMulti!__Dias_Interes_Periodo</f>
        <v>30</v>
      </c>
      <c r="J215" s="84">
        <f t="shared" ca="1" si="22"/>
        <v>7.8216544352471822E-14</v>
      </c>
      <c r="K215" s="84">
        <f t="shared" ca="1" si="23"/>
        <v>9.3859853222966188E-15</v>
      </c>
      <c r="L215" s="83">
        <f t="shared" ca="1" si="24"/>
        <v>8.7602529674768438E-14</v>
      </c>
      <c r="M215" s="646">
        <f>INDEX(TablaCliente!_CapturaAbonoAnticipadoTablaCliente,__Amortizacion)</f>
        <v>0</v>
      </c>
      <c r="N215" s="84">
        <f t="shared" ca="1" si="25"/>
        <v>7.2759576141834259E-12</v>
      </c>
      <c r="P215" s="618" t="b">
        <f ca="1">__Saldo_Final _Anterior &gt; 0</f>
        <v>1</v>
      </c>
      <c r="Q215" s="98"/>
      <c r="R215" s="84">
        <f ca="1" xml:space="preserve"> T_AutoYSeguroMulti!_Pago.Fijo + T_SeguroAnual!__Pago_Fijo</f>
        <v>12689.724443555469</v>
      </c>
      <c r="S215" s="84">
        <f ca="1" xml:space="preserve"> T_AutoYSeguroMulti!__Capital + T_SeguroAnual!__Capital</f>
        <v>0</v>
      </c>
      <c r="T215" s="84">
        <f t="shared" ca="1" si="26"/>
        <v>12689.724443555469</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x14ac:dyDescent="0.3">
      <c r="D216" s="619">
        <v>198</v>
      </c>
      <c r="F216" s="18">
        <f ca="1" xml:space="preserve"> ( __Saldo_Final _Anterior + T_SeguroAnual!__Saldo_Ciclico ) * ( __Stopper_Saldo_Inicial )</f>
        <v>7.2759576141834259E-12</v>
      </c>
      <c r="G216" s="83">
        <f ca="1">MIN( CHOOSE(i.Opcion.Abono, __Capital_Opcion_1, __Capital_Opcion_2, __Capital_Opcion_3) _Actual, __Saldo_Inicial _Actual)</f>
        <v>0</v>
      </c>
      <c r="H216" s="83">
        <f t="shared" ca="1" si="21"/>
        <v>2.6072181450823943E-15</v>
      </c>
      <c r="I216" s="84">
        <f ca="1">T_AutoYSeguroMulti!__Dias_Interes_Periodo</f>
        <v>30</v>
      </c>
      <c r="J216" s="84">
        <f t="shared" ca="1" si="22"/>
        <v>7.8216544352471822E-14</v>
      </c>
      <c r="K216" s="84">
        <f t="shared" ca="1" si="23"/>
        <v>9.3859853222966188E-15</v>
      </c>
      <c r="L216" s="83">
        <f t="shared" ca="1" si="24"/>
        <v>8.7602529674768438E-14</v>
      </c>
      <c r="M216" s="646">
        <f>INDEX(TablaCliente!_CapturaAbonoAnticipadoTablaCliente,__Amortizacion)</f>
        <v>0</v>
      </c>
      <c r="N216" s="84">
        <f t="shared" ca="1" si="25"/>
        <v>7.2759576141834259E-12</v>
      </c>
      <c r="P216" s="618" t="b">
        <f ca="1">__Saldo_Final _Anterior &gt; 0</f>
        <v>1</v>
      </c>
      <c r="Q216" s="98"/>
      <c r="R216" s="84">
        <f ca="1" xml:space="preserve"> T_AutoYSeguroMulti!_Pago.Fijo + T_SeguroAnual!__Pago_Fijo</f>
        <v>12689.724443555469</v>
      </c>
      <c r="S216" s="84">
        <f ca="1" xml:space="preserve"> T_AutoYSeguroMulti!__Capital + T_SeguroAnual!__Capital</f>
        <v>0</v>
      </c>
      <c r="T216" s="84">
        <f t="shared" ca="1" si="26"/>
        <v>12689.724443555469</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x14ac:dyDescent="0.3">
      <c r="D217" s="619">
        <v>199</v>
      </c>
      <c r="F217" s="18">
        <f ca="1" xml:space="preserve"> ( __Saldo_Final _Anterior + T_SeguroAnual!__Saldo_Ciclico ) * ( __Stopper_Saldo_Inicial )</f>
        <v>7.2759576141834259E-12</v>
      </c>
      <c r="G217" s="83">
        <f ca="1">MIN( CHOOSE(i.Opcion.Abono, __Capital_Opcion_1, __Capital_Opcion_2, __Capital_Opcion_3) _Actual, __Saldo_Inicial _Actual)</f>
        <v>0</v>
      </c>
      <c r="H217" s="83">
        <f t="shared" ca="1" si="21"/>
        <v>2.6072181450823943E-15</v>
      </c>
      <c r="I217" s="84">
        <f ca="1">T_AutoYSeguroMulti!__Dias_Interes_Periodo</f>
        <v>30</v>
      </c>
      <c r="J217" s="84">
        <f t="shared" ca="1" si="22"/>
        <v>7.8216544352471822E-14</v>
      </c>
      <c r="K217" s="84">
        <f t="shared" ca="1" si="23"/>
        <v>9.3859853222966188E-15</v>
      </c>
      <c r="L217" s="83">
        <f t="shared" ca="1" si="24"/>
        <v>8.7602529674768438E-14</v>
      </c>
      <c r="M217" s="646">
        <f>INDEX(TablaCliente!_CapturaAbonoAnticipadoTablaCliente,__Amortizacion)</f>
        <v>0</v>
      </c>
      <c r="N217" s="84">
        <f t="shared" ca="1" si="25"/>
        <v>7.2759576141834259E-12</v>
      </c>
      <c r="P217" s="618" t="b">
        <f ca="1">__Saldo_Final _Anterior &gt; 0</f>
        <v>1</v>
      </c>
      <c r="Q217" s="98"/>
      <c r="R217" s="84">
        <f ca="1" xml:space="preserve"> T_AutoYSeguroMulti!_Pago.Fijo + T_SeguroAnual!__Pago_Fijo</f>
        <v>12689.724443555469</v>
      </c>
      <c r="S217" s="84">
        <f ca="1" xml:space="preserve"> T_AutoYSeguroMulti!__Capital + T_SeguroAnual!__Capital</f>
        <v>0</v>
      </c>
      <c r="T217" s="84">
        <f t="shared" ca="1" si="26"/>
        <v>12689.724443555469</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x14ac:dyDescent="0.3">
      <c r="D218" s="619">
        <v>200</v>
      </c>
      <c r="F218" s="18">
        <f ca="1" xml:space="preserve"> ( __Saldo_Final _Anterior + T_SeguroAnual!__Saldo_Ciclico ) * ( __Stopper_Saldo_Inicial )</f>
        <v>7.2759576141834259E-12</v>
      </c>
      <c r="G218" s="83">
        <f ca="1">MIN( CHOOSE(i.Opcion.Abono, __Capital_Opcion_1, __Capital_Opcion_2, __Capital_Opcion_3) _Actual, __Saldo_Inicial _Actual)</f>
        <v>0</v>
      </c>
      <c r="H218" s="83">
        <f t="shared" ca="1" si="21"/>
        <v>2.6072181450823943E-15</v>
      </c>
      <c r="I218" s="84">
        <f ca="1">T_AutoYSeguroMulti!__Dias_Interes_Periodo</f>
        <v>30</v>
      </c>
      <c r="J218" s="84">
        <f t="shared" ca="1" si="22"/>
        <v>7.8216544352471822E-14</v>
      </c>
      <c r="K218" s="84">
        <f t="shared" ca="1" si="23"/>
        <v>9.3859853222966188E-15</v>
      </c>
      <c r="L218" s="83">
        <f t="shared" ca="1" si="24"/>
        <v>8.7602529674768438E-14</v>
      </c>
      <c r="M218" s="646">
        <f>INDEX(TablaCliente!_CapturaAbonoAnticipadoTablaCliente,__Amortizacion)</f>
        <v>0</v>
      </c>
      <c r="N218" s="84">
        <f t="shared" ca="1" si="25"/>
        <v>7.2759576141834259E-12</v>
      </c>
      <c r="P218" s="618" t="b">
        <f ca="1">__Saldo_Final _Anterior &gt; 0</f>
        <v>1</v>
      </c>
      <c r="Q218" s="98"/>
      <c r="R218" s="84">
        <f ca="1" xml:space="preserve"> T_AutoYSeguroMulti!_Pago.Fijo + T_SeguroAnual!__Pago_Fijo</f>
        <v>12689.724443555469</v>
      </c>
      <c r="S218" s="84">
        <f ca="1" xml:space="preserve"> T_AutoYSeguroMulti!__Capital + T_SeguroAnual!__Capital</f>
        <v>0</v>
      </c>
      <c r="T218" s="84">
        <f t="shared" ca="1" si="26"/>
        <v>12689.724443555469</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x14ac:dyDescent="0.3">
      <c r="D219" s="619">
        <v>201</v>
      </c>
      <c r="F219" s="18">
        <f ca="1" xml:space="preserve"> ( __Saldo_Final _Anterior + T_SeguroAnual!__Saldo_Ciclico ) * ( __Stopper_Saldo_Inicial )</f>
        <v>7.2759576141834259E-12</v>
      </c>
      <c r="G219" s="83">
        <f ca="1">MIN( CHOOSE(i.Opcion.Abono, __Capital_Opcion_1, __Capital_Opcion_2, __Capital_Opcion_3) _Actual, __Saldo_Inicial _Actual)</f>
        <v>0</v>
      </c>
      <c r="H219" s="83">
        <f t="shared" ca="1" si="21"/>
        <v>2.6072181450823943E-15</v>
      </c>
      <c r="I219" s="84">
        <f ca="1">T_AutoYSeguroMulti!__Dias_Interes_Periodo</f>
        <v>30</v>
      </c>
      <c r="J219" s="84">
        <f t="shared" ca="1" si="22"/>
        <v>7.8216544352471822E-14</v>
      </c>
      <c r="K219" s="84">
        <f t="shared" ca="1" si="23"/>
        <v>9.3859853222966188E-15</v>
      </c>
      <c r="L219" s="83">
        <f t="shared" ca="1" si="24"/>
        <v>8.7602529674768438E-14</v>
      </c>
      <c r="M219" s="646">
        <f>INDEX(TablaCliente!_CapturaAbonoAnticipadoTablaCliente,__Amortizacion)</f>
        <v>0</v>
      </c>
      <c r="N219" s="84">
        <f t="shared" ca="1" si="25"/>
        <v>7.2759576141834259E-12</v>
      </c>
      <c r="P219" s="618" t="b">
        <f ca="1">__Saldo_Final _Anterior &gt; 0</f>
        <v>1</v>
      </c>
      <c r="Q219" s="98"/>
      <c r="R219" s="84">
        <f ca="1" xml:space="preserve"> T_AutoYSeguroMulti!_Pago.Fijo + T_SeguroAnual!__Pago_Fijo</f>
        <v>12689.724443555469</v>
      </c>
      <c r="S219" s="84">
        <f ca="1" xml:space="preserve"> T_AutoYSeguroMulti!__Capital + T_SeguroAnual!__Capital</f>
        <v>0</v>
      </c>
      <c r="T219" s="84">
        <f t="shared" ca="1" si="26"/>
        <v>12689.724443555469</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x14ac:dyDescent="0.3">
      <c r="D220" s="619">
        <v>202</v>
      </c>
      <c r="F220" s="18">
        <f ca="1" xml:space="preserve"> ( __Saldo_Final _Anterior + T_SeguroAnual!__Saldo_Ciclico ) * ( __Stopper_Saldo_Inicial )</f>
        <v>7.2759576141834259E-12</v>
      </c>
      <c r="G220" s="83">
        <f ca="1">MIN( CHOOSE(i.Opcion.Abono, __Capital_Opcion_1, __Capital_Opcion_2, __Capital_Opcion_3) _Actual, __Saldo_Inicial _Actual)</f>
        <v>0</v>
      </c>
      <c r="H220" s="83">
        <f t="shared" ca="1" si="21"/>
        <v>2.6072181450823943E-15</v>
      </c>
      <c r="I220" s="84">
        <f ca="1">T_AutoYSeguroMulti!__Dias_Interes_Periodo</f>
        <v>30</v>
      </c>
      <c r="J220" s="84">
        <f t="shared" ca="1" si="22"/>
        <v>7.8216544352471822E-14</v>
      </c>
      <c r="K220" s="84">
        <f t="shared" ca="1" si="23"/>
        <v>9.3859853222966188E-15</v>
      </c>
      <c r="L220" s="83">
        <f t="shared" ca="1" si="24"/>
        <v>8.7602529674768438E-14</v>
      </c>
      <c r="M220" s="646">
        <f>INDEX(TablaCliente!_CapturaAbonoAnticipadoTablaCliente,__Amortizacion)</f>
        <v>0</v>
      </c>
      <c r="N220" s="84">
        <f t="shared" ca="1" si="25"/>
        <v>7.2759576141834259E-12</v>
      </c>
      <c r="P220" s="618" t="b">
        <f ca="1">__Saldo_Final _Anterior &gt; 0</f>
        <v>1</v>
      </c>
      <c r="Q220" s="98"/>
      <c r="R220" s="84">
        <f ca="1" xml:space="preserve"> T_AutoYSeguroMulti!_Pago.Fijo + T_SeguroAnual!__Pago_Fijo</f>
        <v>12689.724443555469</v>
      </c>
      <c r="S220" s="84">
        <f ca="1" xml:space="preserve"> T_AutoYSeguroMulti!__Capital + T_SeguroAnual!__Capital</f>
        <v>0</v>
      </c>
      <c r="T220" s="84">
        <f t="shared" ca="1" si="26"/>
        <v>12689.724443555469</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x14ac:dyDescent="0.3">
      <c r="D221" s="619">
        <v>203</v>
      </c>
      <c r="F221" s="18">
        <f ca="1" xml:space="preserve"> ( __Saldo_Final _Anterior + T_SeguroAnual!__Saldo_Ciclico ) * ( __Stopper_Saldo_Inicial )</f>
        <v>7.2759576141834259E-12</v>
      </c>
      <c r="G221" s="83">
        <f ca="1">MIN( CHOOSE(i.Opcion.Abono, __Capital_Opcion_1, __Capital_Opcion_2, __Capital_Opcion_3) _Actual, __Saldo_Inicial _Actual)</f>
        <v>0</v>
      </c>
      <c r="H221" s="83">
        <f t="shared" ca="1" si="21"/>
        <v>2.6072181450823943E-15</v>
      </c>
      <c r="I221" s="84">
        <f ca="1">T_AutoYSeguroMulti!__Dias_Interes_Periodo</f>
        <v>30</v>
      </c>
      <c r="J221" s="84">
        <f t="shared" ca="1" si="22"/>
        <v>7.8216544352471822E-14</v>
      </c>
      <c r="K221" s="84">
        <f t="shared" ca="1" si="23"/>
        <v>9.3859853222966188E-15</v>
      </c>
      <c r="L221" s="83">
        <f t="shared" ca="1" si="24"/>
        <v>8.7602529674768438E-14</v>
      </c>
      <c r="M221" s="646">
        <f>INDEX(TablaCliente!_CapturaAbonoAnticipadoTablaCliente,__Amortizacion)</f>
        <v>0</v>
      </c>
      <c r="N221" s="84">
        <f t="shared" ca="1" si="25"/>
        <v>7.2759576141834259E-12</v>
      </c>
      <c r="P221" s="618" t="b">
        <f ca="1">__Saldo_Final _Anterior &gt; 0</f>
        <v>1</v>
      </c>
      <c r="Q221" s="98"/>
      <c r="R221" s="84">
        <f ca="1" xml:space="preserve"> T_AutoYSeguroMulti!_Pago.Fijo + T_SeguroAnual!__Pago_Fijo</f>
        <v>12689.724443555469</v>
      </c>
      <c r="S221" s="84">
        <f ca="1" xml:space="preserve"> T_AutoYSeguroMulti!__Capital + T_SeguroAnual!__Capital</f>
        <v>0</v>
      </c>
      <c r="T221" s="84">
        <f t="shared" ca="1" si="26"/>
        <v>12689.724443555469</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x14ac:dyDescent="0.3">
      <c r="D222" s="619">
        <v>204</v>
      </c>
      <c r="F222" s="18">
        <f ca="1" xml:space="preserve"> ( __Saldo_Final _Anterior + T_SeguroAnual!__Saldo_Ciclico ) * ( __Stopper_Saldo_Inicial )</f>
        <v>7.2759576141834259E-12</v>
      </c>
      <c r="G222" s="83">
        <f ca="1">MIN( CHOOSE(i.Opcion.Abono, __Capital_Opcion_1, __Capital_Opcion_2, __Capital_Opcion_3) _Actual, __Saldo_Inicial _Actual)</f>
        <v>0</v>
      </c>
      <c r="H222" s="83">
        <f t="shared" ca="1" si="21"/>
        <v>2.6072181450823943E-15</v>
      </c>
      <c r="I222" s="84">
        <f ca="1">T_AutoYSeguroMulti!__Dias_Interes_Periodo</f>
        <v>30</v>
      </c>
      <c r="J222" s="84">
        <f t="shared" ca="1" si="22"/>
        <v>7.8216544352471822E-14</v>
      </c>
      <c r="K222" s="84">
        <f t="shared" ca="1" si="23"/>
        <v>9.3859853222966188E-15</v>
      </c>
      <c r="L222" s="83">
        <f t="shared" ca="1" si="24"/>
        <v>8.7602529674768438E-14</v>
      </c>
      <c r="M222" s="646">
        <f>INDEX(TablaCliente!_CapturaAbonoAnticipadoTablaCliente,__Amortizacion)</f>
        <v>0</v>
      </c>
      <c r="N222" s="84">
        <f t="shared" ca="1" si="25"/>
        <v>7.2759576141834259E-12</v>
      </c>
      <c r="P222" s="618" t="b">
        <f ca="1">__Saldo_Final _Anterior &gt; 0</f>
        <v>1</v>
      </c>
      <c r="Q222" s="98"/>
      <c r="R222" s="84">
        <f ca="1" xml:space="preserve"> T_AutoYSeguroMulti!_Pago.Fijo + T_SeguroAnual!__Pago_Fijo</f>
        <v>12689.724443555469</v>
      </c>
      <c r="S222" s="84">
        <f ca="1" xml:space="preserve"> T_AutoYSeguroMulti!__Capital + T_SeguroAnual!__Capital</f>
        <v>0</v>
      </c>
      <c r="T222" s="84">
        <f t="shared" ca="1" si="26"/>
        <v>12689.724443555469</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x14ac:dyDescent="0.3">
      <c r="D223" s="619">
        <v>205</v>
      </c>
      <c r="F223" s="18">
        <f ca="1" xml:space="preserve"> ( __Saldo_Final _Anterior + T_SeguroAnual!__Saldo_Ciclico ) * ( __Stopper_Saldo_Inicial )</f>
        <v>7.2759576141834259E-12</v>
      </c>
      <c r="G223" s="83">
        <f ca="1">MIN( CHOOSE(i.Opcion.Abono, __Capital_Opcion_1, __Capital_Opcion_2, __Capital_Opcion_3) _Actual, __Saldo_Inicial _Actual)</f>
        <v>0</v>
      </c>
      <c r="H223" s="83">
        <f t="shared" ca="1" si="21"/>
        <v>2.6072181450823943E-15</v>
      </c>
      <c r="I223" s="84">
        <f ca="1">T_AutoYSeguroMulti!__Dias_Interes_Periodo</f>
        <v>30</v>
      </c>
      <c r="J223" s="84">
        <f t="shared" ca="1" si="22"/>
        <v>7.8216544352471822E-14</v>
      </c>
      <c r="K223" s="84">
        <f t="shared" ca="1" si="23"/>
        <v>9.3859853222966188E-15</v>
      </c>
      <c r="L223" s="83">
        <f t="shared" ca="1" si="24"/>
        <v>8.7602529674768438E-14</v>
      </c>
      <c r="M223" s="646">
        <f>INDEX(TablaCliente!_CapturaAbonoAnticipadoTablaCliente,__Amortizacion)</f>
        <v>0</v>
      </c>
      <c r="N223" s="84">
        <f t="shared" ca="1" si="25"/>
        <v>7.2759576141834259E-12</v>
      </c>
      <c r="P223" s="618" t="b">
        <f ca="1">__Saldo_Final _Anterior &gt; 0</f>
        <v>1</v>
      </c>
      <c r="Q223" s="98"/>
      <c r="R223" s="84">
        <f ca="1" xml:space="preserve"> T_AutoYSeguroMulti!_Pago.Fijo + T_SeguroAnual!__Pago_Fijo</f>
        <v>12689.724443555469</v>
      </c>
      <c r="S223" s="84">
        <f ca="1" xml:space="preserve"> T_AutoYSeguroMulti!__Capital + T_SeguroAnual!__Capital</f>
        <v>0</v>
      </c>
      <c r="T223" s="84">
        <f t="shared" ca="1" si="26"/>
        <v>12689.724443555469</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x14ac:dyDescent="0.3">
      <c r="D224" s="619">
        <v>206</v>
      </c>
      <c r="F224" s="18">
        <f ca="1" xml:space="preserve"> ( __Saldo_Final _Anterior + T_SeguroAnual!__Saldo_Ciclico ) * ( __Stopper_Saldo_Inicial )</f>
        <v>7.2759576141834259E-12</v>
      </c>
      <c r="G224" s="83">
        <f ca="1">MIN( CHOOSE(i.Opcion.Abono, __Capital_Opcion_1, __Capital_Opcion_2, __Capital_Opcion_3) _Actual, __Saldo_Inicial _Actual)</f>
        <v>0</v>
      </c>
      <c r="H224" s="83">
        <f t="shared" ca="1" si="21"/>
        <v>2.6072181450823943E-15</v>
      </c>
      <c r="I224" s="84">
        <f ca="1">T_AutoYSeguroMulti!__Dias_Interes_Periodo</f>
        <v>30</v>
      </c>
      <c r="J224" s="84">
        <f t="shared" ca="1" si="22"/>
        <v>7.8216544352471822E-14</v>
      </c>
      <c r="K224" s="84">
        <f t="shared" ca="1" si="23"/>
        <v>9.3859853222966188E-15</v>
      </c>
      <c r="L224" s="83">
        <f t="shared" ca="1" si="24"/>
        <v>8.7602529674768438E-14</v>
      </c>
      <c r="M224" s="646">
        <f>INDEX(TablaCliente!_CapturaAbonoAnticipadoTablaCliente,__Amortizacion)</f>
        <v>0</v>
      </c>
      <c r="N224" s="84">
        <f t="shared" ca="1" si="25"/>
        <v>7.2759576141834259E-12</v>
      </c>
      <c r="P224" s="618" t="b">
        <f ca="1">__Saldo_Final _Anterior &gt; 0</f>
        <v>1</v>
      </c>
      <c r="Q224" s="98"/>
      <c r="R224" s="84">
        <f ca="1" xml:space="preserve"> T_AutoYSeguroMulti!_Pago.Fijo + T_SeguroAnual!__Pago_Fijo</f>
        <v>12689.724443555469</v>
      </c>
      <c r="S224" s="84">
        <f ca="1" xml:space="preserve"> T_AutoYSeguroMulti!__Capital + T_SeguroAnual!__Capital</f>
        <v>0</v>
      </c>
      <c r="T224" s="84">
        <f t="shared" ca="1" si="26"/>
        <v>12689.724443555469</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x14ac:dyDescent="0.3">
      <c r="D225" s="619">
        <v>207</v>
      </c>
      <c r="F225" s="18">
        <f ca="1" xml:space="preserve"> ( __Saldo_Final _Anterior + T_SeguroAnual!__Saldo_Ciclico ) * ( __Stopper_Saldo_Inicial )</f>
        <v>7.2759576141834259E-12</v>
      </c>
      <c r="G225" s="83">
        <f ca="1">MIN( CHOOSE(i.Opcion.Abono, __Capital_Opcion_1, __Capital_Opcion_2, __Capital_Opcion_3) _Actual, __Saldo_Inicial _Actual)</f>
        <v>0</v>
      </c>
      <c r="H225" s="83">
        <f t="shared" ca="1" si="21"/>
        <v>2.6072181450823943E-15</v>
      </c>
      <c r="I225" s="84">
        <f ca="1">T_AutoYSeguroMulti!__Dias_Interes_Periodo</f>
        <v>30</v>
      </c>
      <c r="J225" s="84">
        <f t="shared" ca="1" si="22"/>
        <v>7.8216544352471822E-14</v>
      </c>
      <c r="K225" s="84">
        <f t="shared" ca="1" si="23"/>
        <v>9.3859853222966188E-15</v>
      </c>
      <c r="L225" s="83">
        <f t="shared" ca="1" si="24"/>
        <v>8.7602529674768438E-14</v>
      </c>
      <c r="M225" s="646">
        <f>INDEX(TablaCliente!_CapturaAbonoAnticipadoTablaCliente,__Amortizacion)</f>
        <v>0</v>
      </c>
      <c r="N225" s="84">
        <f t="shared" ca="1" si="25"/>
        <v>7.2759576141834259E-12</v>
      </c>
      <c r="P225" s="618" t="b">
        <f ca="1">__Saldo_Final _Anterior &gt; 0</f>
        <v>1</v>
      </c>
      <c r="Q225" s="98"/>
      <c r="R225" s="84">
        <f ca="1" xml:space="preserve"> T_AutoYSeguroMulti!_Pago.Fijo + T_SeguroAnual!__Pago_Fijo</f>
        <v>12689.724443555469</v>
      </c>
      <c r="S225" s="84">
        <f ca="1" xml:space="preserve"> T_AutoYSeguroMulti!__Capital + T_SeguroAnual!__Capital</f>
        <v>0</v>
      </c>
      <c r="T225" s="84">
        <f t="shared" ca="1" si="26"/>
        <v>12689.724443555469</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x14ac:dyDescent="0.3">
      <c r="D226" s="619">
        <v>208</v>
      </c>
      <c r="F226" s="18">
        <f ca="1" xml:space="preserve"> ( __Saldo_Final _Anterior + T_SeguroAnual!__Saldo_Ciclico ) * ( __Stopper_Saldo_Inicial )</f>
        <v>7.2759576141834259E-12</v>
      </c>
      <c r="G226" s="83">
        <f ca="1">MIN( CHOOSE(i.Opcion.Abono, __Capital_Opcion_1, __Capital_Opcion_2, __Capital_Opcion_3) _Actual, __Saldo_Inicial _Actual)</f>
        <v>0</v>
      </c>
      <c r="H226" s="83">
        <f t="shared" ca="1" si="21"/>
        <v>2.6072181450823943E-15</v>
      </c>
      <c r="I226" s="84">
        <f ca="1">T_AutoYSeguroMulti!__Dias_Interes_Periodo</f>
        <v>30</v>
      </c>
      <c r="J226" s="84">
        <f t="shared" ca="1" si="22"/>
        <v>7.8216544352471822E-14</v>
      </c>
      <c r="K226" s="84">
        <f t="shared" ca="1" si="23"/>
        <v>9.3859853222966188E-15</v>
      </c>
      <c r="L226" s="83">
        <f t="shared" ca="1" si="24"/>
        <v>8.7602529674768438E-14</v>
      </c>
      <c r="M226" s="646">
        <f>INDEX(TablaCliente!_CapturaAbonoAnticipadoTablaCliente,__Amortizacion)</f>
        <v>0</v>
      </c>
      <c r="N226" s="84">
        <f t="shared" ca="1" si="25"/>
        <v>7.2759576141834259E-12</v>
      </c>
      <c r="P226" s="618" t="b">
        <f ca="1">__Saldo_Final _Anterior &gt; 0</f>
        <v>1</v>
      </c>
      <c r="Q226" s="98"/>
      <c r="R226" s="84">
        <f ca="1" xml:space="preserve"> T_AutoYSeguroMulti!_Pago.Fijo + T_SeguroAnual!__Pago_Fijo</f>
        <v>12689.724443555469</v>
      </c>
      <c r="S226" s="84">
        <f ca="1" xml:space="preserve"> T_AutoYSeguroMulti!__Capital + T_SeguroAnual!__Capital</f>
        <v>0</v>
      </c>
      <c r="T226" s="84">
        <f t="shared" ca="1" si="26"/>
        <v>12689.724443555469</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x14ac:dyDescent="0.3">
      <c r="D227" s="619">
        <v>209</v>
      </c>
      <c r="F227" s="18">
        <f ca="1" xml:space="preserve"> ( __Saldo_Final _Anterior + T_SeguroAnual!__Saldo_Ciclico ) * ( __Stopper_Saldo_Inicial )</f>
        <v>7.2759576141834259E-12</v>
      </c>
      <c r="G227" s="83">
        <f ca="1">MIN( CHOOSE(i.Opcion.Abono, __Capital_Opcion_1, __Capital_Opcion_2, __Capital_Opcion_3) _Actual, __Saldo_Inicial _Actual)</f>
        <v>0</v>
      </c>
      <c r="H227" s="83">
        <f t="shared" ca="1" si="21"/>
        <v>2.6072181450823943E-15</v>
      </c>
      <c r="I227" s="84">
        <f ca="1">T_AutoYSeguroMulti!__Dias_Interes_Periodo</f>
        <v>30</v>
      </c>
      <c r="J227" s="84">
        <f t="shared" ca="1" si="22"/>
        <v>7.8216544352471822E-14</v>
      </c>
      <c r="K227" s="84">
        <f t="shared" ca="1" si="23"/>
        <v>9.3859853222966188E-15</v>
      </c>
      <c r="L227" s="83">
        <f t="shared" ca="1" si="24"/>
        <v>8.7602529674768438E-14</v>
      </c>
      <c r="M227" s="646">
        <f>INDEX(TablaCliente!_CapturaAbonoAnticipadoTablaCliente,__Amortizacion)</f>
        <v>0</v>
      </c>
      <c r="N227" s="84">
        <f t="shared" ca="1" si="25"/>
        <v>7.2759576141834259E-12</v>
      </c>
      <c r="P227" s="618" t="b">
        <f ca="1">__Saldo_Final _Anterior &gt; 0</f>
        <v>1</v>
      </c>
      <c r="Q227" s="98"/>
      <c r="R227" s="84">
        <f ca="1" xml:space="preserve"> T_AutoYSeguroMulti!_Pago.Fijo + T_SeguroAnual!__Pago_Fijo</f>
        <v>12689.724443555469</v>
      </c>
      <c r="S227" s="84">
        <f ca="1" xml:space="preserve"> T_AutoYSeguroMulti!__Capital + T_SeguroAnual!__Capital</f>
        <v>0</v>
      </c>
      <c r="T227" s="84">
        <f t="shared" ca="1" si="26"/>
        <v>12689.724443555469</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x14ac:dyDescent="0.3">
      <c r="D228" s="619">
        <v>210</v>
      </c>
      <c r="F228" s="18">
        <f ca="1" xml:space="preserve"> ( __Saldo_Final _Anterior + T_SeguroAnual!__Saldo_Ciclico ) * ( __Stopper_Saldo_Inicial )</f>
        <v>7.2759576141834259E-12</v>
      </c>
      <c r="G228" s="83">
        <f ca="1">MIN( CHOOSE(i.Opcion.Abono, __Capital_Opcion_1, __Capital_Opcion_2, __Capital_Opcion_3) _Actual, __Saldo_Inicial _Actual)</f>
        <v>0</v>
      </c>
      <c r="H228" s="83">
        <f t="shared" ca="1" si="21"/>
        <v>2.6072181450823943E-15</v>
      </c>
      <c r="I228" s="84">
        <f ca="1">T_AutoYSeguroMulti!__Dias_Interes_Periodo</f>
        <v>30</v>
      </c>
      <c r="J228" s="84">
        <f t="shared" ca="1" si="22"/>
        <v>7.8216544352471822E-14</v>
      </c>
      <c r="K228" s="84">
        <f t="shared" ca="1" si="23"/>
        <v>9.3859853222966188E-15</v>
      </c>
      <c r="L228" s="83">
        <f t="shared" ca="1" si="24"/>
        <v>8.7602529674768438E-14</v>
      </c>
      <c r="M228" s="646">
        <f>INDEX(TablaCliente!_CapturaAbonoAnticipadoTablaCliente,__Amortizacion)</f>
        <v>0</v>
      </c>
      <c r="N228" s="84">
        <f t="shared" ca="1" si="25"/>
        <v>7.2759576141834259E-12</v>
      </c>
      <c r="P228" s="618" t="b">
        <f ca="1">__Saldo_Final _Anterior &gt; 0</f>
        <v>1</v>
      </c>
      <c r="Q228" s="98"/>
      <c r="R228" s="84">
        <f ca="1" xml:space="preserve"> T_AutoYSeguroMulti!_Pago.Fijo + T_SeguroAnual!__Pago_Fijo</f>
        <v>12689.724443555469</v>
      </c>
      <c r="S228" s="84">
        <f ca="1" xml:space="preserve"> T_AutoYSeguroMulti!__Capital + T_SeguroAnual!__Capital</f>
        <v>0</v>
      </c>
      <c r="T228" s="84">
        <f t="shared" ca="1" si="26"/>
        <v>12689.724443555469</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x14ac:dyDescent="0.3">
      <c r="D229" s="619">
        <v>211</v>
      </c>
      <c r="F229" s="18">
        <f ca="1" xml:space="preserve"> ( __Saldo_Final _Anterior + T_SeguroAnual!__Saldo_Ciclico ) * ( __Stopper_Saldo_Inicial )</f>
        <v>7.2759576141834259E-12</v>
      </c>
      <c r="G229" s="83">
        <f ca="1">MIN( CHOOSE(i.Opcion.Abono, __Capital_Opcion_1, __Capital_Opcion_2, __Capital_Opcion_3) _Actual, __Saldo_Inicial _Actual)</f>
        <v>0</v>
      </c>
      <c r="H229" s="83">
        <f t="shared" ca="1" si="21"/>
        <v>2.6072181450823943E-15</v>
      </c>
      <c r="I229" s="84">
        <f ca="1">T_AutoYSeguroMulti!__Dias_Interes_Periodo</f>
        <v>30</v>
      </c>
      <c r="J229" s="84">
        <f t="shared" ca="1" si="22"/>
        <v>7.8216544352471822E-14</v>
      </c>
      <c r="K229" s="84">
        <f t="shared" ca="1" si="23"/>
        <v>9.3859853222966188E-15</v>
      </c>
      <c r="L229" s="83">
        <f t="shared" ca="1" si="24"/>
        <v>8.7602529674768438E-14</v>
      </c>
      <c r="M229" s="646">
        <f>INDEX(TablaCliente!_CapturaAbonoAnticipadoTablaCliente,__Amortizacion)</f>
        <v>0</v>
      </c>
      <c r="N229" s="84">
        <f t="shared" ca="1" si="25"/>
        <v>7.2759576141834259E-12</v>
      </c>
      <c r="P229" s="618" t="b">
        <f ca="1">__Saldo_Final _Anterior &gt; 0</f>
        <v>1</v>
      </c>
      <c r="Q229" s="98"/>
      <c r="R229" s="84">
        <f ca="1" xml:space="preserve"> T_AutoYSeguroMulti!_Pago.Fijo + T_SeguroAnual!__Pago_Fijo</f>
        <v>12689.724443555469</v>
      </c>
      <c r="S229" s="84">
        <f ca="1" xml:space="preserve"> T_AutoYSeguroMulti!__Capital + T_SeguroAnual!__Capital</f>
        <v>0</v>
      </c>
      <c r="T229" s="84">
        <f t="shared" ca="1" si="26"/>
        <v>12689.724443555469</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x14ac:dyDescent="0.3">
      <c r="D230" s="619">
        <v>212</v>
      </c>
      <c r="F230" s="18">
        <f ca="1" xml:space="preserve"> ( __Saldo_Final _Anterior + T_SeguroAnual!__Saldo_Ciclico ) * ( __Stopper_Saldo_Inicial )</f>
        <v>7.2759576141834259E-12</v>
      </c>
      <c r="G230" s="83">
        <f ca="1">MIN( CHOOSE(i.Opcion.Abono, __Capital_Opcion_1, __Capital_Opcion_2, __Capital_Opcion_3) _Actual, __Saldo_Inicial _Actual)</f>
        <v>0</v>
      </c>
      <c r="H230" s="83">
        <f t="shared" ca="1" si="21"/>
        <v>2.6072181450823943E-15</v>
      </c>
      <c r="I230" s="84">
        <f ca="1">T_AutoYSeguroMulti!__Dias_Interes_Periodo</f>
        <v>30</v>
      </c>
      <c r="J230" s="84">
        <f t="shared" ca="1" si="22"/>
        <v>7.8216544352471822E-14</v>
      </c>
      <c r="K230" s="84">
        <f t="shared" ca="1" si="23"/>
        <v>9.3859853222966188E-15</v>
      </c>
      <c r="L230" s="83">
        <f t="shared" ca="1" si="24"/>
        <v>8.7602529674768438E-14</v>
      </c>
      <c r="M230" s="646">
        <f>INDEX(TablaCliente!_CapturaAbonoAnticipadoTablaCliente,__Amortizacion)</f>
        <v>0</v>
      </c>
      <c r="N230" s="84">
        <f t="shared" ca="1" si="25"/>
        <v>7.2759576141834259E-12</v>
      </c>
      <c r="P230" s="618" t="b">
        <f ca="1">__Saldo_Final _Anterior &gt; 0</f>
        <v>1</v>
      </c>
      <c r="Q230" s="98"/>
      <c r="R230" s="84">
        <f ca="1" xml:space="preserve"> T_AutoYSeguroMulti!_Pago.Fijo + T_SeguroAnual!__Pago_Fijo</f>
        <v>12689.724443555469</v>
      </c>
      <c r="S230" s="84">
        <f ca="1" xml:space="preserve"> T_AutoYSeguroMulti!__Capital + T_SeguroAnual!__Capital</f>
        <v>0</v>
      </c>
      <c r="T230" s="84">
        <f t="shared" ca="1" si="26"/>
        <v>12689.724443555469</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x14ac:dyDescent="0.3">
      <c r="D231" s="619">
        <v>213</v>
      </c>
      <c r="F231" s="18">
        <f ca="1" xml:space="preserve"> ( __Saldo_Final _Anterior + T_SeguroAnual!__Saldo_Ciclico ) * ( __Stopper_Saldo_Inicial )</f>
        <v>7.2759576141834259E-12</v>
      </c>
      <c r="G231" s="83">
        <f ca="1">MIN( CHOOSE(i.Opcion.Abono, __Capital_Opcion_1, __Capital_Opcion_2, __Capital_Opcion_3) _Actual, __Saldo_Inicial _Actual)</f>
        <v>0</v>
      </c>
      <c r="H231" s="83">
        <f t="shared" ca="1" si="21"/>
        <v>2.6072181450823943E-15</v>
      </c>
      <c r="I231" s="84">
        <f ca="1">T_AutoYSeguroMulti!__Dias_Interes_Periodo</f>
        <v>30</v>
      </c>
      <c r="J231" s="84">
        <f t="shared" ca="1" si="22"/>
        <v>7.8216544352471822E-14</v>
      </c>
      <c r="K231" s="84">
        <f t="shared" ca="1" si="23"/>
        <v>9.3859853222966188E-15</v>
      </c>
      <c r="L231" s="83">
        <f t="shared" ca="1" si="24"/>
        <v>8.7602529674768438E-14</v>
      </c>
      <c r="M231" s="646">
        <f>INDEX(TablaCliente!_CapturaAbonoAnticipadoTablaCliente,__Amortizacion)</f>
        <v>0</v>
      </c>
      <c r="N231" s="84">
        <f t="shared" ca="1" si="25"/>
        <v>7.2759576141834259E-12</v>
      </c>
      <c r="P231" s="618" t="b">
        <f ca="1">__Saldo_Final _Anterior &gt; 0</f>
        <v>1</v>
      </c>
      <c r="Q231" s="98"/>
      <c r="R231" s="84">
        <f ca="1" xml:space="preserve"> T_AutoYSeguroMulti!_Pago.Fijo + T_SeguroAnual!__Pago_Fijo</f>
        <v>12689.724443555469</v>
      </c>
      <c r="S231" s="84">
        <f ca="1" xml:space="preserve"> T_AutoYSeguroMulti!__Capital + T_SeguroAnual!__Capital</f>
        <v>0</v>
      </c>
      <c r="T231" s="84">
        <f t="shared" ca="1" si="26"/>
        <v>12689.724443555469</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x14ac:dyDescent="0.3">
      <c r="D232" s="619">
        <v>214</v>
      </c>
      <c r="F232" s="18">
        <f ca="1" xml:space="preserve"> ( __Saldo_Final _Anterior + T_SeguroAnual!__Saldo_Ciclico ) * ( __Stopper_Saldo_Inicial )</f>
        <v>7.2759576141834259E-12</v>
      </c>
      <c r="G232" s="83">
        <f ca="1">MIN( CHOOSE(i.Opcion.Abono, __Capital_Opcion_1, __Capital_Opcion_2, __Capital_Opcion_3) _Actual, __Saldo_Inicial _Actual)</f>
        <v>0</v>
      </c>
      <c r="H232" s="83">
        <f t="shared" ca="1" si="21"/>
        <v>2.6072181450823943E-15</v>
      </c>
      <c r="I232" s="84">
        <f ca="1">T_AutoYSeguroMulti!__Dias_Interes_Periodo</f>
        <v>30</v>
      </c>
      <c r="J232" s="84">
        <f t="shared" ca="1" si="22"/>
        <v>7.8216544352471822E-14</v>
      </c>
      <c r="K232" s="84">
        <f t="shared" ca="1" si="23"/>
        <v>9.3859853222966188E-15</v>
      </c>
      <c r="L232" s="83">
        <f t="shared" ca="1" si="24"/>
        <v>8.7602529674768438E-14</v>
      </c>
      <c r="M232" s="646">
        <f>INDEX(TablaCliente!_CapturaAbonoAnticipadoTablaCliente,__Amortizacion)</f>
        <v>0</v>
      </c>
      <c r="N232" s="84">
        <f t="shared" ca="1" si="25"/>
        <v>7.2759576141834259E-12</v>
      </c>
      <c r="P232" s="618" t="b">
        <f ca="1">__Saldo_Final _Anterior &gt; 0</f>
        <v>1</v>
      </c>
      <c r="Q232" s="98"/>
      <c r="R232" s="84">
        <f ca="1" xml:space="preserve"> T_AutoYSeguroMulti!_Pago.Fijo + T_SeguroAnual!__Pago_Fijo</f>
        <v>12689.724443555469</v>
      </c>
      <c r="S232" s="84">
        <f ca="1" xml:space="preserve"> T_AutoYSeguroMulti!__Capital + T_SeguroAnual!__Capital</f>
        <v>0</v>
      </c>
      <c r="T232" s="84">
        <f t="shared" ca="1" si="26"/>
        <v>12689.724443555469</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x14ac:dyDescent="0.3">
      <c r="D233" s="619">
        <v>215</v>
      </c>
      <c r="F233" s="18">
        <f ca="1" xml:space="preserve"> ( __Saldo_Final _Anterior + T_SeguroAnual!__Saldo_Ciclico ) * ( __Stopper_Saldo_Inicial )</f>
        <v>7.2759576141834259E-12</v>
      </c>
      <c r="G233" s="83">
        <f ca="1">MIN( CHOOSE(i.Opcion.Abono, __Capital_Opcion_1, __Capital_Opcion_2, __Capital_Opcion_3) _Actual, __Saldo_Inicial _Actual)</f>
        <v>0</v>
      </c>
      <c r="H233" s="83">
        <f t="shared" ca="1" si="21"/>
        <v>2.6072181450823943E-15</v>
      </c>
      <c r="I233" s="84">
        <f ca="1">T_AutoYSeguroMulti!__Dias_Interes_Periodo</f>
        <v>30</v>
      </c>
      <c r="J233" s="84">
        <f t="shared" ca="1" si="22"/>
        <v>7.8216544352471822E-14</v>
      </c>
      <c r="K233" s="84">
        <f t="shared" ca="1" si="23"/>
        <v>9.3859853222966188E-15</v>
      </c>
      <c r="L233" s="83">
        <f t="shared" ca="1" si="24"/>
        <v>8.7602529674768438E-14</v>
      </c>
      <c r="M233" s="646">
        <f>INDEX(TablaCliente!_CapturaAbonoAnticipadoTablaCliente,__Amortizacion)</f>
        <v>0</v>
      </c>
      <c r="N233" s="84">
        <f t="shared" ca="1" si="25"/>
        <v>7.2759576141834259E-12</v>
      </c>
      <c r="P233" s="618" t="b">
        <f ca="1">__Saldo_Final _Anterior &gt; 0</f>
        <v>1</v>
      </c>
      <c r="Q233" s="98"/>
      <c r="R233" s="84">
        <f ca="1" xml:space="preserve"> T_AutoYSeguroMulti!_Pago.Fijo + T_SeguroAnual!__Pago_Fijo</f>
        <v>12689.724443555469</v>
      </c>
      <c r="S233" s="84">
        <f ca="1" xml:space="preserve"> T_AutoYSeguroMulti!__Capital + T_SeguroAnual!__Capital</f>
        <v>0</v>
      </c>
      <c r="T233" s="84">
        <f t="shared" ca="1" si="26"/>
        <v>12689.724443555469</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x14ac:dyDescent="0.3">
      <c r="D234" s="619">
        <v>216</v>
      </c>
      <c r="F234" s="18">
        <f ca="1" xml:space="preserve"> ( __Saldo_Final _Anterior + T_SeguroAnual!__Saldo_Ciclico ) * ( __Stopper_Saldo_Inicial )</f>
        <v>7.2759576141834259E-12</v>
      </c>
      <c r="G234" s="83">
        <f ca="1">MIN( CHOOSE(i.Opcion.Abono, __Capital_Opcion_1, __Capital_Opcion_2, __Capital_Opcion_3) _Actual, __Saldo_Inicial _Actual)</f>
        <v>0</v>
      </c>
      <c r="H234" s="83">
        <f t="shared" ca="1" si="21"/>
        <v>2.6072181450823943E-15</v>
      </c>
      <c r="I234" s="84">
        <f ca="1">T_AutoYSeguroMulti!__Dias_Interes_Periodo</f>
        <v>30</v>
      </c>
      <c r="J234" s="84">
        <f t="shared" ca="1" si="22"/>
        <v>7.8216544352471822E-14</v>
      </c>
      <c r="K234" s="84">
        <f t="shared" ca="1" si="23"/>
        <v>9.3859853222966188E-15</v>
      </c>
      <c r="L234" s="83">
        <f t="shared" ca="1" si="24"/>
        <v>8.7602529674768438E-14</v>
      </c>
      <c r="M234" s="646">
        <f>INDEX(TablaCliente!_CapturaAbonoAnticipadoTablaCliente,__Amortizacion)</f>
        <v>0</v>
      </c>
      <c r="N234" s="84">
        <f t="shared" ca="1" si="25"/>
        <v>7.2759576141834259E-12</v>
      </c>
      <c r="P234" s="618" t="b">
        <f ca="1">__Saldo_Final _Anterior &gt; 0</f>
        <v>1</v>
      </c>
      <c r="Q234" s="98"/>
      <c r="R234" s="84">
        <f ca="1" xml:space="preserve"> T_AutoYSeguroMulti!_Pago.Fijo + T_SeguroAnual!__Pago_Fijo</f>
        <v>12689.724443555469</v>
      </c>
      <c r="S234" s="84">
        <f ca="1" xml:space="preserve"> T_AutoYSeguroMulti!__Capital + T_SeguroAnual!__Capital</f>
        <v>0</v>
      </c>
      <c r="T234" s="84">
        <f t="shared" ca="1" si="26"/>
        <v>12689.724443555469</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x14ac:dyDescent="0.3">
      <c r="D235" s="619">
        <v>217</v>
      </c>
      <c r="F235" s="18">
        <f ca="1" xml:space="preserve"> ( __Saldo_Final _Anterior + T_SeguroAnual!__Saldo_Ciclico ) * ( __Stopper_Saldo_Inicial )</f>
        <v>7.2759576141834259E-12</v>
      </c>
      <c r="G235" s="83">
        <f ca="1">MIN( CHOOSE(i.Opcion.Abono, __Capital_Opcion_1, __Capital_Opcion_2, __Capital_Opcion_3) _Actual, __Saldo_Inicial _Actual)</f>
        <v>0</v>
      </c>
      <c r="H235" s="83">
        <f t="shared" ca="1" si="21"/>
        <v>2.6072181450823943E-15</v>
      </c>
      <c r="I235" s="84">
        <f ca="1">T_AutoYSeguroMulti!__Dias_Interes_Periodo</f>
        <v>30</v>
      </c>
      <c r="J235" s="84">
        <f t="shared" ca="1" si="22"/>
        <v>7.8216544352471822E-14</v>
      </c>
      <c r="K235" s="84">
        <f t="shared" ca="1" si="23"/>
        <v>9.3859853222966188E-15</v>
      </c>
      <c r="L235" s="83">
        <f t="shared" ca="1" si="24"/>
        <v>8.7602529674768438E-14</v>
      </c>
      <c r="M235" s="646">
        <f>INDEX(TablaCliente!_CapturaAbonoAnticipadoTablaCliente,__Amortizacion)</f>
        <v>0</v>
      </c>
      <c r="N235" s="84">
        <f t="shared" ca="1" si="25"/>
        <v>7.2759576141834259E-12</v>
      </c>
      <c r="P235" s="618" t="b">
        <f ca="1">__Saldo_Final _Anterior &gt; 0</f>
        <v>1</v>
      </c>
      <c r="Q235" s="98"/>
      <c r="R235" s="84">
        <f ca="1" xml:space="preserve"> T_AutoYSeguroMulti!_Pago.Fijo + T_SeguroAnual!__Pago_Fijo</f>
        <v>12689.724443555469</v>
      </c>
      <c r="S235" s="84">
        <f ca="1" xml:space="preserve"> T_AutoYSeguroMulti!__Capital + T_SeguroAnual!__Capital</f>
        <v>0</v>
      </c>
      <c r="T235" s="84">
        <f t="shared" ca="1" si="26"/>
        <v>12689.724443555469</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x14ac:dyDescent="0.3">
      <c r="D236" s="619">
        <v>218</v>
      </c>
      <c r="F236" s="18">
        <f ca="1" xml:space="preserve"> ( __Saldo_Final _Anterior + T_SeguroAnual!__Saldo_Ciclico ) * ( __Stopper_Saldo_Inicial )</f>
        <v>7.2759576141834259E-12</v>
      </c>
      <c r="G236" s="83">
        <f ca="1">MIN( CHOOSE(i.Opcion.Abono, __Capital_Opcion_1, __Capital_Opcion_2, __Capital_Opcion_3) _Actual, __Saldo_Inicial _Actual)</f>
        <v>0</v>
      </c>
      <c r="H236" s="83">
        <f t="shared" ca="1" si="21"/>
        <v>2.6072181450823943E-15</v>
      </c>
      <c r="I236" s="84">
        <f ca="1">T_AutoYSeguroMulti!__Dias_Interes_Periodo</f>
        <v>30</v>
      </c>
      <c r="J236" s="84">
        <f t="shared" ca="1" si="22"/>
        <v>7.8216544352471822E-14</v>
      </c>
      <c r="K236" s="84">
        <f t="shared" ca="1" si="23"/>
        <v>9.3859853222966188E-15</v>
      </c>
      <c r="L236" s="83">
        <f t="shared" ca="1" si="24"/>
        <v>8.7602529674768438E-14</v>
      </c>
      <c r="M236" s="646">
        <f>INDEX(TablaCliente!_CapturaAbonoAnticipadoTablaCliente,__Amortizacion)</f>
        <v>0</v>
      </c>
      <c r="N236" s="84">
        <f t="shared" ca="1" si="25"/>
        <v>7.2759576141834259E-12</v>
      </c>
      <c r="P236" s="618" t="b">
        <f ca="1">__Saldo_Final _Anterior &gt; 0</f>
        <v>1</v>
      </c>
      <c r="Q236" s="98"/>
      <c r="R236" s="84">
        <f ca="1" xml:space="preserve"> T_AutoYSeguroMulti!_Pago.Fijo + T_SeguroAnual!__Pago_Fijo</f>
        <v>12689.724443555469</v>
      </c>
      <c r="S236" s="84">
        <f ca="1" xml:space="preserve"> T_AutoYSeguroMulti!__Capital + T_SeguroAnual!__Capital</f>
        <v>0</v>
      </c>
      <c r="T236" s="84">
        <f t="shared" ca="1" si="26"/>
        <v>12689.724443555469</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x14ac:dyDescent="0.3">
      <c r="D237" s="619">
        <v>219</v>
      </c>
      <c r="F237" s="18">
        <f ca="1" xml:space="preserve"> ( __Saldo_Final _Anterior + T_SeguroAnual!__Saldo_Ciclico ) * ( __Stopper_Saldo_Inicial )</f>
        <v>7.2759576141834259E-12</v>
      </c>
      <c r="G237" s="83">
        <f ca="1">MIN( CHOOSE(i.Opcion.Abono, __Capital_Opcion_1, __Capital_Opcion_2, __Capital_Opcion_3) _Actual, __Saldo_Inicial _Actual)</f>
        <v>0</v>
      </c>
      <c r="H237" s="83">
        <f t="shared" ca="1" si="21"/>
        <v>2.6072181450823943E-15</v>
      </c>
      <c r="I237" s="84">
        <f ca="1">T_AutoYSeguroMulti!__Dias_Interes_Periodo</f>
        <v>30</v>
      </c>
      <c r="J237" s="84">
        <f t="shared" ca="1" si="22"/>
        <v>7.8216544352471822E-14</v>
      </c>
      <c r="K237" s="84">
        <f t="shared" ca="1" si="23"/>
        <v>9.3859853222966188E-15</v>
      </c>
      <c r="L237" s="83">
        <f t="shared" ca="1" si="24"/>
        <v>8.7602529674768438E-14</v>
      </c>
      <c r="M237" s="646">
        <f>INDEX(TablaCliente!_CapturaAbonoAnticipadoTablaCliente,__Amortizacion)</f>
        <v>0</v>
      </c>
      <c r="N237" s="84">
        <f t="shared" ca="1" si="25"/>
        <v>7.2759576141834259E-12</v>
      </c>
      <c r="P237" s="618" t="b">
        <f ca="1">__Saldo_Final _Anterior &gt; 0</f>
        <v>1</v>
      </c>
      <c r="Q237" s="98"/>
      <c r="R237" s="84">
        <f ca="1" xml:space="preserve"> T_AutoYSeguroMulti!_Pago.Fijo + T_SeguroAnual!__Pago_Fijo</f>
        <v>12689.724443555469</v>
      </c>
      <c r="S237" s="84">
        <f ca="1" xml:space="preserve"> T_AutoYSeguroMulti!__Capital + T_SeguroAnual!__Capital</f>
        <v>0</v>
      </c>
      <c r="T237" s="84">
        <f t="shared" ca="1" si="26"/>
        <v>12689.724443555469</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x14ac:dyDescent="0.3">
      <c r="D238" s="619">
        <v>220</v>
      </c>
      <c r="F238" s="18">
        <f ca="1" xml:space="preserve"> ( __Saldo_Final _Anterior + T_SeguroAnual!__Saldo_Ciclico ) * ( __Stopper_Saldo_Inicial )</f>
        <v>7.2759576141834259E-12</v>
      </c>
      <c r="G238" s="83">
        <f ca="1">MIN( CHOOSE(i.Opcion.Abono, __Capital_Opcion_1, __Capital_Opcion_2, __Capital_Opcion_3) _Actual, __Saldo_Inicial _Actual)</f>
        <v>0</v>
      </c>
      <c r="H238" s="83">
        <f t="shared" ca="1" si="21"/>
        <v>2.6072181450823943E-15</v>
      </c>
      <c r="I238" s="84">
        <f ca="1">T_AutoYSeguroMulti!__Dias_Interes_Periodo</f>
        <v>30</v>
      </c>
      <c r="J238" s="84">
        <f t="shared" ca="1" si="22"/>
        <v>7.8216544352471822E-14</v>
      </c>
      <c r="K238" s="84">
        <f t="shared" ca="1" si="23"/>
        <v>9.3859853222966188E-15</v>
      </c>
      <c r="L238" s="83">
        <f t="shared" ca="1" si="24"/>
        <v>8.7602529674768438E-14</v>
      </c>
      <c r="M238" s="646">
        <f>INDEX(TablaCliente!_CapturaAbonoAnticipadoTablaCliente,__Amortizacion)</f>
        <v>0</v>
      </c>
      <c r="N238" s="84">
        <f t="shared" ca="1" si="25"/>
        <v>7.2759576141834259E-12</v>
      </c>
      <c r="P238" s="618" t="b">
        <f ca="1">__Saldo_Final _Anterior &gt; 0</f>
        <v>1</v>
      </c>
      <c r="Q238" s="98"/>
      <c r="R238" s="84">
        <f ca="1" xml:space="preserve"> T_AutoYSeguroMulti!_Pago.Fijo + T_SeguroAnual!__Pago_Fijo</f>
        <v>12689.724443555469</v>
      </c>
      <c r="S238" s="84">
        <f ca="1" xml:space="preserve"> T_AutoYSeguroMulti!__Capital + T_SeguroAnual!__Capital</f>
        <v>0</v>
      </c>
      <c r="T238" s="84">
        <f t="shared" ca="1" si="26"/>
        <v>12689.724443555469</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x14ac:dyDescent="0.3">
      <c r="D239" s="619">
        <v>221</v>
      </c>
      <c r="F239" s="18">
        <f ca="1" xml:space="preserve"> ( __Saldo_Final _Anterior + T_SeguroAnual!__Saldo_Ciclico ) * ( __Stopper_Saldo_Inicial )</f>
        <v>7.2759576141834259E-12</v>
      </c>
      <c r="G239" s="83">
        <f ca="1">MIN( CHOOSE(i.Opcion.Abono, __Capital_Opcion_1, __Capital_Opcion_2, __Capital_Opcion_3) _Actual, __Saldo_Inicial _Actual)</f>
        <v>0</v>
      </c>
      <c r="H239" s="83">
        <f t="shared" ca="1" si="21"/>
        <v>2.6072181450823943E-15</v>
      </c>
      <c r="I239" s="84">
        <f ca="1">T_AutoYSeguroMulti!__Dias_Interes_Periodo</f>
        <v>30</v>
      </c>
      <c r="J239" s="84">
        <f t="shared" ca="1" si="22"/>
        <v>7.8216544352471822E-14</v>
      </c>
      <c r="K239" s="84">
        <f t="shared" ca="1" si="23"/>
        <v>9.3859853222966188E-15</v>
      </c>
      <c r="L239" s="83">
        <f t="shared" ca="1" si="24"/>
        <v>8.7602529674768438E-14</v>
      </c>
      <c r="M239" s="646">
        <f>INDEX(TablaCliente!_CapturaAbonoAnticipadoTablaCliente,__Amortizacion)</f>
        <v>0</v>
      </c>
      <c r="N239" s="84">
        <f t="shared" ca="1" si="25"/>
        <v>7.2759576141834259E-12</v>
      </c>
      <c r="P239" s="618" t="b">
        <f ca="1">__Saldo_Final _Anterior &gt; 0</f>
        <v>1</v>
      </c>
      <c r="Q239" s="98"/>
      <c r="R239" s="84">
        <f ca="1" xml:space="preserve"> T_AutoYSeguroMulti!_Pago.Fijo + T_SeguroAnual!__Pago_Fijo</f>
        <v>12689.724443555469</v>
      </c>
      <c r="S239" s="84">
        <f ca="1" xml:space="preserve"> T_AutoYSeguroMulti!__Capital + T_SeguroAnual!__Capital</f>
        <v>0</v>
      </c>
      <c r="T239" s="84">
        <f t="shared" ca="1" si="26"/>
        <v>12689.724443555469</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x14ac:dyDescent="0.3">
      <c r="D240" s="619">
        <v>222</v>
      </c>
      <c r="F240" s="18">
        <f ca="1" xml:space="preserve"> ( __Saldo_Final _Anterior + T_SeguroAnual!__Saldo_Ciclico ) * ( __Stopper_Saldo_Inicial )</f>
        <v>7.2759576141834259E-12</v>
      </c>
      <c r="G240" s="83">
        <f ca="1">MIN( CHOOSE(i.Opcion.Abono, __Capital_Opcion_1, __Capital_Opcion_2, __Capital_Opcion_3) _Actual, __Saldo_Inicial _Actual)</f>
        <v>0</v>
      </c>
      <c r="H240" s="83">
        <f t="shared" ca="1" si="21"/>
        <v>2.6072181450823943E-15</v>
      </c>
      <c r="I240" s="84">
        <f ca="1">T_AutoYSeguroMulti!__Dias_Interes_Periodo</f>
        <v>30</v>
      </c>
      <c r="J240" s="84">
        <f t="shared" ca="1" si="22"/>
        <v>7.8216544352471822E-14</v>
      </c>
      <c r="K240" s="84">
        <f t="shared" ca="1" si="23"/>
        <v>9.3859853222966188E-15</v>
      </c>
      <c r="L240" s="83">
        <f t="shared" ca="1" si="24"/>
        <v>8.7602529674768438E-14</v>
      </c>
      <c r="M240" s="646">
        <f>INDEX(TablaCliente!_CapturaAbonoAnticipadoTablaCliente,__Amortizacion)</f>
        <v>0</v>
      </c>
      <c r="N240" s="84">
        <f t="shared" ca="1" si="25"/>
        <v>7.2759576141834259E-12</v>
      </c>
      <c r="P240" s="618" t="b">
        <f ca="1">__Saldo_Final _Anterior &gt; 0</f>
        <v>1</v>
      </c>
      <c r="Q240" s="98"/>
      <c r="R240" s="84">
        <f ca="1" xml:space="preserve"> T_AutoYSeguroMulti!_Pago.Fijo + T_SeguroAnual!__Pago_Fijo</f>
        <v>12689.724443555469</v>
      </c>
      <c r="S240" s="84">
        <f ca="1" xml:space="preserve"> T_AutoYSeguroMulti!__Capital + T_SeguroAnual!__Capital</f>
        <v>0</v>
      </c>
      <c r="T240" s="84">
        <f t="shared" ca="1" si="26"/>
        <v>12689.724443555469</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x14ac:dyDescent="0.3">
      <c r="D241" s="619">
        <v>223</v>
      </c>
      <c r="F241" s="18">
        <f ca="1" xml:space="preserve"> ( __Saldo_Final _Anterior + T_SeguroAnual!__Saldo_Ciclico ) * ( __Stopper_Saldo_Inicial )</f>
        <v>7.2759576141834259E-12</v>
      </c>
      <c r="G241" s="83">
        <f ca="1">MIN( CHOOSE(i.Opcion.Abono, __Capital_Opcion_1, __Capital_Opcion_2, __Capital_Opcion_3) _Actual, __Saldo_Inicial _Actual)</f>
        <v>0</v>
      </c>
      <c r="H241" s="83">
        <f t="shared" ca="1" si="21"/>
        <v>2.6072181450823943E-15</v>
      </c>
      <c r="I241" s="84">
        <f ca="1">T_AutoYSeguroMulti!__Dias_Interes_Periodo</f>
        <v>30</v>
      </c>
      <c r="J241" s="84">
        <f t="shared" ca="1" si="22"/>
        <v>7.8216544352471822E-14</v>
      </c>
      <c r="K241" s="84">
        <f t="shared" ca="1" si="23"/>
        <v>9.3859853222966188E-15</v>
      </c>
      <c r="L241" s="83">
        <f t="shared" ca="1" si="24"/>
        <v>8.7602529674768438E-14</v>
      </c>
      <c r="M241" s="646">
        <f>INDEX(TablaCliente!_CapturaAbonoAnticipadoTablaCliente,__Amortizacion)</f>
        <v>0</v>
      </c>
      <c r="N241" s="84">
        <f t="shared" ca="1" si="25"/>
        <v>7.2759576141834259E-12</v>
      </c>
      <c r="P241" s="618" t="b">
        <f ca="1">__Saldo_Final _Anterior &gt; 0</f>
        <v>1</v>
      </c>
      <c r="Q241" s="98"/>
      <c r="R241" s="84">
        <f ca="1" xml:space="preserve"> T_AutoYSeguroMulti!_Pago.Fijo + T_SeguroAnual!__Pago_Fijo</f>
        <v>12689.724443555469</v>
      </c>
      <c r="S241" s="84">
        <f ca="1" xml:space="preserve"> T_AutoYSeguroMulti!__Capital + T_SeguroAnual!__Capital</f>
        <v>0</v>
      </c>
      <c r="T241" s="84">
        <f t="shared" ca="1" si="26"/>
        <v>12689.724443555469</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x14ac:dyDescent="0.3">
      <c r="D242" s="619">
        <v>224</v>
      </c>
      <c r="F242" s="18">
        <f ca="1" xml:space="preserve"> ( __Saldo_Final _Anterior + T_SeguroAnual!__Saldo_Ciclico ) * ( __Stopper_Saldo_Inicial )</f>
        <v>7.2759576141834259E-12</v>
      </c>
      <c r="G242" s="83">
        <f ca="1">MIN( CHOOSE(i.Opcion.Abono, __Capital_Opcion_1, __Capital_Opcion_2, __Capital_Opcion_3) _Actual, __Saldo_Inicial _Actual)</f>
        <v>0</v>
      </c>
      <c r="H242" s="83">
        <f t="shared" ca="1" si="21"/>
        <v>2.6072181450823943E-15</v>
      </c>
      <c r="I242" s="84">
        <f ca="1">T_AutoYSeguroMulti!__Dias_Interes_Periodo</f>
        <v>30</v>
      </c>
      <c r="J242" s="84">
        <f t="shared" ca="1" si="22"/>
        <v>7.8216544352471822E-14</v>
      </c>
      <c r="K242" s="84">
        <f t="shared" ca="1" si="23"/>
        <v>9.3859853222966188E-15</v>
      </c>
      <c r="L242" s="83">
        <f t="shared" ca="1" si="24"/>
        <v>8.7602529674768438E-14</v>
      </c>
      <c r="M242" s="646">
        <f>INDEX(TablaCliente!_CapturaAbonoAnticipadoTablaCliente,__Amortizacion)</f>
        <v>0</v>
      </c>
      <c r="N242" s="84">
        <f t="shared" ca="1" si="25"/>
        <v>7.2759576141834259E-12</v>
      </c>
      <c r="P242" s="618" t="b">
        <f ca="1">__Saldo_Final _Anterior &gt; 0</f>
        <v>1</v>
      </c>
      <c r="Q242" s="98"/>
      <c r="R242" s="84">
        <f ca="1" xml:space="preserve"> T_AutoYSeguroMulti!_Pago.Fijo + T_SeguroAnual!__Pago_Fijo</f>
        <v>12689.724443555469</v>
      </c>
      <c r="S242" s="84">
        <f ca="1" xml:space="preserve"> T_AutoYSeguroMulti!__Capital + T_SeguroAnual!__Capital</f>
        <v>0</v>
      </c>
      <c r="T242" s="84">
        <f t="shared" ca="1" si="26"/>
        <v>12689.724443555469</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x14ac:dyDescent="0.3">
      <c r="D243" s="619">
        <v>225</v>
      </c>
      <c r="F243" s="18">
        <f ca="1" xml:space="preserve"> ( __Saldo_Final _Anterior + T_SeguroAnual!__Saldo_Ciclico ) * ( __Stopper_Saldo_Inicial )</f>
        <v>7.2759576141834259E-12</v>
      </c>
      <c r="G243" s="83">
        <f ca="1">MIN( CHOOSE(i.Opcion.Abono, __Capital_Opcion_1, __Capital_Opcion_2, __Capital_Opcion_3) _Actual, __Saldo_Inicial _Actual)</f>
        <v>0</v>
      </c>
      <c r="H243" s="83">
        <f t="shared" ca="1" si="21"/>
        <v>2.6072181450823943E-15</v>
      </c>
      <c r="I243" s="84">
        <f ca="1">T_AutoYSeguroMulti!__Dias_Interes_Periodo</f>
        <v>30</v>
      </c>
      <c r="J243" s="84">
        <f t="shared" ca="1" si="22"/>
        <v>7.8216544352471822E-14</v>
      </c>
      <c r="K243" s="84">
        <f t="shared" ca="1" si="23"/>
        <v>9.3859853222966188E-15</v>
      </c>
      <c r="L243" s="83">
        <f t="shared" ca="1" si="24"/>
        <v>8.7602529674768438E-14</v>
      </c>
      <c r="M243" s="646">
        <f>INDEX(TablaCliente!_CapturaAbonoAnticipadoTablaCliente,__Amortizacion)</f>
        <v>0</v>
      </c>
      <c r="N243" s="84">
        <f t="shared" ca="1" si="25"/>
        <v>7.2759576141834259E-12</v>
      </c>
      <c r="P243" s="618" t="b">
        <f ca="1">__Saldo_Final _Anterior &gt; 0</f>
        <v>1</v>
      </c>
      <c r="Q243" s="98"/>
      <c r="R243" s="84">
        <f ca="1" xml:space="preserve"> T_AutoYSeguroMulti!_Pago.Fijo + T_SeguroAnual!__Pago_Fijo</f>
        <v>12689.724443555469</v>
      </c>
      <c r="S243" s="84">
        <f ca="1" xml:space="preserve"> T_AutoYSeguroMulti!__Capital + T_SeguroAnual!__Capital</f>
        <v>0</v>
      </c>
      <c r="T243" s="84">
        <f t="shared" ca="1" si="26"/>
        <v>12689.724443555469</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x14ac:dyDescent="0.3">
      <c r="D244" s="619">
        <v>226</v>
      </c>
      <c r="F244" s="18">
        <f ca="1" xml:space="preserve"> ( __Saldo_Final _Anterior + T_SeguroAnual!__Saldo_Ciclico ) * ( __Stopper_Saldo_Inicial )</f>
        <v>7.2759576141834259E-12</v>
      </c>
      <c r="G244" s="83">
        <f ca="1">MIN( CHOOSE(i.Opcion.Abono, __Capital_Opcion_1, __Capital_Opcion_2, __Capital_Opcion_3) _Actual, __Saldo_Inicial _Actual)</f>
        <v>0</v>
      </c>
      <c r="H244" s="83">
        <f t="shared" ca="1" si="21"/>
        <v>2.6072181450823943E-15</v>
      </c>
      <c r="I244" s="84">
        <f ca="1">T_AutoYSeguroMulti!__Dias_Interes_Periodo</f>
        <v>30</v>
      </c>
      <c r="J244" s="84">
        <f t="shared" ca="1" si="22"/>
        <v>7.8216544352471822E-14</v>
      </c>
      <c r="K244" s="84">
        <f t="shared" ca="1" si="23"/>
        <v>9.3859853222966188E-15</v>
      </c>
      <c r="L244" s="83">
        <f t="shared" ca="1" si="24"/>
        <v>8.7602529674768438E-14</v>
      </c>
      <c r="M244" s="646">
        <f>INDEX(TablaCliente!_CapturaAbonoAnticipadoTablaCliente,__Amortizacion)</f>
        <v>0</v>
      </c>
      <c r="N244" s="84">
        <f t="shared" ca="1" si="25"/>
        <v>7.2759576141834259E-12</v>
      </c>
      <c r="P244" s="618" t="b">
        <f ca="1">__Saldo_Final _Anterior &gt; 0</f>
        <v>1</v>
      </c>
      <c r="Q244" s="98"/>
      <c r="R244" s="84">
        <f ca="1" xml:space="preserve"> T_AutoYSeguroMulti!_Pago.Fijo + T_SeguroAnual!__Pago_Fijo</f>
        <v>12689.724443555469</v>
      </c>
      <c r="S244" s="84">
        <f ca="1" xml:space="preserve"> T_AutoYSeguroMulti!__Capital + T_SeguroAnual!__Capital</f>
        <v>0</v>
      </c>
      <c r="T244" s="84">
        <f t="shared" ca="1" si="26"/>
        <v>12689.724443555469</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x14ac:dyDescent="0.3">
      <c r="D245" s="619">
        <v>227</v>
      </c>
      <c r="F245" s="18">
        <f ca="1" xml:space="preserve"> ( __Saldo_Final _Anterior + T_SeguroAnual!__Saldo_Ciclico ) * ( __Stopper_Saldo_Inicial )</f>
        <v>7.2759576141834259E-12</v>
      </c>
      <c r="G245" s="83">
        <f ca="1">MIN( CHOOSE(i.Opcion.Abono, __Capital_Opcion_1, __Capital_Opcion_2, __Capital_Opcion_3) _Actual, __Saldo_Inicial _Actual)</f>
        <v>0</v>
      </c>
      <c r="H245" s="83">
        <f t="shared" ca="1" si="21"/>
        <v>2.6072181450823943E-15</v>
      </c>
      <c r="I245" s="84">
        <f ca="1">T_AutoYSeguroMulti!__Dias_Interes_Periodo</f>
        <v>30</v>
      </c>
      <c r="J245" s="84">
        <f t="shared" ca="1" si="22"/>
        <v>7.8216544352471822E-14</v>
      </c>
      <c r="K245" s="84">
        <f t="shared" ca="1" si="23"/>
        <v>9.3859853222966188E-15</v>
      </c>
      <c r="L245" s="83">
        <f t="shared" ca="1" si="24"/>
        <v>8.7602529674768438E-14</v>
      </c>
      <c r="M245" s="646">
        <f>INDEX(TablaCliente!_CapturaAbonoAnticipadoTablaCliente,__Amortizacion)</f>
        <v>0</v>
      </c>
      <c r="N245" s="84">
        <f t="shared" ca="1" si="25"/>
        <v>7.2759576141834259E-12</v>
      </c>
      <c r="P245" s="618" t="b">
        <f ca="1">__Saldo_Final _Anterior &gt; 0</f>
        <v>1</v>
      </c>
      <c r="Q245" s="98"/>
      <c r="R245" s="84">
        <f ca="1" xml:space="preserve"> T_AutoYSeguroMulti!_Pago.Fijo + T_SeguroAnual!__Pago_Fijo</f>
        <v>12689.724443555469</v>
      </c>
      <c r="S245" s="84">
        <f ca="1" xml:space="preserve"> T_AutoYSeguroMulti!__Capital + T_SeguroAnual!__Capital</f>
        <v>0</v>
      </c>
      <c r="T245" s="84">
        <f t="shared" ca="1" si="26"/>
        <v>12689.724443555469</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x14ac:dyDescent="0.3">
      <c r="D246" s="619">
        <v>228</v>
      </c>
      <c r="F246" s="18">
        <f ca="1" xml:space="preserve"> ( __Saldo_Final _Anterior + T_SeguroAnual!__Saldo_Ciclico ) * ( __Stopper_Saldo_Inicial )</f>
        <v>7.2759576141834259E-12</v>
      </c>
      <c r="G246" s="83">
        <f ca="1">MIN( CHOOSE(i.Opcion.Abono, __Capital_Opcion_1, __Capital_Opcion_2, __Capital_Opcion_3) _Actual, __Saldo_Inicial _Actual)</f>
        <v>0</v>
      </c>
      <c r="H246" s="83">
        <f t="shared" ca="1" si="21"/>
        <v>2.6072181450823943E-15</v>
      </c>
      <c r="I246" s="84">
        <f ca="1">T_AutoYSeguroMulti!__Dias_Interes_Periodo</f>
        <v>30</v>
      </c>
      <c r="J246" s="84">
        <f t="shared" ca="1" si="22"/>
        <v>7.8216544352471822E-14</v>
      </c>
      <c r="K246" s="84">
        <f t="shared" ca="1" si="23"/>
        <v>9.3859853222966188E-15</v>
      </c>
      <c r="L246" s="83">
        <f t="shared" ca="1" si="24"/>
        <v>8.7602529674768438E-14</v>
      </c>
      <c r="M246" s="646">
        <f>INDEX(TablaCliente!_CapturaAbonoAnticipadoTablaCliente,__Amortizacion)</f>
        <v>0</v>
      </c>
      <c r="N246" s="84">
        <f t="shared" ca="1" si="25"/>
        <v>7.2759576141834259E-12</v>
      </c>
      <c r="P246" s="618" t="b">
        <f ca="1">__Saldo_Final _Anterior &gt; 0</f>
        <v>1</v>
      </c>
      <c r="Q246" s="98"/>
      <c r="R246" s="84">
        <f ca="1" xml:space="preserve"> T_AutoYSeguroMulti!_Pago.Fijo + T_SeguroAnual!__Pago_Fijo</f>
        <v>12689.724443555469</v>
      </c>
      <c r="S246" s="84">
        <f ca="1" xml:space="preserve"> T_AutoYSeguroMulti!__Capital + T_SeguroAnual!__Capital</f>
        <v>0</v>
      </c>
      <c r="T246" s="84">
        <f t="shared" ca="1" si="26"/>
        <v>12689.724443555469</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x14ac:dyDescent="0.3">
      <c r="D247" s="619">
        <v>229</v>
      </c>
      <c r="F247" s="18">
        <f ca="1" xml:space="preserve"> ( __Saldo_Final _Anterior + T_SeguroAnual!__Saldo_Ciclico ) * ( __Stopper_Saldo_Inicial )</f>
        <v>7.2759576141834259E-12</v>
      </c>
      <c r="G247" s="83">
        <f ca="1">MIN( CHOOSE(i.Opcion.Abono, __Capital_Opcion_1, __Capital_Opcion_2, __Capital_Opcion_3) _Actual, __Saldo_Inicial _Actual)</f>
        <v>0</v>
      </c>
      <c r="H247" s="83">
        <f t="shared" ca="1" si="21"/>
        <v>2.6072181450823943E-15</v>
      </c>
      <c r="I247" s="84">
        <f ca="1">T_AutoYSeguroMulti!__Dias_Interes_Periodo</f>
        <v>30</v>
      </c>
      <c r="J247" s="84">
        <f t="shared" ca="1" si="22"/>
        <v>7.8216544352471822E-14</v>
      </c>
      <c r="K247" s="84">
        <f t="shared" ca="1" si="23"/>
        <v>9.3859853222966188E-15</v>
      </c>
      <c r="L247" s="83">
        <f t="shared" ca="1" si="24"/>
        <v>8.7602529674768438E-14</v>
      </c>
      <c r="M247" s="646">
        <f>INDEX(TablaCliente!_CapturaAbonoAnticipadoTablaCliente,__Amortizacion)</f>
        <v>0</v>
      </c>
      <c r="N247" s="84">
        <f t="shared" ca="1" si="25"/>
        <v>7.2759576141834259E-12</v>
      </c>
      <c r="P247" s="618" t="b">
        <f ca="1">__Saldo_Final _Anterior &gt; 0</f>
        <v>1</v>
      </c>
      <c r="Q247" s="98"/>
      <c r="R247" s="84">
        <f ca="1" xml:space="preserve"> T_AutoYSeguroMulti!_Pago.Fijo + T_SeguroAnual!__Pago_Fijo</f>
        <v>12689.724443555469</v>
      </c>
      <c r="S247" s="84">
        <f ca="1" xml:space="preserve"> T_AutoYSeguroMulti!__Capital + T_SeguroAnual!__Capital</f>
        <v>0</v>
      </c>
      <c r="T247" s="84">
        <f t="shared" ca="1" si="26"/>
        <v>12689.724443555469</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x14ac:dyDescent="0.3">
      <c r="D248" s="619">
        <v>230</v>
      </c>
      <c r="F248" s="18">
        <f ca="1" xml:space="preserve"> ( __Saldo_Final _Anterior + T_SeguroAnual!__Saldo_Ciclico ) * ( __Stopper_Saldo_Inicial )</f>
        <v>7.2759576141834259E-12</v>
      </c>
      <c r="G248" s="83">
        <f ca="1">MIN( CHOOSE(i.Opcion.Abono, __Capital_Opcion_1, __Capital_Opcion_2, __Capital_Opcion_3) _Actual, __Saldo_Inicial _Actual)</f>
        <v>0</v>
      </c>
      <c r="H248" s="83">
        <f t="shared" ca="1" si="21"/>
        <v>2.6072181450823943E-15</v>
      </c>
      <c r="I248" s="84">
        <f ca="1">T_AutoYSeguroMulti!__Dias_Interes_Periodo</f>
        <v>30</v>
      </c>
      <c r="J248" s="84">
        <f t="shared" ca="1" si="22"/>
        <v>7.8216544352471822E-14</v>
      </c>
      <c r="K248" s="84">
        <f t="shared" ca="1" si="23"/>
        <v>9.3859853222966188E-15</v>
      </c>
      <c r="L248" s="83">
        <f t="shared" ca="1" si="24"/>
        <v>8.7602529674768438E-14</v>
      </c>
      <c r="M248" s="646">
        <f>INDEX(TablaCliente!_CapturaAbonoAnticipadoTablaCliente,__Amortizacion)</f>
        <v>0</v>
      </c>
      <c r="N248" s="84">
        <f t="shared" ca="1" si="25"/>
        <v>7.2759576141834259E-12</v>
      </c>
      <c r="P248" s="618" t="b">
        <f ca="1">__Saldo_Final _Anterior &gt; 0</f>
        <v>1</v>
      </c>
      <c r="Q248" s="98"/>
      <c r="R248" s="84">
        <f ca="1" xml:space="preserve"> T_AutoYSeguroMulti!_Pago.Fijo + T_SeguroAnual!__Pago_Fijo</f>
        <v>12689.724443555469</v>
      </c>
      <c r="S248" s="84">
        <f ca="1" xml:space="preserve"> T_AutoYSeguroMulti!__Capital + T_SeguroAnual!__Capital</f>
        <v>0</v>
      </c>
      <c r="T248" s="84">
        <f t="shared" ca="1" si="26"/>
        <v>12689.724443555469</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x14ac:dyDescent="0.3">
      <c r="D249" s="619">
        <v>231</v>
      </c>
      <c r="F249" s="18">
        <f ca="1" xml:space="preserve"> ( __Saldo_Final _Anterior + T_SeguroAnual!__Saldo_Ciclico ) * ( __Stopper_Saldo_Inicial )</f>
        <v>7.2759576141834259E-12</v>
      </c>
      <c r="G249" s="83">
        <f ca="1">MIN( CHOOSE(i.Opcion.Abono, __Capital_Opcion_1, __Capital_Opcion_2, __Capital_Opcion_3) _Actual, __Saldo_Inicial _Actual)</f>
        <v>0</v>
      </c>
      <c r="H249" s="83">
        <f t="shared" ca="1" si="21"/>
        <v>2.6072181450823943E-15</v>
      </c>
      <c r="I249" s="84">
        <f ca="1">T_AutoYSeguroMulti!__Dias_Interes_Periodo</f>
        <v>30</v>
      </c>
      <c r="J249" s="84">
        <f t="shared" ca="1" si="22"/>
        <v>7.8216544352471822E-14</v>
      </c>
      <c r="K249" s="84">
        <f t="shared" ca="1" si="23"/>
        <v>9.3859853222966188E-15</v>
      </c>
      <c r="L249" s="83">
        <f t="shared" ca="1" si="24"/>
        <v>8.7602529674768438E-14</v>
      </c>
      <c r="M249" s="646">
        <f>INDEX(TablaCliente!_CapturaAbonoAnticipadoTablaCliente,__Amortizacion)</f>
        <v>0</v>
      </c>
      <c r="N249" s="84">
        <f t="shared" ca="1" si="25"/>
        <v>7.2759576141834259E-12</v>
      </c>
      <c r="P249" s="618" t="b">
        <f ca="1">__Saldo_Final _Anterior &gt; 0</f>
        <v>1</v>
      </c>
      <c r="Q249" s="98"/>
      <c r="R249" s="84">
        <f ca="1" xml:space="preserve"> T_AutoYSeguroMulti!_Pago.Fijo + T_SeguroAnual!__Pago_Fijo</f>
        <v>12689.724443555469</v>
      </c>
      <c r="S249" s="84">
        <f ca="1" xml:space="preserve"> T_AutoYSeguroMulti!__Capital + T_SeguroAnual!__Capital</f>
        <v>0</v>
      </c>
      <c r="T249" s="84">
        <f t="shared" ca="1" si="26"/>
        <v>12689.724443555469</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x14ac:dyDescent="0.3">
      <c r="D250" s="619">
        <v>232</v>
      </c>
      <c r="F250" s="18">
        <f ca="1" xml:space="preserve"> ( __Saldo_Final _Anterior + T_SeguroAnual!__Saldo_Ciclico ) * ( __Stopper_Saldo_Inicial )</f>
        <v>7.2759576141834259E-12</v>
      </c>
      <c r="G250" s="83">
        <f ca="1">MIN( CHOOSE(i.Opcion.Abono, __Capital_Opcion_1, __Capital_Opcion_2, __Capital_Opcion_3) _Actual, __Saldo_Inicial _Actual)</f>
        <v>0</v>
      </c>
      <c r="H250" s="83">
        <f t="shared" ca="1" si="21"/>
        <v>2.6072181450823943E-15</v>
      </c>
      <c r="I250" s="84">
        <f ca="1">T_AutoYSeguroMulti!__Dias_Interes_Periodo</f>
        <v>30</v>
      </c>
      <c r="J250" s="84">
        <f t="shared" ca="1" si="22"/>
        <v>7.8216544352471822E-14</v>
      </c>
      <c r="K250" s="84">
        <f t="shared" ca="1" si="23"/>
        <v>9.3859853222966188E-15</v>
      </c>
      <c r="L250" s="83">
        <f t="shared" ca="1" si="24"/>
        <v>8.7602529674768438E-14</v>
      </c>
      <c r="M250" s="646">
        <f>INDEX(TablaCliente!_CapturaAbonoAnticipadoTablaCliente,__Amortizacion)</f>
        <v>0</v>
      </c>
      <c r="N250" s="84">
        <f t="shared" ca="1" si="25"/>
        <v>7.2759576141834259E-12</v>
      </c>
      <c r="P250" s="618" t="b">
        <f ca="1">__Saldo_Final _Anterior &gt; 0</f>
        <v>1</v>
      </c>
      <c r="Q250" s="98"/>
      <c r="R250" s="84">
        <f ca="1" xml:space="preserve"> T_AutoYSeguroMulti!_Pago.Fijo + T_SeguroAnual!__Pago_Fijo</f>
        <v>12689.724443555469</v>
      </c>
      <c r="S250" s="84">
        <f ca="1" xml:space="preserve"> T_AutoYSeguroMulti!__Capital + T_SeguroAnual!__Capital</f>
        <v>0</v>
      </c>
      <c r="T250" s="84">
        <f t="shared" ca="1" si="26"/>
        <v>12689.724443555469</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x14ac:dyDescent="0.3">
      <c r="D251" s="619">
        <v>233</v>
      </c>
      <c r="F251" s="18">
        <f ca="1" xml:space="preserve"> ( __Saldo_Final _Anterior + T_SeguroAnual!__Saldo_Ciclico ) * ( __Stopper_Saldo_Inicial )</f>
        <v>7.2759576141834259E-12</v>
      </c>
      <c r="G251" s="83">
        <f ca="1">MIN( CHOOSE(i.Opcion.Abono, __Capital_Opcion_1, __Capital_Opcion_2, __Capital_Opcion_3) _Actual, __Saldo_Inicial _Actual)</f>
        <v>0</v>
      </c>
      <c r="H251" s="83">
        <f t="shared" ca="1" si="21"/>
        <v>2.6072181450823943E-15</v>
      </c>
      <c r="I251" s="84">
        <f ca="1">T_AutoYSeguroMulti!__Dias_Interes_Periodo</f>
        <v>30</v>
      </c>
      <c r="J251" s="84">
        <f t="shared" ca="1" si="22"/>
        <v>7.8216544352471822E-14</v>
      </c>
      <c r="K251" s="84">
        <f t="shared" ca="1" si="23"/>
        <v>9.3859853222966188E-15</v>
      </c>
      <c r="L251" s="83">
        <f t="shared" ca="1" si="24"/>
        <v>8.7602529674768438E-14</v>
      </c>
      <c r="M251" s="646">
        <f>INDEX(TablaCliente!_CapturaAbonoAnticipadoTablaCliente,__Amortizacion)</f>
        <v>0</v>
      </c>
      <c r="N251" s="84">
        <f t="shared" ca="1" si="25"/>
        <v>7.2759576141834259E-12</v>
      </c>
      <c r="P251" s="618" t="b">
        <f ca="1">__Saldo_Final _Anterior &gt; 0</f>
        <v>1</v>
      </c>
      <c r="Q251" s="98"/>
      <c r="R251" s="84">
        <f ca="1" xml:space="preserve"> T_AutoYSeguroMulti!_Pago.Fijo + T_SeguroAnual!__Pago_Fijo</f>
        <v>12689.724443555469</v>
      </c>
      <c r="S251" s="84">
        <f ca="1" xml:space="preserve"> T_AutoYSeguroMulti!__Capital + T_SeguroAnual!__Capital</f>
        <v>0</v>
      </c>
      <c r="T251" s="84">
        <f t="shared" ca="1" si="26"/>
        <v>12689.724443555469</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x14ac:dyDescent="0.3">
      <c r="D252" s="619">
        <v>234</v>
      </c>
      <c r="F252" s="18">
        <f ca="1" xml:space="preserve"> ( __Saldo_Final _Anterior + T_SeguroAnual!__Saldo_Ciclico ) * ( __Stopper_Saldo_Inicial )</f>
        <v>7.2759576141834259E-12</v>
      </c>
      <c r="G252" s="83">
        <f ca="1">MIN( CHOOSE(i.Opcion.Abono, __Capital_Opcion_1, __Capital_Opcion_2, __Capital_Opcion_3) _Actual, __Saldo_Inicial _Actual)</f>
        <v>0</v>
      </c>
      <c r="H252" s="83">
        <f t="shared" ca="1" si="21"/>
        <v>2.6072181450823943E-15</v>
      </c>
      <c r="I252" s="84">
        <f ca="1">T_AutoYSeguroMulti!__Dias_Interes_Periodo</f>
        <v>30</v>
      </c>
      <c r="J252" s="84">
        <f t="shared" ca="1" si="22"/>
        <v>7.8216544352471822E-14</v>
      </c>
      <c r="K252" s="84">
        <f t="shared" ca="1" si="23"/>
        <v>9.3859853222966188E-15</v>
      </c>
      <c r="L252" s="83">
        <f t="shared" ca="1" si="24"/>
        <v>8.7602529674768438E-14</v>
      </c>
      <c r="M252" s="646">
        <f>INDEX(TablaCliente!_CapturaAbonoAnticipadoTablaCliente,__Amortizacion)</f>
        <v>0</v>
      </c>
      <c r="N252" s="84">
        <f t="shared" ca="1" si="25"/>
        <v>7.2759576141834259E-12</v>
      </c>
      <c r="P252" s="618" t="b">
        <f ca="1">__Saldo_Final _Anterior &gt; 0</f>
        <v>1</v>
      </c>
      <c r="Q252" s="98"/>
      <c r="R252" s="84">
        <f ca="1" xml:space="preserve"> T_AutoYSeguroMulti!_Pago.Fijo + T_SeguroAnual!__Pago_Fijo</f>
        <v>12689.724443555469</v>
      </c>
      <c r="S252" s="84">
        <f ca="1" xml:space="preserve"> T_AutoYSeguroMulti!__Capital + T_SeguroAnual!__Capital</f>
        <v>0</v>
      </c>
      <c r="T252" s="84">
        <f t="shared" ca="1" si="26"/>
        <v>12689.724443555469</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x14ac:dyDescent="0.3">
      <c r="D253" s="619">
        <v>235</v>
      </c>
      <c r="F253" s="18">
        <f ca="1" xml:space="preserve"> ( __Saldo_Final _Anterior + T_SeguroAnual!__Saldo_Ciclico ) * ( __Stopper_Saldo_Inicial )</f>
        <v>7.2759576141834259E-12</v>
      </c>
      <c r="G253" s="83">
        <f ca="1">MIN( CHOOSE(i.Opcion.Abono, __Capital_Opcion_1, __Capital_Opcion_2, __Capital_Opcion_3) _Actual, __Saldo_Inicial _Actual)</f>
        <v>0</v>
      </c>
      <c r="H253" s="83">
        <f t="shared" ca="1" si="21"/>
        <v>2.6072181450823943E-15</v>
      </c>
      <c r="I253" s="84">
        <f ca="1">T_AutoYSeguroMulti!__Dias_Interes_Periodo</f>
        <v>30</v>
      </c>
      <c r="J253" s="84">
        <f t="shared" ca="1" si="22"/>
        <v>7.8216544352471822E-14</v>
      </c>
      <c r="K253" s="84">
        <f t="shared" ca="1" si="23"/>
        <v>9.3859853222966188E-15</v>
      </c>
      <c r="L253" s="83">
        <f t="shared" ca="1" si="24"/>
        <v>8.7602529674768438E-14</v>
      </c>
      <c r="M253" s="646">
        <f>INDEX(TablaCliente!_CapturaAbonoAnticipadoTablaCliente,__Amortizacion)</f>
        <v>0</v>
      </c>
      <c r="N253" s="84">
        <f t="shared" ca="1" si="25"/>
        <v>7.2759576141834259E-12</v>
      </c>
      <c r="P253" s="618" t="b">
        <f ca="1">__Saldo_Final _Anterior &gt; 0</f>
        <v>1</v>
      </c>
      <c r="Q253" s="98"/>
      <c r="R253" s="84">
        <f ca="1" xml:space="preserve"> T_AutoYSeguroMulti!_Pago.Fijo + T_SeguroAnual!__Pago_Fijo</f>
        <v>12689.724443555469</v>
      </c>
      <c r="S253" s="84">
        <f ca="1" xml:space="preserve"> T_AutoYSeguroMulti!__Capital + T_SeguroAnual!__Capital</f>
        <v>0</v>
      </c>
      <c r="T253" s="84">
        <f t="shared" ca="1" si="26"/>
        <v>12689.724443555469</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x14ac:dyDescent="0.3">
      <c r="D254" s="619">
        <v>236</v>
      </c>
      <c r="F254" s="18">
        <f ca="1" xml:space="preserve"> ( __Saldo_Final _Anterior + T_SeguroAnual!__Saldo_Ciclico ) * ( __Stopper_Saldo_Inicial )</f>
        <v>7.2759576141834259E-12</v>
      </c>
      <c r="G254" s="83">
        <f ca="1">MIN( CHOOSE(i.Opcion.Abono, __Capital_Opcion_1, __Capital_Opcion_2, __Capital_Opcion_3) _Actual, __Saldo_Inicial _Actual)</f>
        <v>0</v>
      </c>
      <c r="H254" s="83">
        <f t="shared" ca="1" si="21"/>
        <v>2.6072181450823943E-15</v>
      </c>
      <c r="I254" s="84">
        <f ca="1">T_AutoYSeguroMulti!__Dias_Interes_Periodo</f>
        <v>30</v>
      </c>
      <c r="J254" s="84">
        <f t="shared" ca="1" si="22"/>
        <v>7.8216544352471822E-14</v>
      </c>
      <c r="K254" s="84">
        <f t="shared" ca="1" si="23"/>
        <v>9.3859853222966188E-15</v>
      </c>
      <c r="L254" s="83">
        <f t="shared" ca="1" si="24"/>
        <v>8.7602529674768438E-14</v>
      </c>
      <c r="M254" s="646">
        <f>INDEX(TablaCliente!_CapturaAbonoAnticipadoTablaCliente,__Amortizacion)</f>
        <v>0</v>
      </c>
      <c r="N254" s="84">
        <f t="shared" ca="1" si="25"/>
        <v>7.2759576141834259E-12</v>
      </c>
      <c r="P254" s="618" t="b">
        <f ca="1">__Saldo_Final _Anterior &gt; 0</f>
        <v>1</v>
      </c>
      <c r="Q254" s="98"/>
      <c r="R254" s="84">
        <f ca="1" xml:space="preserve"> T_AutoYSeguroMulti!_Pago.Fijo + T_SeguroAnual!__Pago_Fijo</f>
        <v>12689.724443555469</v>
      </c>
      <c r="S254" s="84">
        <f ca="1" xml:space="preserve"> T_AutoYSeguroMulti!__Capital + T_SeguroAnual!__Capital</f>
        <v>0</v>
      </c>
      <c r="T254" s="84">
        <f t="shared" ca="1" si="26"/>
        <v>12689.724443555469</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x14ac:dyDescent="0.3">
      <c r="D255" s="619">
        <v>237</v>
      </c>
      <c r="F255" s="18">
        <f ca="1" xml:space="preserve"> ( __Saldo_Final _Anterior + T_SeguroAnual!__Saldo_Ciclico ) * ( __Stopper_Saldo_Inicial )</f>
        <v>7.2759576141834259E-12</v>
      </c>
      <c r="G255" s="83">
        <f ca="1">MIN( CHOOSE(i.Opcion.Abono, __Capital_Opcion_1, __Capital_Opcion_2, __Capital_Opcion_3) _Actual, __Saldo_Inicial _Actual)</f>
        <v>0</v>
      </c>
      <c r="H255" s="83">
        <f t="shared" ca="1" si="21"/>
        <v>2.6072181450823943E-15</v>
      </c>
      <c r="I255" s="84">
        <f ca="1">T_AutoYSeguroMulti!__Dias_Interes_Periodo</f>
        <v>30</v>
      </c>
      <c r="J255" s="84">
        <f t="shared" ca="1" si="22"/>
        <v>7.8216544352471822E-14</v>
      </c>
      <c r="K255" s="84">
        <f t="shared" ca="1" si="23"/>
        <v>9.3859853222966188E-15</v>
      </c>
      <c r="L255" s="83">
        <f t="shared" ca="1" si="24"/>
        <v>8.7602529674768438E-14</v>
      </c>
      <c r="M255" s="646">
        <f>INDEX(TablaCliente!_CapturaAbonoAnticipadoTablaCliente,__Amortizacion)</f>
        <v>0</v>
      </c>
      <c r="N255" s="84">
        <f t="shared" ca="1" si="25"/>
        <v>7.2759576141834259E-12</v>
      </c>
      <c r="P255" s="618" t="b">
        <f ca="1">__Saldo_Final _Anterior &gt; 0</f>
        <v>1</v>
      </c>
      <c r="Q255" s="98"/>
      <c r="R255" s="84">
        <f ca="1" xml:space="preserve"> T_AutoYSeguroMulti!_Pago.Fijo + T_SeguroAnual!__Pago_Fijo</f>
        <v>12689.724443555469</v>
      </c>
      <c r="S255" s="84">
        <f ca="1" xml:space="preserve"> T_AutoYSeguroMulti!__Capital + T_SeguroAnual!__Capital</f>
        <v>0</v>
      </c>
      <c r="T255" s="84">
        <f t="shared" ca="1" si="26"/>
        <v>12689.724443555469</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x14ac:dyDescent="0.3">
      <c r="D256" s="619">
        <v>238</v>
      </c>
      <c r="F256" s="18">
        <f ca="1" xml:space="preserve"> ( __Saldo_Final _Anterior + T_SeguroAnual!__Saldo_Ciclico ) * ( __Stopper_Saldo_Inicial )</f>
        <v>7.2759576141834259E-12</v>
      </c>
      <c r="G256" s="83">
        <f ca="1">MIN( CHOOSE(i.Opcion.Abono, __Capital_Opcion_1, __Capital_Opcion_2, __Capital_Opcion_3) _Actual, __Saldo_Inicial _Actual)</f>
        <v>0</v>
      </c>
      <c r="H256" s="83">
        <f t="shared" ca="1" si="21"/>
        <v>2.6072181450823943E-15</v>
      </c>
      <c r="I256" s="84">
        <f ca="1">T_AutoYSeguroMulti!__Dias_Interes_Periodo</f>
        <v>30</v>
      </c>
      <c r="J256" s="84">
        <f t="shared" ca="1" si="22"/>
        <v>7.8216544352471822E-14</v>
      </c>
      <c r="K256" s="84">
        <f t="shared" ca="1" si="23"/>
        <v>9.3859853222966188E-15</v>
      </c>
      <c r="L256" s="83">
        <f t="shared" ca="1" si="24"/>
        <v>8.7602529674768438E-14</v>
      </c>
      <c r="M256" s="646">
        <f>INDEX(TablaCliente!_CapturaAbonoAnticipadoTablaCliente,__Amortizacion)</f>
        <v>0</v>
      </c>
      <c r="N256" s="84">
        <f t="shared" ca="1" si="25"/>
        <v>7.2759576141834259E-12</v>
      </c>
      <c r="P256" s="618" t="b">
        <f ca="1">__Saldo_Final _Anterior &gt; 0</f>
        <v>1</v>
      </c>
      <c r="Q256" s="98"/>
      <c r="R256" s="84">
        <f ca="1" xml:space="preserve"> T_AutoYSeguroMulti!_Pago.Fijo + T_SeguroAnual!__Pago_Fijo</f>
        <v>12689.724443555469</v>
      </c>
      <c r="S256" s="84">
        <f ca="1" xml:space="preserve"> T_AutoYSeguroMulti!__Capital + T_SeguroAnual!__Capital</f>
        <v>0</v>
      </c>
      <c r="T256" s="84">
        <f t="shared" ca="1" si="26"/>
        <v>12689.724443555469</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x14ac:dyDescent="0.3">
      <c r="D257" s="619">
        <v>239</v>
      </c>
      <c r="F257" s="18">
        <f ca="1" xml:space="preserve"> ( __Saldo_Final _Anterior + T_SeguroAnual!__Saldo_Ciclico ) * ( __Stopper_Saldo_Inicial )</f>
        <v>7.2759576141834259E-12</v>
      </c>
      <c r="G257" s="83">
        <f ca="1">MIN( CHOOSE(i.Opcion.Abono, __Capital_Opcion_1, __Capital_Opcion_2, __Capital_Opcion_3) _Actual, __Saldo_Inicial _Actual)</f>
        <v>0</v>
      </c>
      <c r="H257" s="83">
        <f t="shared" ca="1" si="21"/>
        <v>2.6072181450823943E-15</v>
      </c>
      <c r="I257" s="84">
        <f ca="1">T_AutoYSeguroMulti!__Dias_Interes_Periodo</f>
        <v>30</v>
      </c>
      <c r="J257" s="84">
        <f t="shared" ca="1" si="22"/>
        <v>7.8216544352471822E-14</v>
      </c>
      <c r="K257" s="84">
        <f t="shared" ca="1" si="23"/>
        <v>9.3859853222966188E-15</v>
      </c>
      <c r="L257" s="83">
        <f t="shared" ca="1" si="24"/>
        <v>8.7602529674768438E-14</v>
      </c>
      <c r="M257" s="646">
        <f>INDEX(TablaCliente!_CapturaAbonoAnticipadoTablaCliente,__Amortizacion)</f>
        <v>0</v>
      </c>
      <c r="N257" s="84">
        <f t="shared" ca="1" si="25"/>
        <v>7.2759576141834259E-12</v>
      </c>
      <c r="P257" s="618" t="b">
        <f ca="1">__Saldo_Final _Anterior &gt; 0</f>
        <v>1</v>
      </c>
      <c r="Q257" s="98"/>
      <c r="R257" s="84">
        <f ca="1" xml:space="preserve"> T_AutoYSeguroMulti!_Pago.Fijo + T_SeguroAnual!__Pago_Fijo</f>
        <v>12689.724443555469</v>
      </c>
      <c r="S257" s="84">
        <f ca="1" xml:space="preserve"> T_AutoYSeguroMulti!__Capital + T_SeguroAnual!__Capital</f>
        <v>0</v>
      </c>
      <c r="T257" s="84">
        <f t="shared" ca="1" si="26"/>
        <v>12689.724443555469</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x14ac:dyDescent="0.3">
      <c r="D258" s="619">
        <v>240</v>
      </c>
      <c r="F258" s="18">
        <f ca="1" xml:space="preserve"> ( __Saldo_Final _Anterior + T_SeguroAnual!__Saldo_Ciclico ) * ( __Stopper_Saldo_Inicial )</f>
        <v>7.2759576141834259E-12</v>
      </c>
      <c r="G258" s="83">
        <f ca="1">MIN( CHOOSE(i.Opcion.Abono, __Capital_Opcion_1, __Capital_Opcion_2, __Capital_Opcion_3) _Actual, __Saldo_Inicial _Actual)</f>
        <v>0</v>
      </c>
      <c r="H258" s="83">
        <f t="shared" ca="1" si="21"/>
        <v>2.6072181450823943E-15</v>
      </c>
      <c r="I258" s="84">
        <f ca="1">T_AutoYSeguroMulti!__Dias_Interes_Periodo</f>
        <v>30</v>
      </c>
      <c r="J258" s="84">
        <f t="shared" ca="1" si="22"/>
        <v>7.8216544352471822E-14</v>
      </c>
      <c r="K258" s="84">
        <f t="shared" ca="1" si="23"/>
        <v>9.3859853222966188E-15</v>
      </c>
      <c r="L258" s="83">
        <f t="shared" ca="1" si="24"/>
        <v>8.7602529674768438E-14</v>
      </c>
      <c r="M258" s="646">
        <f>INDEX(TablaCliente!_CapturaAbonoAnticipadoTablaCliente,__Amortizacion)</f>
        <v>0</v>
      </c>
      <c r="N258" s="84">
        <f t="shared" ca="1" si="25"/>
        <v>7.2759576141834259E-12</v>
      </c>
      <c r="P258" s="618" t="b">
        <f ca="1">__Saldo_Final _Anterior &gt; 0</f>
        <v>1</v>
      </c>
      <c r="Q258" s="98"/>
      <c r="R258" s="84">
        <f ca="1" xml:space="preserve"> T_AutoYSeguroMulti!_Pago.Fijo + T_SeguroAnual!__Pago_Fijo</f>
        <v>12689.724443555469</v>
      </c>
      <c r="S258" s="84">
        <f ca="1" xml:space="preserve"> T_AutoYSeguroMulti!__Capital + T_SeguroAnual!__Capital</f>
        <v>0</v>
      </c>
      <c r="T258" s="84">
        <f t="shared" ca="1" si="26"/>
        <v>12689.724443555469</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x14ac:dyDescent="0.3">
      <c r="D259" s="619">
        <v>241</v>
      </c>
      <c r="F259" s="18">
        <f ca="1" xml:space="preserve"> ( __Saldo_Final _Anterior + T_SeguroAnual!__Saldo_Ciclico ) * ( __Stopper_Saldo_Inicial )</f>
        <v>7.2759576141834259E-12</v>
      </c>
      <c r="G259" s="83">
        <f ca="1">MIN( CHOOSE(i.Opcion.Abono, __Capital_Opcion_1, __Capital_Opcion_2, __Capital_Opcion_3) _Actual, __Saldo_Inicial _Actual)</f>
        <v>0</v>
      </c>
      <c r="H259" s="83">
        <f t="shared" ca="1" si="21"/>
        <v>2.6072181450823943E-15</v>
      </c>
      <c r="I259" s="84">
        <f ca="1">T_AutoYSeguroMulti!__Dias_Interes_Periodo</f>
        <v>30</v>
      </c>
      <c r="J259" s="84">
        <f t="shared" ca="1" si="22"/>
        <v>7.8216544352471822E-14</v>
      </c>
      <c r="K259" s="84">
        <f t="shared" ca="1" si="23"/>
        <v>9.3859853222966188E-15</v>
      </c>
      <c r="L259" s="83">
        <f t="shared" ca="1" si="24"/>
        <v>8.7602529674768438E-14</v>
      </c>
      <c r="M259" s="646">
        <f>INDEX(TablaCliente!_CapturaAbonoAnticipadoTablaCliente,__Amortizacion)</f>
        <v>0</v>
      </c>
      <c r="N259" s="84">
        <f t="shared" ca="1" si="25"/>
        <v>7.2759576141834259E-12</v>
      </c>
      <c r="P259" s="618" t="b">
        <f ca="1">__Saldo_Final _Anterior &gt; 0</f>
        <v>1</v>
      </c>
      <c r="Q259" s="98"/>
      <c r="R259" s="84">
        <f ca="1" xml:space="preserve"> T_AutoYSeguroMulti!_Pago.Fijo + T_SeguroAnual!__Pago_Fijo</f>
        <v>12689.724443555469</v>
      </c>
      <c r="S259" s="84">
        <f ca="1" xml:space="preserve"> T_AutoYSeguroMulti!__Capital + T_SeguroAnual!__Capital</f>
        <v>0</v>
      </c>
      <c r="T259" s="84">
        <f t="shared" ca="1" si="26"/>
        <v>12689.724443555469</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x14ac:dyDescent="0.3">
      <c r="D260" s="619">
        <v>242</v>
      </c>
      <c r="F260" s="18">
        <f ca="1" xml:space="preserve"> ( __Saldo_Final _Anterior + T_SeguroAnual!__Saldo_Ciclico ) * ( __Stopper_Saldo_Inicial )</f>
        <v>7.2759576141834259E-12</v>
      </c>
      <c r="G260" s="83">
        <f ca="1">MIN( CHOOSE(i.Opcion.Abono, __Capital_Opcion_1, __Capital_Opcion_2, __Capital_Opcion_3) _Actual, __Saldo_Inicial _Actual)</f>
        <v>0</v>
      </c>
      <c r="H260" s="83">
        <f t="shared" ca="1" si="21"/>
        <v>2.6072181450823943E-15</v>
      </c>
      <c r="I260" s="84">
        <f ca="1">T_AutoYSeguroMulti!__Dias_Interes_Periodo</f>
        <v>30</v>
      </c>
      <c r="J260" s="84">
        <f t="shared" ca="1" si="22"/>
        <v>7.8216544352471822E-14</v>
      </c>
      <c r="K260" s="84">
        <f t="shared" ca="1" si="23"/>
        <v>9.3859853222966188E-15</v>
      </c>
      <c r="L260" s="83">
        <f t="shared" ca="1" si="24"/>
        <v>8.7602529674768438E-14</v>
      </c>
      <c r="M260" s="646">
        <f>INDEX(TablaCliente!_CapturaAbonoAnticipadoTablaCliente,__Amortizacion)</f>
        <v>0</v>
      </c>
      <c r="N260" s="84">
        <f t="shared" ca="1" si="25"/>
        <v>7.2759576141834259E-12</v>
      </c>
      <c r="P260" s="618" t="b">
        <f ca="1">__Saldo_Final _Anterior &gt; 0</f>
        <v>1</v>
      </c>
      <c r="Q260" s="98"/>
      <c r="R260" s="84">
        <f ca="1" xml:space="preserve"> T_AutoYSeguroMulti!_Pago.Fijo + T_SeguroAnual!__Pago_Fijo</f>
        <v>12689.724443555469</v>
      </c>
      <c r="S260" s="84">
        <f ca="1" xml:space="preserve"> T_AutoYSeguroMulti!__Capital + T_SeguroAnual!__Capital</f>
        <v>0</v>
      </c>
      <c r="T260" s="84">
        <f t="shared" ca="1" si="26"/>
        <v>12689.724443555469</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x14ac:dyDescent="0.3">
      <c r="D261" s="619">
        <v>243</v>
      </c>
      <c r="F261" s="18">
        <f ca="1" xml:space="preserve"> ( __Saldo_Final _Anterior + T_SeguroAnual!__Saldo_Ciclico ) * ( __Stopper_Saldo_Inicial )</f>
        <v>7.2759576141834259E-12</v>
      </c>
      <c r="G261" s="83">
        <f ca="1">MIN( CHOOSE(i.Opcion.Abono, __Capital_Opcion_1, __Capital_Opcion_2, __Capital_Opcion_3) _Actual, __Saldo_Inicial _Actual)</f>
        <v>0</v>
      </c>
      <c r="H261" s="83">
        <f t="shared" ca="1" si="21"/>
        <v>2.6072181450823943E-15</v>
      </c>
      <c r="I261" s="84">
        <f ca="1">T_AutoYSeguroMulti!__Dias_Interes_Periodo</f>
        <v>30</v>
      </c>
      <c r="J261" s="84">
        <f t="shared" ca="1" si="22"/>
        <v>7.8216544352471822E-14</v>
      </c>
      <c r="K261" s="84">
        <f t="shared" ca="1" si="23"/>
        <v>9.3859853222966188E-15</v>
      </c>
      <c r="L261" s="83">
        <f t="shared" ca="1" si="24"/>
        <v>8.7602529674768438E-14</v>
      </c>
      <c r="M261" s="646">
        <f>INDEX(TablaCliente!_CapturaAbonoAnticipadoTablaCliente,__Amortizacion)</f>
        <v>0</v>
      </c>
      <c r="N261" s="84">
        <f t="shared" ca="1" si="25"/>
        <v>7.2759576141834259E-12</v>
      </c>
      <c r="P261" s="618" t="b">
        <f ca="1">__Saldo_Final _Anterior &gt; 0</f>
        <v>1</v>
      </c>
      <c r="Q261" s="98"/>
      <c r="R261" s="84">
        <f ca="1" xml:space="preserve"> T_AutoYSeguroMulti!_Pago.Fijo + T_SeguroAnual!__Pago_Fijo</f>
        <v>12689.724443555469</v>
      </c>
      <c r="S261" s="84">
        <f ca="1" xml:space="preserve"> T_AutoYSeguroMulti!__Capital + T_SeguroAnual!__Capital</f>
        <v>0</v>
      </c>
      <c r="T261" s="84">
        <f t="shared" ca="1" si="26"/>
        <v>12689.724443555469</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x14ac:dyDescent="0.3">
      <c r="D262" s="619">
        <v>244</v>
      </c>
      <c r="F262" s="18">
        <f ca="1" xml:space="preserve"> ( __Saldo_Final _Anterior + T_SeguroAnual!__Saldo_Ciclico ) * ( __Stopper_Saldo_Inicial )</f>
        <v>7.2759576141834259E-12</v>
      </c>
      <c r="G262" s="83">
        <f ca="1">MIN( CHOOSE(i.Opcion.Abono, __Capital_Opcion_1, __Capital_Opcion_2, __Capital_Opcion_3) _Actual, __Saldo_Inicial _Actual)</f>
        <v>0</v>
      </c>
      <c r="H262" s="83">
        <f t="shared" ca="1" si="21"/>
        <v>2.6072181450823943E-15</v>
      </c>
      <c r="I262" s="84">
        <f ca="1">T_AutoYSeguroMulti!__Dias_Interes_Periodo</f>
        <v>30</v>
      </c>
      <c r="J262" s="84">
        <f t="shared" ca="1" si="22"/>
        <v>7.8216544352471822E-14</v>
      </c>
      <c r="K262" s="84">
        <f t="shared" ca="1" si="23"/>
        <v>9.3859853222966188E-15</v>
      </c>
      <c r="L262" s="83">
        <f t="shared" ca="1" si="24"/>
        <v>8.7602529674768438E-14</v>
      </c>
      <c r="M262" s="646">
        <f>INDEX(TablaCliente!_CapturaAbonoAnticipadoTablaCliente,__Amortizacion)</f>
        <v>0</v>
      </c>
      <c r="N262" s="84">
        <f t="shared" ca="1" si="25"/>
        <v>7.2759576141834259E-12</v>
      </c>
      <c r="P262" s="618" t="b">
        <f ca="1">__Saldo_Final _Anterior &gt; 0</f>
        <v>1</v>
      </c>
      <c r="Q262" s="98"/>
      <c r="R262" s="84">
        <f ca="1" xml:space="preserve"> T_AutoYSeguroMulti!_Pago.Fijo + T_SeguroAnual!__Pago_Fijo</f>
        <v>12689.724443555469</v>
      </c>
      <c r="S262" s="84">
        <f ca="1" xml:space="preserve"> T_AutoYSeguroMulti!__Capital + T_SeguroAnual!__Capital</f>
        <v>0</v>
      </c>
      <c r="T262" s="84">
        <f t="shared" ca="1" si="26"/>
        <v>12689.724443555469</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x14ac:dyDescent="0.3">
      <c r="D263" s="98">
        <v>245</v>
      </c>
      <c r="F263" s="18">
        <f ca="1" xml:space="preserve"> ( __Saldo_Final _Anterior + T_SeguroAnual!__Saldo_Ciclico ) * ( __Stopper_Saldo_Inicial )</f>
        <v>7.2759576141834259E-12</v>
      </c>
      <c r="G263" s="83">
        <f ca="1">MIN( CHOOSE(i.Opcion.Abono, __Capital_Opcion_1, __Capital_Opcion_2, __Capital_Opcion_3) _Actual, __Saldo_Inicial _Actual)</f>
        <v>0</v>
      </c>
      <c r="H263" s="83">
        <f t="shared" ca="1" si="21"/>
        <v>2.6072181450823943E-15</v>
      </c>
      <c r="I263" s="84">
        <f ca="1">T_AutoYSeguroMulti!__Dias_Interes_Periodo</f>
        <v>30</v>
      </c>
      <c r="J263" s="84">
        <f t="shared" ca="1" si="22"/>
        <v>7.8216544352471822E-14</v>
      </c>
      <c r="K263" s="84">
        <f t="shared" ca="1" si="23"/>
        <v>9.3859853222966188E-15</v>
      </c>
      <c r="L263" s="83">
        <f t="shared" ca="1" si="24"/>
        <v>8.7602529674768438E-14</v>
      </c>
      <c r="M263" s="646">
        <f>INDEX(TablaCliente!_CapturaAbonoAnticipadoTablaCliente,__Amortizacion)</f>
        <v>0</v>
      </c>
      <c r="N263" s="84">
        <f t="shared" ca="1" si="25"/>
        <v>7.2759576141834259E-12</v>
      </c>
      <c r="P263" s="618" t="b">
        <f ca="1">__Saldo_Final _Anterior &gt; 0</f>
        <v>1</v>
      </c>
      <c r="Q263" s="98"/>
      <c r="R263" s="84">
        <f ca="1" xml:space="preserve"> T_AutoYSeguroMulti!_Pago.Fijo + T_SeguroAnual!__Pago_Fijo</f>
        <v>12689.724443555469</v>
      </c>
      <c r="S263" s="84">
        <f ca="1" xml:space="preserve"> T_AutoYSeguroMulti!__Capital + T_SeguroAnual!__Capital</f>
        <v>0</v>
      </c>
      <c r="T263" s="84">
        <f t="shared" ca="1" si="26"/>
        <v>12689.724443555469</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x14ac:dyDescent="0.3">
      <c r="D264" s="619">
        <v>246</v>
      </c>
      <c r="F264" s="18">
        <f ca="1" xml:space="preserve"> ( __Saldo_Final _Anterior + T_SeguroAnual!__Saldo_Ciclico ) * ( __Stopper_Saldo_Inicial )</f>
        <v>7.2759576141834259E-12</v>
      </c>
      <c r="G264" s="83">
        <f ca="1">MIN( CHOOSE(i.Opcion.Abono, __Capital_Opcion_1, __Capital_Opcion_2, __Capital_Opcion_3) _Actual, __Saldo_Inicial _Actual)</f>
        <v>0</v>
      </c>
      <c r="H264" s="83">
        <f t="shared" ca="1" si="21"/>
        <v>2.6072181450823943E-15</v>
      </c>
      <c r="I264" s="84">
        <f ca="1">T_AutoYSeguroMulti!__Dias_Interes_Periodo</f>
        <v>30</v>
      </c>
      <c r="J264" s="84">
        <f t="shared" ca="1" si="22"/>
        <v>7.8216544352471822E-14</v>
      </c>
      <c r="K264" s="84">
        <f t="shared" ca="1" si="23"/>
        <v>9.3859853222966188E-15</v>
      </c>
      <c r="L264" s="83">
        <f t="shared" ca="1" si="24"/>
        <v>8.7602529674768438E-14</v>
      </c>
      <c r="M264" s="646">
        <f>INDEX(TablaCliente!_CapturaAbonoAnticipadoTablaCliente,__Amortizacion)</f>
        <v>0</v>
      </c>
      <c r="N264" s="84">
        <f t="shared" ca="1" si="25"/>
        <v>7.2759576141834259E-12</v>
      </c>
      <c r="P264" s="618" t="b">
        <f ca="1">__Saldo_Final _Anterior &gt; 0</f>
        <v>1</v>
      </c>
      <c r="Q264" s="98"/>
      <c r="R264" s="84">
        <f ca="1" xml:space="preserve"> T_AutoYSeguroMulti!_Pago.Fijo + T_SeguroAnual!__Pago_Fijo</f>
        <v>12689.724443555469</v>
      </c>
      <c r="S264" s="84">
        <f ca="1" xml:space="preserve"> T_AutoYSeguroMulti!__Capital + T_SeguroAnual!__Capital</f>
        <v>0</v>
      </c>
      <c r="T264" s="84">
        <f t="shared" ca="1" si="26"/>
        <v>12689.724443555469</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x14ac:dyDescent="0.3">
      <c r="D265" s="619">
        <v>247</v>
      </c>
      <c r="F265" s="18">
        <f ca="1" xml:space="preserve"> ( __Saldo_Final _Anterior + T_SeguroAnual!__Saldo_Ciclico ) * ( __Stopper_Saldo_Inicial )</f>
        <v>7.2759576141834259E-12</v>
      </c>
      <c r="G265" s="83">
        <f ca="1">MIN( CHOOSE(i.Opcion.Abono, __Capital_Opcion_1, __Capital_Opcion_2, __Capital_Opcion_3) _Actual, __Saldo_Inicial _Actual)</f>
        <v>0</v>
      </c>
      <c r="H265" s="83">
        <f t="shared" ca="1" si="21"/>
        <v>2.6072181450823943E-15</v>
      </c>
      <c r="I265" s="84">
        <f ca="1">T_AutoYSeguroMulti!__Dias_Interes_Periodo</f>
        <v>30</v>
      </c>
      <c r="J265" s="84">
        <f t="shared" ca="1" si="22"/>
        <v>7.8216544352471822E-14</v>
      </c>
      <c r="K265" s="84">
        <f t="shared" ca="1" si="23"/>
        <v>9.3859853222966188E-15</v>
      </c>
      <c r="L265" s="83">
        <f t="shared" ca="1" si="24"/>
        <v>8.7602529674768438E-14</v>
      </c>
      <c r="M265" s="646">
        <f>INDEX(TablaCliente!_CapturaAbonoAnticipadoTablaCliente,__Amortizacion)</f>
        <v>0</v>
      </c>
      <c r="N265" s="84">
        <f t="shared" ca="1" si="25"/>
        <v>7.2759576141834259E-12</v>
      </c>
      <c r="P265" s="618" t="b">
        <f ca="1">__Saldo_Final _Anterior &gt; 0</f>
        <v>1</v>
      </c>
      <c r="Q265" s="98"/>
      <c r="R265" s="84">
        <f ca="1" xml:space="preserve"> T_AutoYSeguroMulti!_Pago.Fijo + T_SeguroAnual!__Pago_Fijo</f>
        <v>12689.724443555469</v>
      </c>
      <c r="S265" s="84">
        <f ca="1" xml:space="preserve"> T_AutoYSeguroMulti!__Capital + T_SeguroAnual!__Capital</f>
        <v>0</v>
      </c>
      <c r="T265" s="84">
        <f t="shared" ca="1" si="26"/>
        <v>12689.724443555469</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x14ac:dyDescent="0.3">
      <c r="D266" s="619">
        <v>248</v>
      </c>
      <c r="F266" s="18">
        <f ca="1" xml:space="preserve"> ( __Saldo_Final _Anterior + T_SeguroAnual!__Saldo_Ciclico ) * ( __Stopper_Saldo_Inicial )</f>
        <v>7.2759576141834259E-12</v>
      </c>
      <c r="G266" s="83">
        <f ca="1">MIN( CHOOSE(i.Opcion.Abono, __Capital_Opcion_1, __Capital_Opcion_2, __Capital_Opcion_3) _Actual, __Saldo_Inicial _Actual)</f>
        <v>0</v>
      </c>
      <c r="H266" s="83">
        <f t="shared" ca="1" si="21"/>
        <v>2.6072181450823943E-15</v>
      </c>
      <c r="I266" s="84">
        <f ca="1">T_AutoYSeguroMulti!__Dias_Interes_Periodo</f>
        <v>30</v>
      </c>
      <c r="J266" s="84">
        <f t="shared" ca="1" si="22"/>
        <v>7.8216544352471822E-14</v>
      </c>
      <c r="K266" s="84">
        <f t="shared" ca="1" si="23"/>
        <v>9.3859853222966188E-15</v>
      </c>
      <c r="L266" s="83">
        <f t="shared" ca="1" si="24"/>
        <v>8.7602529674768438E-14</v>
      </c>
      <c r="M266" s="646">
        <f>INDEX(TablaCliente!_CapturaAbonoAnticipadoTablaCliente,__Amortizacion)</f>
        <v>0</v>
      </c>
      <c r="N266" s="84">
        <f t="shared" ca="1" si="25"/>
        <v>7.2759576141834259E-12</v>
      </c>
      <c r="P266" s="618" t="b">
        <f ca="1">__Saldo_Final _Anterior &gt; 0</f>
        <v>1</v>
      </c>
      <c r="Q266" s="98"/>
      <c r="R266" s="84">
        <f ca="1" xml:space="preserve"> T_AutoYSeguroMulti!_Pago.Fijo + T_SeguroAnual!__Pago_Fijo</f>
        <v>12689.724443555469</v>
      </c>
      <c r="S266" s="84">
        <f ca="1" xml:space="preserve"> T_AutoYSeguroMulti!__Capital + T_SeguroAnual!__Capital</f>
        <v>0</v>
      </c>
      <c r="T266" s="84">
        <f t="shared" ca="1" si="26"/>
        <v>12689.724443555469</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x14ac:dyDescent="0.3">
      <c r="D267" s="619">
        <v>249</v>
      </c>
      <c r="F267" s="18">
        <f ca="1" xml:space="preserve"> ( __Saldo_Final _Anterior + T_SeguroAnual!__Saldo_Ciclico ) * ( __Stopper_Saldo_Inicial )</f>
        <v>7.2759576141834259E-12</v>
      </c>
      <c r="G267" s="83">
        <f ca="1">MIN( CHOOSE(i.Opcion.Abono, __Capital_Opcion_1, __Capital_Opcion_2, __Capital_Opcion_3) _Actual, __Saldo_Inicial _Actual)</f>
        <v>0</v>
      </c>
      <c r="H267" s="83">
        <f t="shared" ca="1" si="21"/>
        <v>2.6072181450823943E-15</v>
      </c>
      <c r="I267" s="84">
        <f ca="1">T_AutoYSeguroMulti!__Dias_Interes_Periodo</f>
        <v>30</v>
      </c>
      <c r="J267" s="84">
        <f t="shared" ca="1" si="22"/>
        <v>7.8216544352471822E-14</v>
      </c>
      <c r="K267" s="84">
        <f t="shared" ca="1" si="23"/>
        <v>9.3859853222966188E-15</v>
      </c>
      <c r="L267" s="83">
        <f t="shared" ca="1" si="24"/>
        <v>8.7602529674768438E-14</v>
      </c>
      <c r="M267" s="646">
        <f>INDEX(TablaCliente!_CapturaAbonoAnticipadoTablaCliente,__Amortizacion)</f>
        <v>0</v>
      </c>
      <c r="N267" s="84">
        <f t="shared" ca="1" si="25"/>
        <v>7.2759576141834259E-12</v>
      </c>
      <c r="P267" s="618" t="b">
        <f ca="1">__Saldo_Final _Anterior &gt; 0</f>
        <v>1</v>
      </c>
      <c r="Q267" s="98"/>
      <c r="R267" s="84">
        <f ca="1" xml:space="preserve"> T_AutoYSeguroMulti!_Pago.Fijo + T_SeguroAnual!__Pago_Fijo</f>
        <v>12689.724443555469</v>
      </c>
      <c r="S267" s="84">
        <f ca="1" xml:space="preserve"> T_AutoYSeguroMulti!__Capital + T_SeguroAnual!__Capital</f>
        <v>0</v>
      </c>
      <c r="T267" s="84">
        <f t="shared" ca="1" si="26"/>
        <v>12689.724443555469</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x14ac:dyDescent="0.3">
      <c r="D268" s="619">
        <v>250</v>
      </c>
      <c r="F268" s="18">
        <f ca="1" xml:space="preserve"> ( __Saldo_Final _Anterior + T_SeguroAnual!__Saldo_Ciclico ) * ( __Stopper_Saldo_Inicial )</f>
        <v>7.2759576141834259E-12</v>
      </c>
      <c r="G268" s="83">
        <f ca="1">MIN( CHOOSE(i.Opcion.Abono, __Capital_Opcion_1, __Capital_Opcion_2, __Capital_Opcion_3) _Actual, __Saldo_Inicial _Actual)</f>
        <v>0</v>
      </c>
      <c r="H268" s="83">
        <f t="shared" ca="1" si="21"/>
        <v>2.6072181450823943E-15</v>
      </c>
      <c r="I268" s="84">
        <f ca="1">T_AutoYSeguroMulti!__Dias_Interes_Periodo</f>
        <v>30</v>
      </c>
      <c r="J268" s="84">
        <f t="shared" ca="1" si="22"/>
        <v>7.8216544352471822E-14</v>
      </c>
      <c r="K268" s="84">
        <f t="shared" ca="1" si="23"/>
        <v>9.3859853222966188E-15</v>
      </c>
      <c r="L268" s="83">
        <f t="shared" ca="1" si="24"/>
        <v>8.7602529674768438E-14</v>
      </c>
      <c r="M268" s="646">
        <f>INDEX(TablaCliente!_CapturaAbonoAnticipadoTablaCliente,__Amortizacion)</f>
        <v>0</v>
      </c>
      <c r="N268" s="84">
        <f t="shared" ca="1" si="25"/>
        <v>7.2759576141834259E-12</v>
      </c>
      <c r="P268" s="618" t="b">
        <f ca="1">__Saldo_Final _Anterior &gt; 0</f>
        <v>1</v>
      </c>
      <c r="Q268" s="98"/>
      <c r="R268" s="84">
        <f ca="1" xml:space="preserve"> T_AutoYSeguroMulti!_Pago.Fijo + T_SeguroAnual!__Pago_Fijo</f>
        <v>12689.724443555469</v>
      </c>
      <c r="S268" s="84">
        <f ca="1" xml:space="preserve"> T_AutoYSeguroMulti!__Capital + T_SeguroAnual!__Capital</f>
        <v>0</v>
      </c>
      <c r="T268" s="84">
        <f t="shared" ca="1" si="26"/>
        <v>12689.724443555469</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x14ac:dyDescent="0.3">
      <c r="D269" s="619">
        <v>251</v>
      </c>
      <c r="F269" s="18">
        <f ca="1" xml:space="preserve"> ( __Saldo_Final _Anterior + T_SeguroAnual!__Saldo_Ciclico ) * ( __Stopper_Saldo_Inicial )</f>
        <v>7.2759576141834259E-12</v>
      </c>
      <c r="G269" s="83">
        <f ca="1">MIN( CHOOSE(i.Opcion.Abono, __Capital_Opcion_1, __Capital_Opcion_2, __Capital_Opcion_3) _Actual, __Saldo_Inicial _Actual)</f>
        <v>0</v>
      </c>
      <c r="H269" s="83">
        <f t="shared" ca="1" si="21"/>
        <v>2.6072181450823943E-15</v>
      </c>
      <c r="I269" s="84">
        <f ca="1">T_AutoYSeguroMulti!__Dias_Interes_Periodo</f>
        <v>30</v>
      </c>
      <c r="J269" s="84">
        <f t="shared" ca="1" si="22"/>
        <v>7.8216544352471822E-14</v>
      </c>
      <c r="K269" s="84">
        <f t="shared" ca="1" si="23"/>
        <v>9.3859853222966188E-15</v>
      </c>
      <c r="L269" s="83">
        <f t="shared" ca="1" si="24"/>
        <v>8.7602529674768438E-14</v>
      </c>
      <c r="M269" s="646">
        <f>INDEX(TablaCliente!_CapturaAbonoAnticipadoTablaCliente,__Amortizacion)</f>
        <v>0</v>
      </c>
      <c r="N269" s="84">
        <f t="shared" ca="1" si="25"/>
        <v>7.2759576141834259E-12</v>
      </c>
      <c r="P269" s="618" t="b">
        <f ca="1">__Saldo_Final _Anterior &gt; 0</f>
        <v>1</v>
      </c>
      <c r="Q269" s="98"/>
      <c r="R269" s="84">
        <f ca="1" xml:space="preserve"> T_AutoYSeguroMulti!_Pago.Fijo + T_SeguroAnual!__Pago_Fijo</f>
        <v>12689.724443555469</v>
      </c>
      <c r="S269" s="84">
        <f ca="1" xml:space="preserve"> T_AutoYSeguroMulti!__Capital + T_SeguroAnual!__Capital</f>
        <v>0</v>
      </c>
      <c r="T269" s="84">
        <f t="shared" ca="1" si="26"/>
        <v>12689.724443555469</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x14ac:dyDescent="0.3">
      <c r="D270" s="619">
        <v>252</v>
      </c>
      <c r="F270" s="18">
        <f ca="1" xml:space="preserve"> ( __Saldo_Final _Anterior + T_SeguroAnual!__Saldo_Ciclico ) * ( __Stopper_Saldo_Inicial )</f>
        <v>7.2759576141834259E-12</v>
      </c>
      <c r="G270" s="83">
        <f ca="1">MIN( CHOOSE(i.Opcion.Abono, __Capital_Opcion_1, __Capital_Opcion_2, __Capital_Opcion_3) _Actual, __Saldo_Inicial _Actual)</f>
        <v>0</v>
      </c>
      <c r="H270" s="83">
        <f t="shared" ca="1" si="21"/>
        <v>2.6072181450823943E-15</v>
      </c>
      <c r="I270" s="84">
        <f ca="1">T_AutoYSeguroMulti!__Dias_Interes_Periodo</f>
        <v>30</v>
      </c>
      <c r="J270" s="84">
        <f t="shared" ca="1" si="22"/>
        <v>7.8216544352471822E-14</v>
      </c>
      <c r="K270" s="84">
        <f t="shared" ca="1" si="23"/>
        <v>9.3859853222966188E-15</v>
      </c>
      <c r="L270" s="83">
        <f t="shared" ca="1" si="24"/>
        <v>8.7602529674768438E-14</v>
      </c>
      <c r="M270" s="646">
        <f>INDEX(TablaCliente!_CapturaAbonoAnticipadoTablaCliente,__Amortizacion)</f>
        <v>0</v>
      </c>
      <c r="N270" s="84">
        <f t="shared" ca="1" si="25"/>
        <v>7.2759576141834259E-12</v>
      </c>
      <c r="P270" s="618" t="b">
        <f ca="1">__Saldo_Final _Anterior &gt; 0</f>
        <v>1</v>
      </c>
      <c r="Q270" s="98"/>
      <c r="R270" s="84">
        <f ca="1" xml:space="preserve"> T_AutoYSeguroMulti!_Pago.Fijo + T_SeguroAnual!__Pago_Fijo</f>
        <v>12689.724443555469</v>
      </c>
      <c r="S270" s="84">
        <f ca="1" xml:space="preserve"> T_AutoYSeguroMulti!__Capital + T_SeguroAnual!__Capital</f>
        <v>0</v>
      </c>
      <c r="T270" s="84">
        <f t="shared" ca="1" si="26"/>
        <v>12689.724443555469</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x14ac:dyDescent="0.3">
      <c r="D271" s="619">
        <v>253</v>
      </c>
      <c r="F271" s="18">
        <f ca="1" xml:space="preserve"> ( __Saldo_Final _Anterior + T_SeguroAnual!__Saldo_Ciclico ) * ( __Stopper_Saldo_Inicial )</f>
        <v>7.2759576141834259E-12</v>
      </c>
      <c r="G271" s="83">
        <f ca="1">MIN( CHOOSE(i.Opcion.Abono, __Capital_Opcion_1, __Capital_Opcion_2, __Capital_Opcion_3) _Actual, __Saldo_Inicial _Actual)</f>
        <v>0</v>
      </c>
      <c r="H271" s="83">
        <f t="shared" ca="1" si="21"/>
        <v>2.6072181450823943E-15</v>
      </c>
      <c r="I271" s="84">
        <f ca="1">T_AutoYSeguroMulti!__Dias_Interes_Periodo</f>
        <v>30</v>
      </c>
      <c r="J271" s="84">
        <f t="shared" ca="1" si="22"/>
        <v>7.8216544352471822E-14</v>
      </c>
      <c r="K271" s="84">
        <f t="shared" ca="1" si="23"/>
        <v>9.3859853222966188E-15</v>
      </c>
      <c r="L271" s="83">
        <f t="shared" ca="1" si="24"/>
        <v>8.7602529674768438E-14</v>
      </c>
      <c r="M271" s="646">
        <f>INDEX(TablaCliente!_CapturaAbonoAnticipadoTablaCliente,__Amortizacion)</f>
        <v>0</v>
      </c>
      <c r="N271" s="84">
        <f t="shared" ca="1" si="25"/>
        <v>7.2759576141834259E-12</v>
      </c>
      <c r="P271" s="618" t="b">
        <f ca="1">__Saldo_Final _Anterior &gt; 0</f>
        <v>1</v>
      </c>
      <c r="Q271" s="98"/>
      <c r="R271" s="84">
        <f ca="1" xml:space="preserve"> T_AutoYSeguroMulti!_Pago.Fijo + T_SeguroAnual!__Pago_Fijo</f>
        <v>12689.724443555469</v>
      </c>
      <c r="S271" s="84">
        <f ca="1" xml:space="preserve"> T_AutoYSeguroMulti!__Capital + T_SeguroAnual!__Capital</f>
        <v>0</v>
      </c>
      <c r="T271" s="84">
        <f t="shared" ca="1" si="26"/>
        <v>12689.724443555469</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x14ac:dyDescent="0.3">
      <c r="D272" s="619">
        <v>254</v>
      </c>
      <c r="F272" s="18">
        <f ca="1" xml:space="preserve"> ( __Saldo_Final _Anterior + T_SeguroAnual!__Saldo_Ciclico ) * ( __Stopper_Saldo_Inicial )</f>
        <v>7.2759576141834259E-12</v>
      </c>
      <c r="G272" s="83">
        <f ca="1">MIN( CHOOSE(i.Opcion.Abono, __Capital_Opcion_1, __Capital_Opcion_2, __Capital_Opcion_3) _Actual, __Saldo_Inicial _Actual)</f>
        <v>0</v>
      </c>
      <c r="H272" s="83">
        <f t="shared" ca="1" si="21"/>
        <v>2.6072181450823943E-15</v>
      </c>
      <c r="I272" s="84">
        <f ca="1">T_AutoYSeguroMulti!__Dias_Interes_Periodo</f>
        <v>30</v>
      </c>
      <c r="J272" s="84">
        <f t="shared" ca="1" si="22"/>
        <v>7.8216544352471822E-14</v>
      </c>
      <c r="K272" s="84">
        <f t="shared" ca="1" si="23"/>
        <v>9.3859853222966188E-15</v>
      </c>
      <c r="L272" s="83">
        <f t="shared" ca="1" si="24"/>
        <v>8.7602529674768438E-14</v>
      </c>
      <c r="M272" s="646">
        <f>INDEX(TablaCliente!_CapturaAbonoAnticipadoTablaCliente,__Amortizacion)</f>
        <v>0</v>
      </c>
      <c r="N272" s="84">
        <f t="shared" ca="1" si="25"/>
        <v>7.2759576141834259E-12</v>
      </c>
      <c r="P272" s="618" t="b">
        <f ca="1">__Saldo_Final _Anterior &gt; 0</f>
        <v>1</v>
      </c>
      <c r="Q272" s="98"/>
      <c r="R272" s="84">
        <f ca="1" xml:space="preserve"> T_AutoYSeguroMulti!_Pago.Fijo + T_SeguroAnual!__Pago_Fijo</f>
        <v>12689.724443555469</v>
      </c>
      <c r="S272" s="84">
        <f ca="1" xml:space="preserve"> T_AutoYSeguroMulti!__Capital + T_SeguroAnual!__Capital</f>
        <v>0</v>
      </c>
      <c r="T272" s="84">
        <f t="shared" ca="1" si="26"/>
        <v>12689.724443555469</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x14ac:dyDescent="0.3">
      <c r="D273" s="619">
        <v>255</v>
      </c>
      <c r="F273" s="18">
        <f ca="1" xml:space="preserve"> ( __Saldo_Final _Anterior + T_SeguroAnual!__Saldo_Ciclico ) * ( __Stopper_Saldo_Inicial )</f>
        <v>7.2759576141834259E-12</v>
      </c>
      <c r="G273" s="83">
        <f ca="1">MIN( CHOOSE(i.Opcion.Abono, __Capital_Opcion_1, __Capital_Opcion_2, __Capital_Opcion_3) _Actual, __Saldo_Inicial _Actual)</f>
        <v>0</v>
      </c>
      <c r="H273" s="83">
        <f t="shared" ca="1" si="21"/>
        <v>2.6072181450823943E-15</v>
      </c>
      <c r="I273" s="84">
        <f ca="1">T_AutoYSeguroMulti!__Dias_Interes_Periodo</f>
        <v>30</v>
      </c>
      <c r="J273" s="84">
        <f t="shared" ca="1" si="22"/>
        <v>7.8216544352471822E-14</v>
      </c>
      <c r="K273" s="84">
        <f t="shared" ca="1" si="23"/>
        <v>9.3859853222966188E-15</v>
      </c>
      <c r="L273" s="83">
        <f t="shared" ca="1" si="24"/>
        <v>8.7602529674768438E-14</v>
      </c>
      <c r="M273" s="646">
        <f>INDEX(TablaCliente!_CapturaAbonoAnticipadoTablaCliente,__Amortizacion)</f>
        <v>0</v>
      </c>
      <c r="N273" s="84">
        <f t="shared" ca="1" si="25"/>
        <v>7.2759576141834259E-12</v>
      </c>
      <c r="P273" s="618" t="b">
        <f ca="1">__Saldo_Final _Anterior &gt; 0</f>
        <v>1</v>
      </c>
      <c r="Q273" s="98"/>
      <c r="R273" s="84">
        <f ca="1" xml:space="preserve"> T_AutoYSeguroMulti!_Pago.Fijo + T_SeguroAnual!__Pago_Fijo</f>
        <v>12689.724443555469</v>
      </c>
      <c r="S273" s="84">
        <f ca="1" xml:space="preserve"> T_AutoYSeguroMulti!__Capital + T_SeguroAnual!__Capital</f>
        <v>0</v>
      </c>
      <c r="T273" s="84">
        <f t="shared" ca="1" si="26"/>
        <v>12689.724443555469</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x14ac:dyDescent="0.3">
      <c r="D274" s="619">
        <v>256</v>
      </c>
      <c r="F274" s="18">
        <f ca="1" xml:space="preserve"> ( __Saldo_Final _Anterior + T_SeguroAnual!__Saldo_Ciclico ) * ( __Stopper_Saldo_Inicial )</f>
        <v>7.2759576141834259E-12</v>
      </c>
      <c r="G274" s="83">
        <f ca="1">MIN( CHOOSE(i.Opcion.Abono, __Capital_Opcion_1, __Capital_Opcion_2, __Capital_Opcion_3) _Actual, __Saldo_Inicial _Actual)</f>
        <v>0</v>
      </c>
      <c r="H274" s="83">
        <f t="shared" ca="1" si="21"/>
        <v>2.6072181450823943E-15</v>
      </c>
      <c r="I274" s="84">
        <f ca="1">T_AutoYSeguroMulti!__Dias_Interes_Periodo</f>
        <v>30</v>
      </c>
      <c r="J274" s="84">
        <f t="shared" ca="1" si="22"/>
        <v>7.8216544352471822E-14</v>
      </c>
      <c r="K274" s="84">
        <f t="shared" ca="1" si="23"/>
        <v>9.3859853222966188E-15</v>
      </c>
      <c r="L274" s="83">
        <f t="shared" ca="1" si="24"/>
        <v>8.7602529674768438E-14</v>
      </c>
      <c r="M274" s="646">
        <f>INDEX(TablaCliente!_CapturaAbonoAnticipadoTablaCliente,__Amortizacion)</f>
        <v>0</v>
      </c>
      <c r="N274" s="84">
        <f t="shared" ca="1" si="25"/>
        <v>7.2759576141834259E-12</v>
      </c>
      <c r="P274" s="618" t="b">
        <f ca="1">__Saldo_Final _Anterior &gt; 0</f>
        <v>1</v>
      </c>
      <c r="Q274" s="98"/>
      <c r="R274" s="84">
        <f ca="1" xml:space="preserve"> T_AutoYSeguroMulti!_Pago.Fijo + T_SeguroAnual!__Pago_Fijo</f>
        <v>12689.724443555469</v>
      </c>
      <c r="S274" s="84">
        <f ca="1" xml:space="preserve"> T_AutoYSeguroMulti!__Capital + T_SeguroAnual!__Capital</f>
        <v>0</v>
      </c>
      <c r="T274" s="84">
        <f t="shared" ca="1" si="26"/>
        <v>12689.724443555469</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x14ac:dyDescent="0.3">
      <c r="D275" s="619">
        <v>257</v>
      </c>
      <c r="F275" s="18">
        <f ca="1" xml:space="preserve"> ( __Saldo_Final _Anterior + T_SeguroAnual!__Saldo_Ciclico ) * ( __Stopper_Saldo_Inicial )</f>
        <v>7.2759576141834259E-12</v>
      </c>
      <c r="G275" s="83">
        <f ca="1">MIN( CHOOSE(i.Opcion.Abono, __Capital_Opcion_1, __Capital_Opcion_2, __Capital_Opcion_3) _Actual, __Saldo_Inicial _Actual)</f>
        <v>0</v>
      </c>
      <c r="H275" s="83">
        <f t="shared" ca="1" si="21"/>
        <v>2.6072181450823943E-15</v>
      </c>
      <c r="I275" s="84">
        <f ca="1">T_AutoYSeguroMulti!__Dias_Interes_Periodo</f>
        <v>30</v>
      </c>
      <c r="J275" s="84">
        <f t="shared" ca="1" si="22"/>
        <v>7.8216544352471822E-14</v>
      </c>
      <c r="K275" s="84">
        <f t="shared" ca="1" si="23"/>
        <v>9.3859853222966188E-15</v>
      </c>
      <c r="L275" s="83">
        <f t="shared" ca="1" si="24"/>
        <v>8.7602529674768438E-14</v>
      </c>
      <c r="M275" s="646">
        <f>INDEX(TablaCliente!_CapturaAbonoAnticipadoTablaCliente,__Amortizacion)</f>
        <v>0</v>
      </c>
      <c r="N275" s="84">
        <f t="shared" ca="1" si="25"/>
        <v>7.2759576141834259E-12</v>
      </c>
      <c r="P275" s="618" t="b">
        <f ca="1">__Saldo_Final _Anterior &gt; 0</f>
        <v>1</v>
      </c>
      <c r="Q275" s="98"/>
      <c r="R275" s="84">
        <f ca="1" xml:space="preserve"> T_AutoYSeguroMulti!_Pago.Fijo + T_SeguroAnual!__Pago_Fijo</f>
        <v>12689.724443555469</v>
      </c>
      <c r="S275" s="84">
        <f ca="1" xml:space="preserve"> T_AutoYSeguroMulti!__Capital + T_SeguroAnual!__Capital</f>
        <v>0</v>
      </c>
      <c r="T275" s="84">
        <f t="shared" ca="1" si="26"/>
        <v>12689.724443555469</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x14ac:dyDescent="0.3">
      <c r="D276" s="619">
        <v>258</v>
      </c>
      <c r="F276" s="18">
        <f ca="1" xml:space="preserve"> ( __Saldo_Final _Anterior + T_SeguroAnual!__Saldo_Ciclico ) * ( __Stopper_Saldo_Inicial )</f>
        <v>7.2759576141834259E-12</v>
      </c>
      <c r="G276" s="83">
        <f ca="1">MIN( CHOOSE(i.Opcion.Abono, __Capital_Opcion_1, __Capital_Opcion_2, __Capital_Opcion_3) _Actual, __Saldo_Inicial _Actual)</f>
        <v>0</v>
      </c>
      <c r="H276" s="83">
        <f t="shared" ca="1" si="21"/>
        <v>2.6072181450823943E-15</v>
      </c>
      <c r="I276" s="84">
        <f ca="1">T_AutoYSeguroMulti!__Dias_Interes_Periodo</f>
        <v>30</v>
      </c>
      <c r="J276" s="84">
        <f t="shared" ca="1" si="22"/>
        <v>7.8216544352471822E-14</v>
      </c>
      <c r="K276" s="84">
        <f t="shared" ca="1" si="23"/>
        <v>9.3859853222966188E-15</v>
      </c>
      <c r="L276" s="83">
        <f t="shared" ca="1" si="24"/>
        <v>8.7602529674768438E-14</v>
      </c>
      <c r="M276" s="646">
        <f>INDEX(TablaCliente!_CapturaAbonoAnticipadoTablaCliente,__Amortizacion)</f>
        <v>0</v>
      </c>
      <c r="N276" s="84">
        <f t="shared" ca="1" si="25"/>
        <v>7.2759576141834259E-12</v>
      </c>
      <c r="P276" s="618" t="b">
        <f ca="1">__Saldo_Final _Anterior &gt; 0</f>
        <v>1</v>
      </c>
      <c r="Q276" s="98"/>
      <c r="R276" s="84">
        <f ca="1" xml:space="preserve"> T_AutoYSeguroMulti!_Pago.Fijo + T_SeguroAnual!__Pago_Fijo</f>
        <v>12689.724443555469</v>
      </c>
      <c r="S276" s="84">
        <f ca="1" xml:space="preserve"> T_AutoYSeguroMulti!__Capital + T_SeguroAnual!__Capital</f>
        <v>0</v>
      </c>
      <c r="T276" s="84">
        <f t="shared" ca="1" si="26"/>
        <v>12689.724443555469</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x14ac:dyDescent="0.3">
      <c r="D277" s="619">
        <v>259</v>
      </c>
      <c r="F277" s="18">
        <f ca="1" xml:space="preserve"> ( __Saldo_Final _Anterior + T_SeguroAnual!__Saldo_Ciclico ) * ( __Stopper_Saldo_Inicial )</f>
        <v>7.2759576141834259E-12</v>
      </c>
      <c r="G277" s="83">
        <f ca="1">MIN( CHOOSE(i.Opcion.Abono, __Capital_Opcion_1, __Capital_Opcion_2, __Capital_Opcion_3) _Actual, __Saldo_Inicial _Actual)</f>
        <v>0</v>
      </c>
      <c r="H277" s="83">
        <f t="shared" ca="1" si="21"/>
        <v>2.6072181450823943E-15</v>
      </c>
      <c r="I277" s="84">
        <f ca="1">T_AutoYSeguroMulti!__Dias_Interes_Periodo</f>
        <v>30</v>
      </c>
      <c r="J277" s="84">
        <f t="shared" ca="1" si="22"/>
        <v>7.8216544352471822E-14</v>
      </c>
      <c r="K277" s="84">
        <f t="shared" ca="1" si="23"/>
        <v>9.3859853222966188E-15</v>
      </c>
      <c r="L277" s="83">
        <f t="shared" ca="1" si="24"/>
        <v>8.7602529674768438E-14</v>
      </c>
      <c r="M277" s="646">
        <f>INDEX(TablaCliente!_CapturaAbonoAnticipadoTablaCliente,__Amortizacion)</f>
        <v>0</v>
      </c>
      <c r="N277" s="84">
        <f t="shared" ca="1" si="25"/>
        <v>7.2759576141834259E-12</v>
      </c>
      <c r="P277" s="618" t="b">
        <f ca="1">__Saldo_Final _Anterior &gt; 0</f>
        <v>1</v>
      </c>
      <c r="Q277" s="98"/>
      <c r="R277" s="84">
        <f ca="1" xml:space="preserve"> T_AutoYSeguroMulti!_Pago.Fijo + T_SeguroAnual!__Pago_Fijo</f>
        <v>12689.724443555469</v>
      </c>
      <c r="S277" s="84">
        <f ca="1" xml:space="preserve"> T_AutoYSeguroMulti!__Capital + T_SeguroAnual!__Capital</f>
        <v>0</v>
      </c>
      <c r="T277" s="84">
        <f t="shared" ca="1" si="26"/>
        <v>12689.724443555469</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x14ac:dyDescent="0.3">
      <c r="D278" s="619">
        <v>260</v>
      </c>
      <c r="F278" s="18">
        <f ca="1" xml:space="preserve"> ( __Saldo_Final _Anterior + T_SeguroAnual!__Saldo_Ciclico ) * ( __Stopper_Saldo_Inicial )</f>
        <v>7.2759576141834259E-12</v>
      </c>
      <c r="G278" s="83">
        <f ca="1">MIN( CHOOSE(i.Opcion.Abono, __Capital_Opcion_1, __Capital_Opcion_2, __Capital_Opcion_3) _Actual, __Saldo_Inicial _Actual)</f>
        <v>0</v>
      </c>
      <c r="H278" s="83">
        <f t="shared" ca="1" si="21"/>
        <v>2.6072181450823943E-15</v>
      </c>
      <c r="I278" s="84">
        <f ca="1">T_AutoYSeguroMulti!__Dias_Interes_Periodo</f>
        <v>30</v>
      </c>
      <c r="J278" s="84">
        <f t="shared" ca="1" si="22"/>
        <v>7.8216544352471822E-14</v>
      </c>
      <c r="K278" s="84">
        <f t="shared" ca="1" si="23"/>
        <v>9.3859853222966188E-15</v>
      </c>
      <c r="L278" s="83">
        <f t="shared" ca="1" si="24"/>
        <v>8.7602529674768438E-14</v>
      </c>
      <c r="M278" s="646">
        <f>INDEX(TablaCliente!_CapturaAbonoAnticipadoTablaCliente,__Amortizacion)</f>
        <v>0</v>
      </c>
      <c r="N278" s="84">
        <f t="shared" ca="1" si="25"/>
        <v>7.2759576141834259E-12</v>
      </c>
      <c r="P278" s="618" t="b">
        <f ca="1">__Saldo_Final _Anterior &gt; 0</f>
        <v>1</v>
      </c>
      <c r="Q278" s="98"/>
      <c r="R278" s="84">
        <f ca="1" xml:space="preserve"> T_AutoYSeguroMulti!_Pago.Fijo + T_SeguroAnual!__Pago_Fijo</f>
        <v>12689.724443555469</v>
      </c>
      <c r="S278" s="84">
        <f ca="1" xml:space="preserve"> T_AutoYSeguroMulti!__Capital + T_SeguroAnual!__Capital</f>
        <v>0</v>
      </c>
      <c r="T278" s="84">
        <f t="shared" ca="1" si="26"/>
        <v>12689.724443555469</v>
      </c>
      <c r="U278" s="98"/>
      <c r="V278" s="648">
        <v>0</v>
      </c>
      <c r="W278" s="618"/>
      <c r="X278" s="84">
        <v>0</v>
      </c>
      <c r="Y278" s="84">
        <v>0</v>
      </c>
      <c r="Z278" s="84"/>
      <c r="AA278" s="84">
        <f ca="1" xml:space="preserve"> T_SeguroAnual!__Abono_Sobrante</f>
        <v>0</v>
      </c>
      <c r="AB278" s="84">
        <f t="shared" si="27"/>
        <v>0</v>
      </c>
      <c r="AD278" s="84">
        <f ca="1"/>
        <v>0</v>
      </c>
      <c r="AE278" s="84">
        <f ca="1"/>
        <v>0</v>
      </c>
    </row>
    <row r="279" spans="4:31" x14ac:dyDescent="0.3">
      <c r="M279" s="646"/>
    </row>
    <row r="280" spans="4:31" x14ac:dyDescent="0.3">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Tablas'!B9</f>
        <v>30</v>
      </c>
      <c r="D17" s="620" t="s">
        <v>1643</v>
      </c>
      <c r="G17" s="619"/>
      <c r="H17" s="619"/>
      <c r="I17" s="261">
        <f ca="1">SUM(__Capital)</f>
        <v>141000.00000000003</v>
      </c>
      <c r="J17" s="261"/>
      <c r="K17" s="261"/>
      <c r="L17" s="261"/>
      <c r="M17" s="261">
        <f ca="1">SUM(__Interes)</f>
        <v>10169.526180951516</v>
      </c>
      <c r="N17" s="261">
        <f ca="1">SUM(__Iva)</f>
        <v>1220.3431417141815</v>
      </c>
      <c r="P17" s="261">
        <f ca="1">SUM(__Abono_Anticipado)</f>
        <v>0</v>
      </c>
      <c r="Q17" s="619"/>
      <c r="R17" s="618"/>
      <c r="S17" s="97"/>
      <c r="T17" s="261">
        <f ca="1">SUM(__Abono_Sobrante) - (SUM(__Abono_Sobrante_Ciclo_Anterior)*_Renueva.Abono.Sobrante?)</f>
        <v>0</v>
      </c>
      <c r="U17" s="261"/>
      <c r="V17" s="97"/>
      <c r="Y17" s="618"/>
      <c r="AL17" s="261">
        <f ca="1">SUM(__Capital_Original)</f>
        <v>141000.00000000003</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Tablas'!B11</f>
        <v>12</v>
      </c>
      <c r="D19" s="619">
        <v>1</v>
      </c>
      <c r="F19" s="84">
        <f ca="1">__Saldo_Ciclico</f>
        <v>141000</v>
      </c>
      <c r="G19" s="84">
        <f ca="1">MIN( CHOOSE(i.Opcion.Abono, __Capital_Opcion_1, __Capital_Opcion_2, __Capital_Opcion_3) _Actual, __Saldo_Inicial _Actual)</f>
        <v>10992.08444355547</v>
      </c>
      <c r="H19" s="84">
        <f t="shared" ref="H19:H82" ca="1" si="0">__Saldo_Inicial * ( __Amortizacion = i.Numero.Pagos )</f>
        <v>0</v>
      </c>
      <c r="I19" s="643">
        <f ca="1">MAX( __Capital_Elegida _Actual, __Stopper_Capital _Actual)</f>
        <v>10992.08444355547</v>
      </c>
      <c r="J19" s="647">
        <f t="shared" ref="J19:J82" ca="1" si="1">__Saldo_Inicial * _Tasa.Diaria</f>
        <v>50.524999999999999</v>
      </c>
      <c r="K19" s="647">
        <f t="shared" ref="K19:K82" ca="1" si="2" xml:space="preserve"> __Interes_Diario * i.Dias.Por.Periodo</f>
        <v>1515.75</v>
      </c>
      <c r="L19" s="643">
        <f ca="1">Fechas!_Dias_Interes_Pago</f>
        <v>32</v>
      </c>
      <c r="M19" s="18">
        <f t="shared" ref="M19:M82" ca="1" si="3">__Interes_Diario * __Dias_Interes_Periodo</f>
        <v>1616.8</v>
      </c>
      <c r="N19" s="18">
        <f t="shared" ref="N19:N82" ca="1" si="4">__Interes *i.Iva.Intereses</f>
        <v>194.01599999999999</v>
      </c>
      <c r="O19" s="18">
        <f t="shared" ref="O19:O82" ca="1" si="5">__Capital + __Interes + __Iva</f>
        <v>12802.900443555469</v>
      </c>
      <c r="P19" s="646">
        <f ca="1">T_Merger!__Salida_Abono_1</f>
        <v>0</v>
      </c>
      <c r="Q19" s="18">
        <f t="shared" ref="Q19:Q82" ca="1" si="6">MAX( __Saldo_Inicial - __Capital-__Abono_Anticipado,0)</f>
        <v>130007.91555644452</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12689.724443555469</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1616.8</v>
      </c>
      <c r="AK19" s="18">
        <f t="shared" ref="AK19:AK82" ca="1" si="17">__Saldo_Inicial_Original * ( __Amortizacion = i.Numero.Pagos )</f>
        <v>0</v>
      </c>
      <c r="AL19" s="644">
        <f ca="1">MAX( ((( __Pago_Fijo - (__Interes_Regular_Original * (1 + i.Iva.Intereses)) ))), __Stopper_Capital_Original _Actual )</f>
        <v>10992.08444355547</v>
      </c>
      <c r="AM19" s="84">
        <f ca="1">MAX(__Saldo_Inicial_Original _Actual - __Capital_Original _Actual, 0)</f>
        <v>130007.91555644452</v>
      </c>
      <c r="AN19" s="618"/>
      <c r="AO19" s="18">
        <f t="shared" ref="AO19:AO82" ca="1" si="18" xml:space="preserve"> __Capital_Original</f>
        <v>10992.08444355547</v>
      </c>
      <c r="AP19" s="18">
        <f t="shared" ref="AP19:AP82" ca="1" si="19">-PPMT(_Tasa.Por.Periodo*(1+i.Iva.Intereses),1,__Ciclicas_Remanentes,__Saldo_Inicial)</f>
        <v>10992.08444355547</v>
      </c>
      <c r="AQ19" s="18">
        <f t="shared" ref="AQ19:AQ82" ca="1" si="20">-IPMT(_Tasa.Diaria.Por.Periodo*(1+i.Iva.Intereses),1,__Ciclicas_Remanentes,__Saldo_Inicial)</f>
        <v>1697.64</v>
      </c>
      <c r="AR19" s="84">
        <f ca="1">SUM(__Componentes_Pago_Proyectado _Actual)</f>
        <v>12689.724443555469</v>
      </c>
      <c r="AS19" s="644">
        <f t="shared" ref="AS19:AS82" ca="1" si="21">__Pago_Proyectado - ( __Interes_Periodo_Regular * ( 1 + i.Iva.Intereses ) )</f>
        <v>10992.08444355547</v>
      </c>
      <c r="AT19" s="644">
        <f t="shared" ref="AT19:AT82" ca="1" si="22">__Pago_Fijo - ( __Interes_Periodo_Regular * ( 1 + i.Iva.Intereses ) )</f>
        <v>10992.08444355547</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Tablas'!B12</f>
        <v>0.12</v>
      </c>
      <c r="D20" s="619">
        <v>2</v>
      </c>
      <c r="F20" s="84">
        <f ca="1">MAX( __Saldo_Final _Anterior + __Saldo_Ciclico,0)</f>
        <v>130007.91555644452</v>
      </c>
      <c r="G20" s="84">
        <f ca="1">MIN( CHOOSE(i.Opcion.Abono, __Capital_Opcion_1, __Capital_Opcion_2, __Capital_Opcion_3) _Actual, __Saldo_Inicial _Actual)</f>
        <v>11124.429140255877</v>
      </c>
      <c r="H20" s="84">
        <f t="shared" ca="1" si="0"/>
        <v>0</v>
      </c>
      <c r="I20" s="643">
        <f ca="1">MAX( __Capital_Elegida _Actual, __Stopper_Capital _Actual)</f>
        <v>11124.429140255877</v>
      </c>
      <c r="J20" s="647">
        <f t="shared" ca="1" si="1"/>
        <v>46.586169741059287</v>
      </c>
      <c r="K20" s="647">
        <f t="shared" ca="1" si="2"/>
        <v>1397.5850922317786</v>
      </c>
      <c r="L20" s="643">
        <f ca="1">Fechas!_Dias_Interes_Pago</f>
        <v>30</v>
      </c>
      <c r="M20" s="18">
        <f t="shared" ca="1" si="3"/>
        <v>1397.5850922317786</v>
      </c>
      <c r="N20" s="18">
        <f t="shared" ca="1" si="4"/>
        <v>167.71021106781342</v>
      </c>
      <c r="O20" s="18">
        <f t="shared" ca="1" si="5"/>
        <v>12689.724443555469</v>
      </c>
      <c r="P20" s="646">
        <f ca="1">T_Merger!__Salida_Abono_1</f>
        <v>0</v>
      </c>
      <c r="Q20" s="18">
        <f t="shared" ca="1" si="6"/>
        <v>118883.48641618865</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12689.724443555469</v>
      </c>
      <c r="AG20" s="84">
        <f ca="1">MAX( __Saldo_Final_Original _Anterior + __Saldo_Ciclico, 0)</f>
        <v>130007.91555644452</v>
      </c>
      <c r="AH20" s="18">
        <f t="shared" ca="1" si="14"/>
        <v>46.586169741059287</v>
      </c>
      <c r="AI20" s="18">
        <f t="shared" ca="1" si="15"/>
        <v>1397.5850922317786</v>
      </c>
      <c r="AJ20" s="18">
        <f t="shared" ca="1" si="16"/>
        <v>1397.5850922317786</v>
      </c>
      <c r="AK20" s="18">
        <f t="shared" ca="1" si="17"/>
        <v>0</v>
      </c>
      <c r="AL20" s="644">
        <f ca="1">MAX( ((( __Pago_Fijo - (__Interes_Regular_Original * (1 + i.Iva.Intereses)) ))), __Stopper_Capital_Original _Actual )</f>
        <v>11124.429140255877</v>
      </c>
      <c r="AM20" s="84">
        <f ca="1">MAX(__Saldo_Inicial_Original _Actual - __Capital_Original _Actual, 0)</f>
        <v>118883.48641618865</v>
      </c>
      <c r="AN20" s="618"/>
      <c r="AO20" s="18">
        <f t="shared" ca="1" si="18"/>
        <v>11124.429140255877</v>
      </c>
      <c r="AP20" s="18">
        <f t="shared" ca="1" si="19"/>
        <v>11124.429140255883</v>
      </c>
      <c r="AQ20" s="18">
        <f t="shared" ca="1" si="20"/>
        <v>1565.2953032995922</v>
      </c>
      <c r="AR20" s="84">
        <f ca="1">IF( AND(__Abono_Anticipado _Anterior = 0, __Ciclicas &lt;&gt; 1 ), __Pago_Proyectado _Anterior, SUM(__Componentes_Pago_Proyectado _Actual))</f>
        <v>12689.724443555469</v>
      </c>
      <c r="AS20" s="644">
        <f t="shared" ca="1" si="21"/>
        <v>11124.429140255877</v>
      </c>
      <c r="AT20" s="644">
        <f t="shared" ca="1" si="22"/>
        <v>11124.429140255877</v>
      </c>
      <c r="AV20" s="18">
        <f t="shared" ca="1" si="23"/>
        <v>46.586169741059287</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Tablas'!B13</f>
        <v>0.129</v>
      </c>
      <c r="D21" s="619">
        <v>3</v>
      </c>
      <c r="F21" s="84">
        <f ca="1">MAX( __Saldo_Final _Anterior + __Saldo_Ciclico,0)</f>
        <v>118883.48641618865</v>
      </c>
      <c r="G21" s="84">
        <f ca="1">MIN( CHOOSE(i.Opcion.Abono, __Capital_Opcion_1, __Capital_Opcion_2, __Capital_Opcion_3) _Actual, __Saldo_Inicial _Actual)</f>
        <v>11258.367267104559</v>
      </c>
      <c r="H21" s="84">
        <f t="shared" ca="1" si="0"/>
        <v>0</v>
      </c>
      <c r="I21" s="643">
        <f ca="1">MAX( __Capital_Elegida _Actual, __Stopper_Capital _Actual)</f>
        <v>11258.367267104559</v>
      </c>
      <c r="J21" s="647">
        <f t="shared" ca="1" si="1"/>
        <v>42.599915965800932</v>
      </c>
      <c r="K21" s="647">
        <f t="shared" ca="1" si="2"/>
        <v>1277.9974789740279</v>
      </c>
      <c r="L21" s="643">
        <f ca="1">Fechas!_Dias_Interes_Pago</f>
        <v>30</v>
      </c>
      <c r="M21" s="18">
        <f t="shared" ca="1" si="3"/>
        <v>1277.9974789740279</v>
      </c>
      <c r="N21" s="18">
        <f t="shared" ca="1" si="4"/>
        <v>153.35969747688335</v>
      </c>
      <c r="O21" s="18">
        <f t="shared" ca="1" si="5"/>
        <v>12689.724443555469</v>
      </c>
      <c r="P21" s="646">
        <f ca="1">T_Merger!__Salida_Abono_1</f>
        <v>0</v>
      </c>
      <c r="Q21" s="18">
        <f t="shared" ca="1" si="6"/>
        <v>107625.11914908409</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12689.724443555469</v>
      </c>
      <c r="AG21" s="84">
        <f ca="1">MAX( __Saldo_Final_Original _Anterior + __Saldo_Ciclico, 0)</f>
        <v>118883.48641618865</v>
      </c>
      <c r="AH21" s="18">
        <f t="shared" ca="1" si="14"/>
        <v>42.599915965800932</v>
      </c>
      <c r="AI21" s="18">
        <f t="shared" ca="1" si="15"/>
        <v>1277.9974789740279</v>
      </c>
      <c r="AJ21" s="18">
        <f t="shared" ca="1" si="16"/>
        <v>1277.9974789740279</v>
      </c>
      <c r="AK21" s="18">
        <f t="shared" ca="1" si="17"/>
        <v>0</v>
      </c>
      <c r="AL21" s="644">
        <f ca="1">MAX( ((( __Pago_Fijo - (__Interes_Regular_Original * (1 + i.Iva.Intereses)) ))), __Stopper_Capital_Original _Actual )</f>
        <v>11258.367267104559</v>
      </c>
      <c r="AM21" s="84">
        <f ca="1">MAX(__Saldo_Inicial_Original _Actual - __Capital_Original _Actual, 0)</f>
        <v>107625.11914908409</v>
      </c>
      <c r="AN21" s="618"/>
      <c r="AO21" s="18">
        <f t="shared" ca="1" si="18"/>
        <v>11258.367267104559</v>
      </c>
      <c r="AP21" s="18">
        <f t="shared" ca="1" si="19"/>
        <v>11258.367267104562</v>
      </c>
      <c r="AQ21" s="18">
        <f t="shared" ca="1" si="20"/>
        <v>1431.3571764509113</v>
      </c>
      <c r="AR21" s="84">
        <f ca="1">IF( AND(__Abono_Anticipado _Anterior = 0, __Ciclicas &lt;&gt; 1 ), __Pago_Proyectado _Anterior, SUM(__Componentes_Pago_Proyectado _Actual))</f>
        <v>12689.724443555469</v>
      </c>
      <c r="AS21" s="644">
        <f t="shared" ca="1" si="21"/>
        <v>11258.367267104559</v>
      </c>
      <c r="AT21" s="644">
        <f t="shared" ca="1" si="22"/>
        <v>11258.367267104559</v>
      </c>
      <c r="AV21" s="18">
        <f t="shared" ca="1" si="23"/>
        <v>42.599915965800932</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Tablas'!B14</f>
        <v>360</v>
      </c>
      <c r="D22" s="619">
        <v>4</v>
      </c>
      <c r="F22" s="84">
        <f ca="1">MAX( __Saldo_Final _Anterior + __Saldo_Ciclico,0)</f>
        <v>107625.11914908409</v>
      </c>
      <c r="G22" s="84">
        <f ca="1">MIN( CHOOSE(i.Opcion.Abono, __Capital_Opcion_1, __Capital_Opcion_2, __Capital_Opcion_3) _Actual, __Saldo_Inicial _Actual)</f>
        <v>11393.918009000497</v>
      </c>
      <c r="H22" s="84">
        <f t="shared" ca="1" si="0"/>
        <v>0</v>
      </c>
      <c r="I22" s="643">
        <f ca="1">MAX( __Capital_Elegida _Actual, __Stopper_Capital _Actual)</f>
        <v>11393.918009000497</v>
      </c>
      <c r="J22" s="647">
        <f t="shared" ca="1" si="1"/>
        <v>38.565667695088464</v>
      </c>
      <c r="K22" s="647">
        <f t="shared" ca="1" si="2"/>
        <v>1156.970030852654</v>
      </c>
      <c r="L22" s="643">
        <f ca="1">Fechas!_Dias_Interes_Pago</f>
        <v>30</v>
      </c>
      <c r="M22" s="18">
        <f t="shared" ca="1" si="3"/>
        <v>1156.970030852654</v>
      </c>
      <c r="N22" s="18">
        <f t="shared" ca="1" si="4"/>
        <v>138.83640370231848</v>
      </c>
      <c r="O22" s="18">
        <f t="shared" ca="1" si="5"/>
        <v>12689.724443555469</v>
      </c>
      <c r="P22" s="646">
        <f ca="1">T_Merger!__Salida_Abono_1</f>
        <v>0</v>
      </c>
      <c r="Q22" s="18">
        <f t="shared" ca="1" si="6"/>
        <v>96231.201140083591</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12689.724443555469</v>
      </c>
      <c r="AG22" s="84">
        <f ca="1">MAX( __Saldo_Final_Original _Anterior + __Saldo_Ciclico, 0)</f>
        <v>107625.11914908409</v>
      </c>
      <c r="AH22" s="18">
        <f t="shared" ca="1" si="14"/>
        <v>38.565667695088464</v>
      </c>
      <c r="AI22" s="18">
        <f t="shared" ca="1" si="15"/>
        <v>1156.970030852654</v>
      </c>
      <c r="AJ22" s="18">
        <f t="shared" ca="1" si="16"/>
        <v>1156.970030852654</v>
      </c>
      <c r="AK22" s="18">
        <f t="shared" ca="1" si="17"/>
        <v>0</v>
      </c>
      <c r="AL22" s="644">
        <f ca="1">MAX( ((( __Pago_Fijo - (__Interes_Regular_Original * (1 + i.Iva.Intereses)) ))), __Stopper_Capital_Original _Actual )</f>
        <v>11393.918009000497</v>
      </c>
      <c r="AM22" s="84">
        <f ca="1">MAX(__Saldo_Inicial_Original _Actual - __Capital_Original _Actual, 0)</f>
        <v>96231.201140083591</v>
      </c>
      <c r="AN22" s="618"/>
      <c r="AO22" s="18">
        <f t="shared" ca="1" si="18"/>
        <v>11393.918009000497</v>
      </c>
      <c r="AP22" s="18">
        <f t="shared" ca="1" si="19"/>
        <v>11393.918009000501</v>
      </c>
      <c r="AQ22" s="18">
        <f t="shared" ca="1" si="20"/>
        <v>1295.8064345549726</v>
      </c>
      <c r="AR22" s="84">
        <f ca="1">IF( AND(__Abono_Anticipado _Anterior = 0, __Ciclicas &lt;&gt; 1 ), __Pago_Proyectado _Anterior, SUM(__Componentes_Pago_Proyectado _Actual))</f>
        <v>12689.724443555469</v>
      </c>
      <c r="AS22" s="644">
        <f t="shared" ca="1" si="21"/>
        <v>11393.918009000497</v>
      </c>
      <c r="AT22" s="644">
        <f t="shared" ca="1" si="22"/>
        <v>11393.918009000497</v>
      </c>
      <c r="AV22" s="18">
        <f t="shared" ca="1" si="23"/>
        <v>38.565667695088464</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Tablas'!B15</f>
        <v>Fechas!_Dias_Interes_Pago</v>
      </c>
      <c r="D23" s="619">
        <v>5</v>
      </c>
      <c r="F23" s="84">
        <f ca="1">MAX( __Saldo_Final _Anterior + __Saldo_Ciclico,0)</f>
        <v>96231.201140083591</v>
      </c>
      <c r="G23" s="84">
        <f ca="1">MIN( CHOOSE(i.Opcion.Abono, __Capital_Opcion_1, __Capital_Opcion_2, __Capital_Opcion_3) _Actual, __Saldo_Inicial _Actual)</f>
        <v>11531.100781828864</v>
      </c>
      <c r="H23" s="84">
        <f t="shared" ca="1" si="0"/>
        <v>0</v>
      </c>
      <c r="I23" s="643">
        <f ca="1">MAX( __Capital_Elegida _Actual, __Stopper_Capital _Actual)</f>
        <v>11531.100781828864</v>
      </c>
      <c r="J23" s="647">
        <f t="shared" ca="1" si="1"/>
        <v>34.482847075196624</v>
      </c>
      <c r="K23" s="647">
        <f t="shared" ca="1" si="2"/>
        <v>1034.4854122558986</v>
      </c>
      <c r="L23" s="643">
        <f ca="1">Fechas!_Dias_Interes_Pago</f>
        <v>30</v>
      </c>
      <c r="M23" s="18">
        <f t="shared" ca="1" si="3"/>
        <v>1034.4854122558986</v>
      </c>
      <c r="N23" s="18">
        <f t="shared" ca="1" si="4"/>
        <v>124.13824947070783</v>
      </c>
      <c r="O23" s="18">
        <f t="shared" ca="1" si="5"/>
        <v>12689.724443555471</v>
      </c>
      <c r="P23" s="646">
        <f ca="1">T_Merger!__Salida_Abono_1</f>
        <v>0</v>
      </c>
      <c r="Q23" s="18">
        <f t="shared" ca="1" si="6"/>
        <v>84700.100358254727</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12689.724443555469</v>
      </c>
      <c r="AG23" s="84">
        <f ca="1">MAX( __Saldo_Final_Original _Anterior + __Saldo_Ciclico, 0)</f>
        <v>96231.201140083591</v>
      </c>
      <c r="AH23" s="18">
        <f t="shared" ca="1" si="14"/>
        <v>34.482847075196624</v>
      </c>
      <c r="AI23" s="18">
        <f t="shared" ca="1" si="15"/>
        <v>1034.4854122558986</v>
      </c>
      <c r="AJ23" s="18">
        <f t="shared" ca="1" si="16"/>
        <v>1034.4854122558986</v>
      </c>
      <c r="AK23" s="18">
        <f t="shared" ca="1" si="17"/>
        <v>0</v>
      </c>
      <c r="AL23" s="644">
        <f ca="1">MAX( ((( __Pago_Fijo - (__Interes_Regular_Original * (1 + i.Iva.Intereses)) ))), __Stopper_Capital_Original _Actual )</f>
        <v>11531.100781828864</v>
      </c>
      <c r="AM23" s="84">
        <f ca="1">MAX(__Saldo_Inicial_Original _Actual - __Capital_Original _Actual, 0)</f>
        <v>84700.100358254727</v>
      </c>
      <c r="AN23" s="618"/>
      <c r="AO23" s="18">
        <f t="shared" ca="1" si="18"/>
        <v>11531.100781828864</v>
      </c>
      <c r="AP23" s="18">
        <f t="shared" ca="1" si="19"/>
        <v>11531.100781828867</v>
      </c>
      <c r="AQ23" s="18">
        <f t="shared" ca="1" si="20"/>
        <v>1158.6236617266065</v>
      </c>
      <c r="AR23" s="84">
        <f ca="1">IF( AND(__Abono_Anticipado _Anterior = 0, __Ciclicas &lt;&gt; 1 ), __Pago_Proyectado _Anterior, SUM(__Componentes_Pago_Proyectado _Actual))</f>
        <v>12689.724443555469</v>
      </c>
      <c r="AS23" s="644">
        <f t="shared" ca="1" si="21"/>
        <v>11531.100781828864</v>
      </c>
      <c r="AT23" s="644">
        <f t="shared" ca="1" si="22"/>
        <v>11531.100781828864</v>
      </c>
      <c r="AV23" s="18">
        <f t="shared" ca="1" si="23"/>
        <v>34.482847075196624</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Tablas'!B16</f>
        <v>0</v>
      </c>
      <c r="D24" s="619">
        <v>6</v>
      </c>
      <c r="F24" s="84">
        <f ca="1">MAX( __Saldo_Final _Anterior + __Saldo_Ciclico,0)</f>
        <v>84700.100358254727</v>
      </c>
      <c r="G24" s="84">
        <f ca="1">MIN( CHOOSE(i.Opcion.Abono, __Capital_Opcion_1, __Capital_Opcion_2, __Capital_Opcion_3) _Actual, __Saldo_Inicial _Actual)</f>
        <v>11669.935235242083</v>
      </c>
      <c r="H24" s="84">
        <f t="shared" ca="1" si="0"/>
        <v>0</v>
      </c>
      <c r="I24" s="643">
        <f ca="1">MAX( __Capital_Elegida _Actual, __Stopper_Capital _Actual)</f>
        <v>11669.935235242083</v>
      </c>
      <c r="J24" s="647">
        <f t="shared" ca="1" si="1"/>
        <v>30.350869295041278</v>
      </c>
      <c r="K24" s="647">
        <f t="shared" ca="1" si="2"/>
        <v>910.52607885123837</v>
      </c>
      <c r="L24" s="643">
        <f ca="1">Fechas!_Dias_Interes_Pago</f>
        <v>30</v>
      </c>
      <c r="M24" s="18">
        <f t="shared" ca="1" si="3"/>
        <v>910.52607885123837</v>
      </c>
      <c r="N24" s="18">
        <f t="shared" ca="1" si="4"/>
        <v>109.2631294621486</v>
      </c>
      <c r="O24" s="18">
        <f t="shared" ca="1" si="5"/>
        <v>12689.724443555469</v>
      </c>
      <c r="P24" s="646">
        <f ca="1">T_Merger!__Salida_Abono_1</f>
        <v>0</v>
      </c>
      <c r="Q24" s="18">
        <f t="shared" ca="1" si="6"/>
        <v>73030.165123012644</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12689.724443555469</v>
      </c>
      <c r="AG24" s="84">
        <f ca="1">MAX( __Saldo_Final_Original _Anterior + __Saldo_Ciclico, 0)</f>
        <v>84700.100358254727</v>
      </c>
      <c r="AH24" s="18">
        <f t="shared" ca="1" si="14"/>
        <v>30.350869295041278</v>
      </c>
      <c r="AI24" s="18">
        <f t="shared" ca="1" si="15"/>
        <v>910.52607885123837</v>
      </c>
      <c r="AJ24" s="18">
        <f t="shared" ca="1" si="16"/>
        <v>910.52607885123837</v>
      </c>
      <c r="AK24" s="18">
        <f t="shared" ca="1" si="17"/>
        <v>0</v>
      </c>
      <c r="AL24" s="644">
        <f ca="1">MAX( ((( __Pago_Fijo - (__Interes_Regular_Original * (1 + i.Iva.Intereses)) ))), __Stopper_Capital_Original _Actual )</f>
        <v>11669.935235242083</v>
      </c>
      <c r="AM24" s="84">
        <f ca="1">MAX(__Saldo_Inicial_Original _Actual - __Capital_Original _Actual, 0)</f>
        <v>73030.165123012644</v>
      </c>
      <c r="AN24" s="618"/>
      <c r="AO24" s="18">
        <f t="shared" ca="1" si="18"/>
        <v>11669.935235242083</v>
      </c>
      <c r="AP24" s="18">
        <f t="shared" ca="1" si="19"/>
        <v>11669.935235242086</v>
      </c>
      <c r="AQ24" s="18">
        <f t="shared" ca="1" si="20"/>
        <v>1019.7892083133869</v>
      </c>
      <c r="AR24" s="84">
        <f ca="1">IF( AND(__Abono_Anticipado _Anterior = 0, __Ciclicas &lt;&gt; 1 ), __Pago_Proyectado _Anterior, SUM(__Componentes_Pago_Proyectado _Actual))</f>
        <v>12689.724443555469</v>
      </c>
      <c r="AS24" s="644">
        <f t="shared" ca="1" si="21"/>
        <v>11669.935235242083</v>
      </c>
      <c r="AT24" s="644">
        <f t="shared" ca="1" si="22"/>
        <v>11669.935235242083</v>
      </c>
      <c r="AV24" s="18">
        <f t="shared" ca="1" si="23"/>
        <v>30.350869295041278</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Tablas'!B17</f>
        <v>181.62846000000002</v>
      </c>
      <c r="D25" s="619">
        <v>7</v>
      </c>
      <c r="F25" s="84">
        <f ca="1">MAX( __Saldo_Final _Anterior + __Saldo_Ciclico,0)</f>
        <v>73030.165123012644</v>
      </c>
      <c r="G25" s="84">
        <f ca="1">MIN( CHOOSE(i.Opcion.Abono, __Capital_Opcion_1, __Capital_Opcion_2, __Capital_Opcion_3) _Actual, __Saldo_Inicial _Actual)</f>
        <v>11810.441255474398</v>
      </c>
      <c r="H25" s="84">
        <f t="shared" ca="1" si="0"/>
        <v>0</v>
      </c>
      <c r="I25" s="643">
        <f ca="1">MAX( __Capital_Elegida _Actual, __Stopper_Capital _Actual)</f>
        <v>11810.441255474398</v>
      </c>
      <c r="J25" s="647">
        <f t="shared" ca="1" si="1"/>
        <v>26.169142502412864</v>
      </c>
      <c r="K25" s="647">
        <f t="shared" ca="1" si="2"/>
        <v>785.07427507238594</v>
      </c>
      <c r="L25" s="643">
        <f ca="1">Fechas!_Dias_Interes_Pago</f>
        <v>30</v>
      </c>
      <c r="M25" s="18">
        <f t="shared" ca="1" si="3"/>
        <v>785.07427507238594</v>
      </c>
      <c r="N25" s="18">
        <f t="shared" ca="1" si="4"/>
        <v>94.208913008686309</v>
      </c>
      <c r="O25" s="18">
        <f t="shared" ca="1" si="5"/>
        <v>12689.724443555469</v>
      </c>
      <c r="P25" s="646">
        <f ca="1">T_Merger!__Salida_Abono_1</f>
        <v>0</v>
      </c>
      <c r="Q25" s="18">
        <f t="shared" ca="1" si="6"/>
        <v>61219.723867538247</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12689.724443555469</v>
      </c>
      <c r="AG25" s="84">
        <f ca="1">MAX( __Saldo_Final_Original _Anterior + __Saldo_Ciclico, 0)</f>
        <v>73030.165123012644</v>
      </c>
      <c r="AH25" s="18">
        <f t="shared" ca="1" si="14"/>
        <v>26.169142502412864</v>
      </c>
      <c r="AI25" s="18">
        <f t="shared" ca="1" si="15"/>
        <v>785.07427507238594</v>
      </c>
      <c r="AJ25" s="18">
        <f t="shared" ca="1" si="16"/>
        <v>785.07427507238594</v>
      </c>
      <c r="AK25" s="18">
        <f t="shared" ca="1" si="17"/>
        <v>0</v>
      </c>
      <c r="AL25" s="644">
        <f ca="1">MAX( ((( __Pago_Fijo - (__Interes_Regular_Original * (1 + i.Iva.Intereses)) ))), __Stopper_Capital_Original _Actual )</f>
        <v>11810.441255474398</v>
      </c>
      <c r="AM25" s="84">
        <f ca="1">MAX(__Saldo_Inicial_Original _Actual - __Capital_Original _Actual, 0)</f>
        <v>61219.723867538247</v>
      </c>
      <c r="AN25" s="618"/>
      <c r="AO25" s="18">
        <f t="shared" ca="1" si="18"/>
        <v>11810.441255474398</v>
      </c>
      <c r="AP25" s="18">
        <f t="shared" ca="1" si="19"/>
        <v>11810.441255474399</v>
      </c>
      <c r="AQ25" s="18">
        <f t="shared" ca="1" si="20"/>
        <v>879.28318808107213</v>
      </c>
      <c r="AR25" s="84">
        <f ca="1">IF( AND(__Abono_Anticipado _Anterior = 0, __Ciclicas &lt;&gt; 1 ), __Pago_Proyectado _Anterior, SUM(__Componentes_Pago_Proyectado _Actual))</f>
        <v>12689.724443555469</v>
      </c>
      <c r="AS25" s="644">
        <f t="shared" ca="1" si="21"/>
        <v>11810.441255474398</v>
      </c>
      <c r="AT25" s="644">
        <f t="shared" ca="1" si="22"/>
        <v>11810.441255474398</v>
      </c>
      <c r="AV25" s="18">
        <f t="shared" ca="1" si="23"/>
        <v>26.169142502412864</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Tablas'!B18</f>
        <v>1</v>
      </c>
      <c r="D26" s="619">
        <v>8</v>
      </c>
      <c r="F26" s="84">
        <f ca="1">MAX( __Saldo_Final _Anterior + __Saldo_Ciclico,0)</f>
        <v>61219.723867538247</v>
      </c>
      <c r="G26" s="84">
        <f ca="1">MIN( CHOOSE(i.Opcion.Abono, __Capital_Opcion_1, __Capital_Opcion_2, __Capital_Opcion_3) _Actual, __Saldo_Inicial _Actual)</f>
        <v>11952.638968190309</v>
      </c>
      <c r="H26" s="84">
        <f t="shared" ca="1" si="0"/>
        <v>0</v>
      </c>
      <c r="I26" s="643">
        <f ca="1">MAX( __Capital_Elegida _Actual, __Stopper_Capital _Actual)</f>
        <v>11952.638968190309</v>
      </c>
      <c r="J26" s="647">
        <f t="shared" ca="1" si="1"/>
        <v>21.937067719201206</v>
      </c>
      <c r="K26" s="647">
        <f t="shared" ca="1" si="2"/>
        <v>658.1120315760362</v>
      </c>
      <c r="L26" s="643">
        <f ca="1">Fechas!_Dias_Interes_Pago</f>
        <v>30</v>
      </c>
      <c r="M26" s="18">
        <f t="shared" ca="1" si="3"/>
        <v>658.1120315760362</v>
      </c>
      <c r="N26" s="18">
        <f t="shared" ca="1" si="4"/>
        <v>78.973443789124346</v>
      </c>
      <c r="O26" s="18">
        <f t="shared" ca="1" si="5"/>
        <v>12689.724443555469</v>
      </c>
      <c r="P26" s="646">
        <f ca="1">T_Merger!__Salida_Abono_1</f>
        <v>0</v>
      </c>
      <c r="Q26" s="18">
        <f t="shared" ca="1" si="6"/>
        <v>49267.084899347938</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12689.724443555469</v>
      </c>
      <c r="AG26" s="84">
        <f ca="1">MAX( __Saldo_Final_Original _Anterior + __Saldo_Ciclico, 0)</f>
        <v>61219.723867538247</v>
      </c>
      <c r="AH26" s="18">
        <f t="shared" ca="1" si="14"/>
        <v>21.937067719201206</v>
      </c>
      <c r="AI26" s="18">
        <f t="shared" ca="1" si="15"/>
        <v>658.1120315760362</v>
      </c>
      <c r="AJ26" s="18">
        <f t="shared" ca="1" si="16"/>
        <v>658.1120315760362</v>
      </c>
      <c r="AK26" s="18">
        <f t="shared" ca="1" si="17"/>
        <v>0</v>
      </c>
      <c r="AL26" s="644">
        <f ca="1">MAX( ((( __Pago_Fijo - (__Interes_Regular_Original * (1 + i.Iva.Intereses)) ))), __Stopper_Capital_Original _Actual )</f>
        <v>11952.638968190309</v>
      </c>
      <c r="AM26" s="84">
        <f ca="1">MAX(__Saldo_Inicial_Original _Actual - __Capital_Original _Actual, 0)</f>
        <v>49267.084899347938</v>
      </c>
      <c r="AN26" s="618"/>
      <c r="AO26" s="18">
        <f t="shared" ca="1" si="18"/>
        <v>11952.638968190309</v>
      </c>
      <c r="AP26" s="18">
        <f t="shared" ca="1" si="19"/>
        <v>11952.638968190315</v>
      </c>
      <c r="AQ26" s="18">
        <f t="shared" ca="1" si="20"/>
        <v>737.08547536516051</v>
      </c>
      <c r="AR26" s="84">
        <f ca="1">IF( AND(__Abono_Anticipado _Anterior = 0, __Ciclicas &lt;&gt; 1 ), __Pago_Proyectado _Anterior, SUM(__Componentes_Pago_Proyectado _Actual))</f>
        <v>12689.724443555469</v>
      </c>
      <c r="AS26" s="644">
        <f t="shared" ca="1" si="21"/>
        <v>11952.638968190309</v>
      </c>
      <c r="AT26" s="644">
        <f t="shared" ca="1" si="22"/>
        <v>11952.638968190309</v>
      </c>
      <c r="AV26" s="18">
        <f t="shared" ca="1" si="23"/>
        <v>21.937067719201206</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Tablas'!B19</f>
        <v>T_Merger!__Salida_Abono_1</v>
      </c>
      <c r="D27" s="619">
        <v>9</v>
      </c>
      <c r="F27" s="84">
        <f ca="1">MAX( __Saldo_Final _Anterior + __Saldo_Ciclico,0)</f>
        <v>49267.084899347938</v>
      </c>
      <c r="G27" s="84">
        <f ca="1">MIN( CHOOSE(i.Opcion.Abono, __Capital_Opcion_1, __Capital_Opcion_2, __Capital_Opcion_3) _Actual, __Saldo_Inicial _Actual)</f>
        <v>12096.54874136732</v>
      </c>
      <c r="H27" s="84">
        <f t="shared" ca="1" si="0"/>
        <v>0</v>
      </c>
      <c r="I27" s="643">
        <f ca="1">MAX( __Capital_Elegida _Actual, __Stopper_Capital _Actual)</f>
        <v>12096.54874136732</v>
      </c>
      <c r="J27" s="647">
        <f t="shared" ca="1" si="1"/>
        <v>17.654038755599679</v>
      </c>
      <c r="K27" s="647">
        <f t="shared" ca="1" si="2"/>
        <v>529.62116266799035</v>
      </c>
      <c r="L27" s="643">
        <f ca="1">Fechas!_Dias_Interes_Pago</f>
        <v>30</v>
      </c>
      <c r="M27" s="18">
        <f t="shared" ca="1" si="3"/>
        <v>529.62116266799035</v>
      </c>
      <c r="N27" s="18">
        <f t="shared" ca="1" si="4"/>
        <v>63.554539520158841</v>
      </c>
      <c r="O27" s="18">
        <f t="shared" ca="1" si="5"/>
        <v>12689.724443555469</v>
      </c>
      <c r="P27" s="646">
        <f ca="1">T_Merger!__Salida_Abono_1</f>
        <v>0</v>
      </c>
      <c r="Q27" s="18">
        <f t="shared" ca="1" si="6"/>
        <v>37170.536157980619</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12689.724443555469</v>
      </c>
      <c r="AG27" s="84">
        <f ca="1">MAX( __Saldo_Final_Original _Anterior + __Saldo_Ciclico, 0)</f>
        <v>49267.084899347938</v>
      </c>
      <c r="AH27" s="18">
        <f t="shared" ca="1" si="14"/>
        <v>17.654038755599679</v>
      </c>
      <c r="AI27" s="18">
        <f t="shared" ca="1" si="15"/>
        <v>529.62116266799035</v>
      </c>
      <c r="AJ27" s="18">
        <f t="shared" ca="1" si="16"/>
        <v>529.62116266799035</v>
      </c>
      <c r="AK27" s="18">
        <f t="shared" ca="1" si="17"/>
        <v>0</v>
      </c>
      <c r="AL27" s="644">
        <f ca="1">MAX( ((( __Pago_Fijo - (__Interes_Regular_Original * (1 + i.Iva.Intereses)) ))), __Stopper_Capital_Original _Actual )</f>
        <v>12096.54874136732</v>
      </c>
      <c r="AM27" s="84">
        <f ca="1">MAX(__Saldo_Inicial_Original _Actual - __Capital_Original _Actual, 0)</f>
        <v>37170.536157980619</v>
      </c>
      <c r="AN27" s="618"/>
      <c r="AO27" s="18">
        <f t="shared" ca="1" si="18"/>
        <v>12096.54874136732</v>
      </c>
      <c r="AP27" s="18">
        <f t="shared" ca="1" si="19"/>
        <v>12096.548741367331</v>
      </c>
      <c r="AQ27" s="18">
        <f t="shared" ca="1" si="20"/>
        <v>593.17570218814922</v>
      </c>
      <c r="AR27" s="84">
        <f ca="1">IF( AND(__Abono_Anticipado _Anterior = 0, __Ciclicas &lt;&gt; 1 ), __Pago_Proyectado _Anterior, SUM(__Componentes_Pago_Proyectado _Actual))</f>
        <v>12689.724443555469</v>
      </c>
      <c r="AS27" s="644">
        <f t="shared" ca="1" si="21"/>
        <v>12096.54874136732</v>
      </c>
      <c r="AT27" s="644">
        <f t="shared" ca="1" si="22"/>
        <v>12096.54874136732</v>
      </c>
      <c r="AV27" s="18">
        <f t="shared" ca="1" si="23"/>
        <v>17.654038755599679</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Tablas'!B20</f>
        <v>-</v>
      </c>
      <c r="D28" s="619">
        <v>10</v>
      </c>
      <c r="F28" s="84">
        <f ca="1">MAX( __Saldo_Final _Anterior + __Saldo_Ciclico,0)</f>
        <v>37170.536157980619</v>
      </c>
      <c r="G28" s="84">
        <f ca="1">MIN( CHOOSE(i.Opcion.Abono, __Capital_Opcion_1, __Capital_Opcion_2, __Capital_Opcion_3) _Actual, __Saldo_Inicial _Actual)</f>
        <v>12242.191188213383</v>
      </c>
      <c r="H28" s="84">
        <f t="shared" ca="1" si="0"/>
        <v>0</v>
      </c>
      <c r="I28" s="643">
        <f ca="1">MAX( __Capital_Elegida _Actual, __Stopper_Capital _Actual)</f>
        <v>12242.191188213383</v>
      </c>
      <c r="J28" s="647">
        <f t="shared" ca="1" si="1"/>
        <v>13.319442123276389</v>
      </c>
      <c r="K28" s="647">
        <f t="shared" ca="1" si="2"/>
        <v>399.58326369829166</v>
      </c>
      <c r="L28" s="643">
        <f ca="1">Fechas!_Dias_Interes_Pago</f>
        <v>30</v>
      </c>
      <c r="M28" s="18">
        <f t="shared" ca="1" si="3"/>
        <v>399.58326369829166</v>
      </c>
      <c r="N28" s="18">
        <f t="shared" ca="1" si="4"/>
        <v>47.949991643794995</v>
      </c>
      <c r="O28" s="18">
        <f t="shared" ca="1" si="5"/>
        <v>12689.724443555469</v>
      </c>
      <c r="P28" s="646">
        <f ca="1">T_Merger!__Salida_Abono_1</f>
        <v>0</v>
      </c>
      <c r="Q28" s="18">
        <f t="shared" ca="1" si="6"/>
        <v>24928.344969767237</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12689.724443555469</v>
      </c>
      <c r="AG28" s="84">
        <f ca="1">MAX( __Saldo_Final_Original _Anterior + __Saldo_Ciclico, 0)</f>
        <v>37170.536157980619</v>
      </c>
      <c r="AH28" s="18">
        <f t="shared" ca="1" si="14"/>
        <v>13.319442123276389</v>
      </c>
      <c r="AI28" s="18">
        <f t="shared" ca="1" si="15"/>
        <v>399.58326369829166</v>
      </c>
      <c r="AJ28" s="18">
        <f t="shared" ca="1" si="16"/>
        <v>399.58326369829166</v>
      </c>
      <c r="AK28" s="18">
        <f t="shared" ca="1" si="17"/>
        <v>0</v>
      </c>
      <c r="AL28" s="644">
        <f ca="1">MAX( ((( __Pago_Fijo - (__Interes_Regular_Original * (1 + i.Iva.Intereses)) ))), __Stopper_Capital_Original _Actual )</f>
        <v>12242.191188213383</v>
      </c>
      <c r="AM28" s="84">
        <f ca="1">MAX(__Saldo_Inicial_Original _Actual - __Capital_Original _Actual, 0)</f>
        <v>24928.344969767237</v>
      </c>
      <c r="AN28" s="618"/>
      <c r="AO28" s="18">
        <f t="shared" ca="1" si="18"/>
        <v>12242.191188213383</v>
      </c>
      <c r="AP28" s="18">
        <f t="shared" ca="1" si="19"/>
        <v>12242.191188213397</v>
      </c>
      <c r="AQ28" s="18">
        <f t="shared" ca="1" si="20"/>
        <v>447.53325534208665</v>
      </c>
      <c r="AR28" s="84">
        <f ca="1">IF( AND(__Abono_Anticipado _Anterior = 0, __Ciclicas &lt;&gt; 1 ), __Pago_Proyectado _Anterior, SUM(__Componentes_Pago_Proyectado _Actual))</f>
        <v>12689.724443555469</v>
      </c>
      <c r="AS28" s="644">
        <f t="shared" ca="1" si="21"/>
        <v>12242.191188213383</v>
      </c>
      <c r="AT28" s="644">
        <f t="shared" ca="1" si="22"/>
        <v>12242.191188213383</v>
      </c>
      <c r="AV28" s="18">
        <f t="shared" ca="1" si="23"/>
        <v>13.319442123276389</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24928.344969767237</v>
      </c>
      <c r="G29" s="84">
        <f ca="1">MIN( CHOOSE(i.Opcion.Abono, __Capital_Opcion_1, __Capital_Opcion_2, __Capital_Opcion_3) _Actual, __Saldo_Inicial _Actual)</f>
        <v>12389.587170119472</v>
      </c>
      <c r="H29" s="84">
        <f t="shared" ca="1" si="0"/>
        <v>0</v>
      </c>
      <c r="I29" s="643">
        <f ca="1">MAX( __Capital_Elegida _Actual, __Stopper_Capital _Actual)</f>
        <v>12389.587170119472</v>
      </c>
      <c r="J29" s="647">
        <f t="shared" ca="1" si="1"/>
        <v>8.9326569474999271</v>
      </c>
      <c r="K29" s="647">
        <f t="shared" ca="1" si="2"/>
        <v>267.9797084249978</v>
      </c>
      <c r="L29" s="643">
        <f ca="1">Fechas!_Dias_Interes_Pago</f>
        <v>30</v>
      </c>
      <c r="M29" s="18">
        <f t="shared" ca="1" si="3"/>
        <v>267.9797084249978</v>
      </c>
      <c r="N29" s="18">
        <f t="shared" ca="1" si="4"/>
        <v>32.157565010999733</v>
      </c>
      <c r="O29" s="18">
        <f t="shared" ca="1" si="5"/>
        <v>12689.724443555469</v>
      </c>
      <c r="P29" s="646">
        <f ca="1">T_Merger!__Salida_Abono_1</f>
        <v>0</v>
      </c>
      <c r="Q29" s="18">
        <f t="shared" ca="1" si="6"/>
        <v>12538.757799647765</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12689.724443555469</v>
      </c>
      <c r="AG29" s="84">
        <f ca="1">MAX( __Saldo_Final_Original _Anterior + __Saldo_Ciclico, 0)</f>
        <v>24928.344969767237</v>
      </c>
      <c r="AH29" s="18">
        <f t="shared" ca="1" si="14"/>
        <v>8.9326569474999271</v>
      </c>
      <c r="AI29" s="18">
        <f t="shared" ca="1" si="15"/>
        <v>267.9797084249978</v>
      </c>
      <c r="AJ29" s="18">
        <f t="shared" ca="1" si="16"/>
        <v>267.9797084249978</v>
      </c>
      <c r="AK29" s="18">
        <f t="shared" ca="1" si="17"/>
        <v>0</v>
      </c>
      <c r="AL29" s="644">
        <f ca="1">MAX( ((( __Pago_Fijo - (__Interes_Regular_Original * (1 + i.Iva.Intereses)) ))), __Stopper_Capital_Original _Actual )</f>
        <v>12389.587170119472</v>
      </c>
      <c r="AM29" s="84">
        <f ca="1">MAX(__Saldo_Inicial_Original _Actual - __Capital_Original _Actual, 0)</f>
        <v>12538.757799647765</v>
      </c>
      <c r="AN29" s="618"/>
      <c r="AO29" s="18">
        <f t="shared" ca="1" si="18"/>
        <v>12389.587170119472</v>
      </c>
      <c r="AP29" s="18">
        <f t="shared" ca="1" si="19"/>
        <v>12389.587170119497</v>
      </c>
      <c r="AQ29" s="18">
        <f t="shared" ca="1" si="20"/>
        <v>300.13727343599749</v>
      </c>
      <c r="AR29" s="84">
        <f ca="1">IF( AND(__Abono_Anticipado _Anterior = 0, __Ciclicas &lt;&gt; 1 ), __Pago_Proyectado _Anterior, SUM(__Componentes_Pago_Proyectado _Actual))</f>
        <v>12689.724443555469</v>
      </c>
      <c r="AS29" s="644">
        <f t="shared" ca="1" si="21"/>
        <v>12389.587170119472</v>
      </c>
      <c r="AT29" s="644">
        <f t="shared" ca="1" si="22"/>
        <v>12389.587170119472</v>
      </c>
      <c r="AV29" s="18">
        <f t="shared" ca="1" si="23"/>
        <v>8.9326569474999271</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12538.757799647765</v>
      </c>
      <c r="G30" s="84">
        <f ca="1">MIN( CHOOSE(i.Opcion.Abono, __Capital_Opcion_1, __Capital_Opcion_2, __Capital_Opcion_3) _Actual, __Saldo_Inicial _Actual)</f>
        <v>12538.757799647765</v>
      </c>
      <c r="H30" s="84">
        <f t="shared" ca="1" si="0"/>
        <v>12538.757799647765</v>
      </c>
      <c r="I30" s="643">
        <f ca="1">MAX( __Capital_Elegida _Actual, __Stopper_Capital _Actual)</f>
        <v>12538.757799647765</v>
      </c>
      <c r="J30" s="647">
        <f t="shared" ca="1" si="1"/>
        <v>4.4930548782071158</v>
      </c>
      <c r="K30" s="647">
        <f t="shared" ca="1" si="2"/>
        <v>134.79164634621347</v>
      </c>
      <c r="L30" s="643">
        <f ca="1">Fechas!_Dias_Interes_Pago</f>
        <v>30</v>
      </c>
      <c r="M30" s="18">
        <f t="shared" ca="1" si="3"/>
        <v>134.79164634621347</v>
      </c>
      <c r="N30" s="18">
        <f t="shared" ca="1" si="4"/>
        <v>16.174997561545617</v>
      </c>
      <c r="O30" s="18">
        <f t="shared" ca="1" si="5"/>
        <v>12689.724443555524</v>
      </c>
      <c r="P30" s="646">
        <f ca="1">T_Merger!__Salida_Abono_1</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12689.724443555469</v>
      </c>
      <c r="AG30" s="84">
        <f ca="1">MAX( __Saldo_Final_Original _Anterior + __Saldo_Ciclico, 0)</f>
        <v>12538.757799647765</v>
      </c>
      <c r="AH30" s="18">
        <f t="shared" ca="1" si="14"/>
        <v>4.4930548782071158</v>
      </c>
      <c r="AI30" s="18">
        <f t="shared" ca="1" si="15"/>
        <v>134.79164634621347</v>
      </c>
      <c r="AJ30" s="18">
        <f t="shared" ca="1" si="16"/>
        <v>134.79164634621347</v>
      </c>
      <c r="AK30" s="18">
        <f t="shared" ca="1" si="17"/>
        <v>12538.757799647765</v>
      </c>
      <c r="AL30" s="644">
        <f ca="1">MAX( ((( __Pago_Fijo - (__Interes_Regular_Original * (1 + i.Iva.Intereses)) ))), __Stopper_Capital_Original _Actual )</f>
        <v>12538.757799647765</v>
      </c>
      <c r="AM30" s="84">
        <f ca="1">MAX(__Saldo_Inicial_Original _Actual - __Capital_Original _Actual, 0)</f>
        <v>0</v>
      </c>
      <c r="AN30" s="618"/>
      <c r="AO30" s="18">
        <f t="shared" ca="1" si="18"/>
        <v>12538.757799647765</v>
      </c>
      <c r="AP30" s="18">
        <f t="shared" ca="1" si="19"/>
        <v>12538.757799647763</v>
      </c>
      <c r="AQ30" s="18">
        <f t="shared" ca="1" si="20"/>
        <v>150.96664390775911</v>
      </c>
      <c r="AR30" s="84">
        <f ca="1">IF( AND(__Abono_Anticipado _Anterior = 0, __Ciclicas &lt;&gt; 1 ), __Pago_Proyectado _Anterior, SUM(__Componentes_Pago_Proyectado _Actual))</f>
        <v>12689.724443555469</v>
      </c>
      <c r="AS30" s="644">
        <f t="shared" ca="1" si="21"/>
        <v>12538.75779964771</v>
      </c>
      <c r="AT30" s="644">
        <f t="shared" ca="1" si="22"/>
        <v>12538.75779964771</v>
      </c>
      <c r="AV30" s="18">
        <f t="shared" ca="1" si="23"/>
        <v>4.4930548782071158</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T_Merger!__Salida_Abono_1</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T_Merger!__Salida_Abono_1</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T_Merger!__Salida_Abono_1</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T_Merger!__Salida_Abono_1</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T_Merger!__Salida_Abono_1</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0</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T_Merger!__Salida_Abono_1</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0</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T_Merger!__Salida_Abono_1</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T_Merger!__Salida_Abono_1</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T_Merger!__Salida_Abono_1</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T_Merger!__Salida_Abono_1</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T_Merger!__Salida_Abono_1</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T_Merger!__Salida_Abono_1</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10992.08444355547</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12689.724443555469</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Tablas'!H9</f>
        <v>30</v>
      </c>
      <c r="D17" s="620" t="s">
        <v>1643</v>
      </c>
      <c r="G17" s="619"/>
      <c r="H17" s="619"/>
      <c r="I17" s="261">
        <f ca="1">SUM(__Capital)</f>
        <v>8041.7568599999995</v>
      </c>
      <c r="J17" s="261"/>
      <c r="K17" s="261"/>
      <c r="L17" s="261"/>
      <c r="M17" s="261">
        <f ca="1">SUM(__Interes)</f>
        <v>580.00607750791789</v>
      </c>
      <c r="N17" s="261">
        <f ca="1">SUM(__Iva)</f>
        <v>69.60072930095015</v>
      </c>
      <c r="P17" s="261">
        <f ca="1">SUM(__Abono_Anticipado)</f>
        <v>0</v>
      </c>
      <c r="Q17" s="619"/>
      <c r="R17" s="618"/>
      <c r="S17" s="97"/>
      <c r="T17" s="261">
        <f ca="1">SUM(__Abono_Sobrante) - (SUM(__Abono_Sobrante_Ciclo_Anterior)*_Renueva.Abono.Sobrante?)</f>
        <v>0</v>
      </c>
      <c r="U17" s="261"/>
      <c r="V17" s="97"/>
      <c r="Y17" s="618"/>
      <c r="AL17" s="261">
        <f ca="1">SUM(__Capital_Original)</f>
        <v>8041.7568599999995</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Tablas'!H11</f>
        <v>12</v>
      </c>
      <c r="D19" s="619">
        <v>1</v>
      </c>
      <c r="F19" s="84">
        <f ca="1">__Saldo_Ciclico</f>
        <v>8041.7568599999995</v>
      </c>
      <c r="G19" s="84">
        <f ca="1">MIN( CHOOSE(i.Opcion.Abono, __Capital_Opcion_1, __Capital_Opcion_2, __Capital_Opcion_3) _Actual, __Saldo_Inicial _Actual)</f>
        <v>626.91964879192551</v>
      </c>
      <c r="H19" s="84">
        <f t="shared" ref="H19:H82" ca="1" si="0">__Saldo_Inicial * ( __Amortizacion = i.Numero.Pagos )</f>
        <v>0</v>
      </c>
      <c r="I19" s="643">
        <f ca="1">MAX( __Capital_Elegida _Actual, __Stopper_Capital _Actual)</f>
        <v>626.91964879192551</v>
      </c>
      <c r="J19" s="647">
        <f t="shared" ref="J19:J82" ca="1" si="1">__Saldo_Inicial * _Tasa.Diaria</f>
        <v>2.8816295414999997</v>
      </c>
      <c r="K19" s="647">
        <f t="shared" ref="K19:K82" ca="1" si="2" xml:space="preserve"> __Interes_Diario * i.Dias.Por.Periodo</f>
        <v>86.448886244999997</v>
      </c>
      <c r="L19" s="643">
        <f ca="1">Fechas!_Dias_Interes_Pago</f>
        <v>32</v>
      </c>
      <c r="M19" s="18">
        <f t="shared" ref="M19:M82" ca="1" si="3">__Interes_Diario * __Dias_Interes_Periodo</f>
        <v>92.212145327999991</v>
      </c>
      <c r="N19" s="18">
        <f t="shared" ref="N19:N82" ca="1" si="4">__Interes *i.Iva.Intereses</f>
        <v>11.065457439359999</v>
      </c>
      <c r="O19" s="18">
        <f t="shared" ref="O19:O82" ca="1" si="5">__Capital + __Interes + __Iva</f>
        <v>730.19725155928552</v>
      </c>
      <c r="P19" s="646">
        <f ca="1">T_Merger!__Salida_Abono_2</f>
        <v>0</v>
      </c>
      <c r="Q19" s="18">
        <f t="shared" ref="Q19:Q82" ca="1" si="6">MAX( __Saldo_Inicial - __Capital-__Abono_Anticipado,0)</f>
        <v>7414.8372112080742</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723.74240138632547</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92.212145327999991</v>
      </c>
      <c r="AK19" s="18">
        <f t="shared" ref="AK19:AK82" ca="1" si="17">__Saldo_Inicial_Original * ( __Amortizacion = i.Numero.Pagos )</f>
        <v>0</v>
      </c>
      <c r="AL19" s="644">
        <f ca="1">MAX( ((( __Pago_Fijo - (__Interes_Regular_Original * (1 + i.Iva.Intereses)) ))), __Stopper_Capital_Original _Actual )</f>
        <v>626.91964879192551</v>
      </c>
      <c r="AM19" s="84">
        <f ca="1">MAX(__Saldo_Inicial_Original _Actual - __Capital_Original _Actual, 0)</f>
        <v>7414.8372112080742</v>
      </c>
      <c r="AN19" s="618"/>
      <c r="AO19" s="18">
        <f t="shared" ref="AO19:AO82" ca="1" si="18" xml:space="preserve"> __Capital_Original</f>
        <v>626.91964879192551</v>
      </c>
      <c r="AP19" s="18">
        <f t="shared" ref="AP19:AP82" ca="1" si="19">-PPMT(_Tasa.Por.Periodo*(1+i.Iva.Intereses),1,__Ciclicas_Remanentes,__Saldo_Inicial)</f>
        <v>626.9196487919254</v>
      </c>
      <c r="AQ19" s="18">
        <f t="shared" ref="AQ19:AQ82" ca="1" si="20">-IPMT(_Tasa.Diaria.Por.Periodo*(1+i.Iva.Intereses),1,__Ciclicas_Remanentes,__Saldo_Inicial)</f>
        <v>96.822752594400001</v>
      </c>
      <c r="AR19" s="84">
        <f ca="1">SUM(__Componentes_Pago_Proyectado _Actual)</f>
        <v>723.74240138632535</v>
      </c>
      <c r="AS19" s="644">
        <f t="shared" ref="AS19:AS82" ca="1" si="21">__Pago_Proyectado - ( __Interes_Periodo_Regular * ( 1 + i.Iva.Intereses ) )</f>
        <v>626.9196487919254</v>
      </c>
      <c r="AT19" s="644">
        <f t="shared" ref="AT19:AT82" ca="1" si="22">__Pago_Fijo - ( __Interes_Periodo_Regular * ( 1 + i.Iva.Intereses ) )</f>
        <v>626.91964879192551</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Tablas'!H12</f>
        <v>0.12</v>
      </c>
      <c r="D20" s="619">
        <v>2</v>
      </c>
      <c r="F20" s="84">
        <f ca="1">MAX( __Saldo_Final _Anterior + __Saldo_Ciclico,0)</f>
        <v>7414.8372112080742</v>
      </c>
      <c r="G20" s="84">
        <f ca="1">MIN( CHOOSE(i.Opcion.Abono, __Capital_Opcion_1, __Capital_Opcion_2, __Capital_Opcion_3) _Actual, __Saldo_Inicial _Actual)</f>
        <v>634.4677613633803</v>
      </c>
      <c r="H20" s="84">
        <f t="shared" ca="1" si="0"/>
        <v>0</v>
      </c>
      <c r="I20" s="643">
        <f ca="1">MAX( __Capital_Elegida _Actual, __Stopper_Capital _Actual)</f>
        <v>634.4677613633803</v>
      </c>
      <c r="J20" s="647">
        <f t="shared" ca="1" si="1"/>
        <v>2.6569833340162266</v>
      </c>
      <c r="K20" s="647">
        <f t="shared" ca="1" si="2"/>
        <v>79.7095000204868</v>
      </c>
      <c r="L20" s="643">
        <f ca="1">Fechas!_Dias_Interes_Pago</f>
        <v>30</v>
      </c>
      <c r="M20" s="18">
        <f t="shared" ca="1" si="3"/>
        <v>79.7095000204868</v>
      </c>
      <c r="N20" s="18">
        <f t="shared" ca="1" si="4"/>
        <v>9.5651400024584152</v>
      </c>
      <c r="O20" s="18">
        <f t="shared" ca="1" si="5"/>
        <v>723.74240138632547</v>
      </c>
      <c r="P20" s="646">
        <f ca="1">T_Merger!__Salida_Abono_2</f>
        <v>0</v>
      </c>
      <c r="Q20" s="18">
        <f t="shared" ca="1" si="6"/>
        <v>6780.3694498446939</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723.74240138632547</v>
      </c>
      <c r="AG20" s="84">
        <f ca="1">MAX( __Saldo_Final_Original _Anterior + __Saldo_Ciclico, 0)</f>
        <v>7414.8372112080742</v>
      </c>
      <c r="AH20" s="18">
        <f t="shared" ca="1" si="14"/>
        <v>2.6569833340162266</v>
      </c>
      <c r="AI20" s="18">
        <f t="shared" ca="1" si="15"/>
        <v>79.7095000204868</v>
      </c>
      <c r="AJ20" s="18">
        <f t="shared" ca="1" si="16"/>
        <v>79.7095000204868</v>
      </c>
      <c r="AK20" s="18">
        <f t="shared" ca="1" si="17"/>
        <v>0</v>
      </c>
      <c r="AL20" s="644">
        <f ca="1">MAX( ((( __Pago_Fijo - (__Interes_Regular_Original * (1 + i.Iva.Intereses)) ))), __Stopper_Capital_Original _Actual )</f>
        <v>634.4677613633803</v>
      </c>
      <c r="AM20" s="84">
        <f ca="1">MAX(__Saldo_Inicial_Original _Actual - __Capital_Original _Actual, 0)</f>
        <v>6780.3694498446939</v>
      </c>
      <c r="AN20" s="618"/>
      <c r="AO20" s="18">
        <f t="shared" ca="1" si="18"/>
        <v>634.4677613633803</v>
      </c>
      <c r="AP20" s="18">
        <f t="shared" ca="1" si="19"/>
        <v>634.46776136338042</v>
      </c>
      <c r="AQ20" s="18">
        <f t="shared" ca="1" si="20"/>
        <v>89.274640022945221</v>
      </c>
      <c r="AR20" s="84">
        <f ca="1">IF( AND(__Abono_Anticipado _Anterior = 0, __Ciclicas &lt;&gt; 1 ), __Pago_Proyectado _Anterior, SUM(__Componentes_Pago_Proyectado _Actual))</f>
        <v>723.74240138632535</v>
      </c>
      <c r="AS20" s="644">
        <f t="shared" ca="1" si="21"/>
        <v>634.46776136338008</v>
      </c>
      <c r="AT20" s="644">
        <f t="shared" ca="1" si="22"/>
        <v>634.4677613633803</v>
      </c>
      <c r="AV20" s="18">
        <f t="shared" ca="1" si="23"/>
        <v>2.6569833340162266</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Tablas'!H13</f>
        <v>0.129</v>
      </c>
      <c r="D21" s="619">
        <v>3</v>
      </c>
      <c r="F21" s="84">
        <f ca="1">MAX( __Saldo_Final _Anterior + __Saldo_Ciclico,0)</f>
        <v>6780.3694498446939</v>
      </c>
      <c r="G21" s="84">
        <f ca="1">MIN( CHOOSE(i.Opcion.Abono, __Capital_Opcion_1, __Capital_Opcion_2, __Capital_Opcion_3) _Actual, __Saldo_Inicial _Actual)</f>
        <v>642.10675321019539</v>
      </c>
      <c r="H21" s="84">
        <f t="shared" ca="1" si="0"/>
        <v>0</v>
      </c>
      <c r="I21" s="643">
        <f ca="1">MAX( __Capital_Elegida _Actual, __Stopper_Capital _Actual)</f>
        <v>642.10675321019539</v>
      </c>
      <c r="J21" s="647">
        <f t="shared" ca="1" si="1"/>
        <v>2.4296323861943487</v>
      </c>
      <c r="K21" s="647">
        <f t="shared" ca="1" si="2"/>
        <v>72.888971585830461</v>
      </c>
      <c r="L21" s="643">
        <f ca="1">Fechas!_Dias_Interes_Pago</f>
        <v>30</v>
      </c>
      <c r="M21" s="18">
        <f t="shared" ca="1" si="3"/>
        <v>72.888971585830461</v>
      </c>
      <c r="N21" s="18">
        <f t="shared" ca="1" si="4"/>
        <v>8.7466765902996553</v>
      </c>
      <c r="O21" s="18">
        <f t="shared" ca="1" si="5"/>
        <v>723.74240138632547</v>
      </c>
      <c r="P21" s="646">
        <f ca="1">T_Merger!__Salida_Abono_2</f>
        <v>0</v>
      </c>
      <c r="Q21" s="18">
        <f t="shared" ca="1" si="6"/>
        <v>6138.2626966344988</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723.74240138632547</v>
      </c>
      <c r="AG21" s="84">
        <f ca="1">MAX( __Saldo_Final_Original _Anterior + __Saldo_Ciclico, 0)</f>
        <v>6780.3694498446939</v>
      </c>
      <c r="AH21" s="18">
        <f t="shared" ca="1" si="14"/>
        <v>2.4296323861943487</v>
      </c>
      <c r="AI21" s="18">
        <f t="shared" ca="1" si="15"/>
        <v>72.888971585830461</v>
      </c>
      <c r="AJ21" s="18">
        <f t="shared" ca="1" si="16"/>
        <v>72.888971585830461</v>
      </c>
      <c r="AK21" s="18">
        <f t="shared" ca="1" si="17"/>
        <v>0</v>
      </c>
      <c r="AL21" s="644">
        <f ca="1">MAX( ((( __Pago_Fijo - (__Interes_Regular_Original * (1 + i.Iva.Intereses)) ))), __Stopper_Capital_Original _Actual )</f>
        <v>642.10675321019539</v>
      </c>
      <c r="AM21" s="84">
        <f ca="1">MAX(__Saldo_Inicial_Original _Actual - __Capital_Original _Actual, 0)</f>
        <v>6138.2626966344988</v>
      </c>
      <c r="AN21" s="618"/>
      <c r="AO21" s="18">
        <f t="shared" ca="1" si="18"/>
        <v>642.10675321019539</v>
      </c>
      <c r="AP21" s="18">
        <f t="shared" ca="1" si="19"/>
        <v>642.10675321019551</v>
      </c>
      <c r="AQ21" s="18">
        <f t="shared" ca="1" si="20"/>
        <v>81.635648176130118</v>
      </c>
      <c r="AR21" s="84">
        <f ca="1">IF( AND(__Abono_Anticipado _Anterior = 0, __Ciclicas &lt;&gt; 1 ), __Pago_Proyectado _Anterior, SUM(__Componentes_Pago_Proyectado _Actual))</f>
        <v>723.74240138632535</v>
      </c>
      <c r="AS21" s="644">
        <f t="shared" ca="1" si="21"/>
        <v>642.10675321019528</v>
      </c>
      <c r="AT21" s="644">
        <f t="shared" ca="1" si="22"/>
        <v>642.10675321019539</v>
      </c>
      <c r="AV21" s="18">
        <f t="shared" ca="1" si="23"/>
        <v>2.4296323861943487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Tablas'!H14</f>
        <v>360</v>
      </c>
      <c r="D22" s="619">
        <v>4</v>
      </c>
      <c r="F22" s="84">
        <f ca="1">MAX( __Saldo_Final _Anterior + __Saldo_Ciclico,0)</f>
        <v>6138.2626966344988</v>
      </c>
      <c r="G22" s="84">
        <f ca="1">MIN( CHOOSE(i.Opcion.Abono, __Capital_Opcion_1, __Capital_Opcion_2, __Capital_Opcion_3) _Actual, __Saldo_Inicial _Actual)</f>
        <v>649.83771851884615</v>
      </c>
      <c r="H22" s="84">
        <f t="shared" ca="1" si="0"/>
        <v>0</v>
      </c>
      <c r="I22" s="643">
        <f ca="1">MAX( __Capital_Elegida _Actual, __Stopper_Capital _Actual)</f>
        <v>649.83771851884615</v>
      </c>
      <c r="J22" s="647">
        <f t="shared" ca="1" si="1"/>
        <v>2.1995441329606953</v>
      </c>
      <c r="K22" s="647">
        <f t="shared" ca="1" si="2"/>
        <v>65.986323988820857</v>
      </c>
      <c r="L22" s="643">
        <f ca="1">Fechas!_Dias_Interes_Pago</f>
        <v>30</v>
      </c>
      <c r="M22" s="18">
        <f t="shared" ca="1" si="3"/>
        <v>65.986323988820857</v>
      </c>
      <c r="N22" s="18">
        <f t="shared" ca="1" si="4"/>
        <v>7.9183588786585029</v>
      </c>
      <c r="O22" s="18">
        <f t="shared" ca="1" si="5"/>
        <v>723.74240138632547</v>
      </c>
      <c r="P22" s="646">
        <f ca="1">T_Merger!__Salida_Abono_2</f>
        <v>0</v>
      </c>
      <c r="Q22" s="18">
        <f t="shared" ca="1" si="6"/>
        <v>5488.4249781156523</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723.74240138632547</v>
      </c>
      <c r="AG22" s="84">
        <f ca="1">MAX( __Saldo_Final_Original _Anterior + __Saldo_Ciclico, 0)</f>
        <v>6138.2626966344988</v>
      </c>
      <c r="AH22" s="18">
        <f t="shared" ca="1" si="14"/>
        <v>2.1995441329606953</v>
      </c>
      <c r="AI22" s="18">
        <f t="shared" ca="1" si="15"/>
        <v>65.986323988820857</v>
      </c>
      <c r="AJ22" s="18">
        <f t="shared" ca="1" si="16"/>
        <v>65.986323988820857</v>
      </c>
      <c r="AK22" s="18">
        <f t="shared" ca="1" si="17"/>
        <v>0</v>
      </c>
      <c r="AL22" s="644">
        <f ca="1">MAX( ((( __Pago_Fijo - (__Interes_Regular_Original * (1 + i.Iva.Intereses)) ))), __Stopper_Capital_Original _Actual )</f>
        <v>649.83771851884615</v>
      </c>
      <c r="AM22" s="84">
        <f ca="1">MAX(__Saldo_Inicial_Original _Actual - __Capital_Original _Actual, 0)</f>
        <v>5488.4249781156523</v>
      </c>
      <c r="AN22" s="618"/>
      <c r="AO22" s="18">
        <f t="shared" ca="1" si="18"/>
        <v>649.83771851884615</v>
      </c>
      <c r="AP22" s="18">
        <f t="shared" ca="1" si="19"/>
        <v>649.83771851884626</v>
      </c>
      <c r="AQ22" s="18">
        <f t="shared" ca="1" si="20"/>
        <v>73.904682867479366</v>
      </c>
      <c r="AR22" s="84">
        <f ca="1">IF( AND(__Abono_Anticipado _Anterior = 0, __Ciclicas &lt;&gt; 1 ), __Pago_Proyectado _Anterior, SUM(__Componentes_Pago_Proyectado _Actual))</f>
        <v>723.74240138632535</v>
      </c>
      <c r="AS22" s="644">
        <f t="shared" ca="1" si="21"/>
        <v>649.83771851884603</v>
      </c>
      <c r="AT22" s="644">
        <f t="shared" ca="1" si="22"/>
        <v>649.83771851884615</v>
      </c>
      <c r="AV22" s="18">
        <f t="shared" ca="1" si="23"/>
        <v>2.1995441329606953</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Tablas'!H15</f>
        <v>Fechas!_Dias_Interes_Pago</v>
      </c>
      <c r="D23" s="619">
        <v>5</v>
      </c>
      <c r="F23" s="84">
        <f ca="1">MAX( __Saldo_Final _Anterior + __Saldo_Ciclico,0)</f>
        <v>5488.4249781156523</v>
      </c>
      <c r="G23" s="84">
        <f ca="1">MIN( CHOOSE(i.Opcion.Abono, __Capital_Opcion_1, __Capital_Opcion_2, __Capital_Opcion_3) _Actual, __Saldo_Inicial _Actual)</f>
        <v>657.66176464981299</v>
      </c>
      <c r="H23" s="84">
        <f t="shared" ca="1" si="0"/>
        <v>0</v>
      </c>
      <c r="I23" s="643">
        <f ca="1">MAX( __Capital_Elegida _Actual, __Stopper_Capital _Actual)</f>
        <v>657.66176464981299</v>
      </c>
      <c r="J23" s="647">
        <f t="shared" ca="1" si="1"/>
        <v>1.9666856171581086</v>
      </c>
      <c r="K23" s="647">
        <f t="shared" ca="1" si="2"/>
        <v>59.000568514743257</v>
      </c>
      <c r="L23" s="643">
        <f ca="1">Fechas!_Dias_Interes_Pago</f>
        <v>30</v>
      </c>
      <c r="M23" s="18">
        <f t="shared" ca="1" si="3"/>
        <v>59.000568514743257</v>
      </c>
      <c r="N23" s="18">
        <f t="shared" ca="1" si="4"/>
        <v>7.0800682217691904</v>
      </c>
      <c r="O23" s="18">
        <f t="shared" ca="1" si="5"/>
        <v>723.74240138632547</v>
      </c>
      <c r="P23" s="646">
        <f ca="1">T_Merger!__Salida_Abono_2</f>
        <v>0</v>
      </c>
      <c r="Q23" s="18">
        <f t="shared" ca="1" si="6"/>
        <v>4830.7632134658397</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723.74240138632547</v>
      </c>
      <c r="AG23" s="84">
        <f ca="1">MAX( __Saldo_Final_Original _Anterior + __Saldo_Ciclico, 0)</f>
        <v>5488.4249781156523</v>
      </c>
      <c r="AH23" s="18">
        <f t="shared" ca="1" si="14"/>
        <v>1.9666856171581086</v>
      </c>
      <c r="AI23" s="18">
        <f t="shared" ca="1" si="15"/>
        <v>59.000568514743257</v>
      </c>
      <c r="AJ23" s="18">
        <f t="shared" ca="1" si="16"/>
        <v>59.000568514743257</v>
      </c>
      <c r="AK23" s="18">
        <f t="shared" ca="1" si="17"/>
        <v>0</v>
      </c>
      <c r="AL23" s="644">
        <f ca="1">MAX( ((( __Pago_Fijo - (__Interes_Regular_Original * (1 + i.Iva.Intereses)) ))), __Stopper_Capital_Original _Actual )</f>
        <v>657.66176464981299</v>
      </c>
      <c r="AM23" s="84">
        <f ca="1">MAX(__Saldo_Inicial_Original _Actual - __Capital_Original _Actual, 0)</f>
        <v>4830.7632134658397</v>
      </c>
      <c r="AN23" s="618"/>
      <c r="AO23" s="18">
        <f t="shared" ca="1" si="18"/>
        <v>657.66176464981299</v>
      </c>
      <c r="AP23" s="18">
        <f t="shared" ca="1" si="19"/>
        <v>657.66176464981311</v>
      </c>
      <c r="AQ23" s="18">
        <f t="shared" ca="1" si="20"/>
        <v>66.08063673651246</v>
      </c>
      <c r="AR23" s="84">
        <f ca="1">IF( AND(__Abono_Anticipado _Anterior = 0, __Ciclicas &lt;&gt; 1 ), __Pago_Proyectado _Anterior, SUM(__Componentes_Pago_Proyectado _Actual))</f>
        <v>723.74240138632535</v>
      </c>
      <c r="AS23" s="644">
        <f t="shared" ca="1" si="21"/>
        <v>657.66176464981288</v>
      </c>
      <c r="AT23" s="644">
        <f t="shared" ca="1" si="22"/>
        <v>657.66176464981299</v>
      </c>
      <c r="AV23" s="18">
        <f t="shared" ca="1" si="23"/>
        <v>1.9666856171581086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Tablas'!H16</f>
        <v>1</v>
      </c>
      <c r="D24" s="619">
        <v>6</v>
      </c>
      <c r="F24" s="84">
        <f ca="1">MAX( __Saldo_Final _Anterior + __Saldo_Ciclico,0)</f>
        <v>4830.7632134658397</v>
      </c>
      <c r="G24" s="84">
        <f ca="1">MIN( CHOOSE(i.Opcion.Abono, __Capital_Opcion_1, __Capital_Opcion_2, __Capital_Opcion_3) _Actual, __Saldo_Inicial _Actual)</f>
        <v>665.58001229619674</v>
      </c>
      <c r="H24" s="84">
        <f t="shared" ca="1" si="0"/>
        <v>0</v>
      </c>
      <c r="I24" s="643">
        <f ca="1">MAX( __Capital_Elegida _Actual, __Stopper_Capital _Actual)</f>
        <v>665.58001229619674</v>
      </c>
      <c r="J24" s="647">
        <f t="shared" ca="1" si="1"/>
        <v>1.7310234848252593</v>
      </c>
      <c r="K24" s="647">
        <f t="shared" ca="1" si="2"/>
        <v>51.930704544757781</v>
      </c>
      <c r="L24" s="643">
        <f ca="1">Fechas!_Dias_Interes_Pago</f>
        <v>30</v>
      </c>
      <c r="M24" s="18">
        <f t="shared" ca="1" si="3"/>
        <v>51.930704544757781</v>
      </c>
      <c r="N24" s="18">
        <f t="shared" ca="1" si="4"/>
        <v>6.2316845453709337</v>
      </c>
      <c r="O24" s="18">
        <f t="shared" ca="1" si="5"/>
        <v>723.74240138632547</v>
      </c>
      <c r="P24" s="646">
        <f ca="1">T_Merger!__Salida_Abono_2</f>
        <v>0</v>
      </c>
      <c r="Q24" s="18">
        <f t="shared" ca="1" si="6"/>
        <v>4165.1832011696433</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723.74240138632547</v>
      </c>
      <c r="AG24" s="84">
        <f ca="1">MAX( __Saldo_Final_Original _Anterior + __Saldo_Ciclico, 0)</f>
        <v>4830.7632134658397</v>
      </c>
      <c r="AH24" s="18">
        <f t="shared" ca="1" si="14"/>
        <v>1.7310234848252593</v>
      </c>
      <c r="AI24" s="18">
        <f t="shared" ca="1" si="15"/>
        <v>51.930704544757781</v>
      </c>
      <c r="AJ24" s="18">
        <f t="shared" ca="1" si="16"/>
        <v>51.930704544757781</v>
      </c>
      <c r="AK24" s="18">
        <f t="shared" ca="1" si="17"/>
        <v>0</v>
      </c>
      <c r="AL24" s="644">
        <f ca="1">MAX( ((( __Pago_Fijo - (__Interes_Regular_Original * (1 + i.Iva.Intereses)) ))), __Stopper_Capital_Original _Actual )</f>
        <v>665.58001229619674</v>
      </c>
      <c r="AM24" s="84">
        <f ca="1">MAX(__Saldo_Inicial_Original _Actual - __Capital_Original _Actual, 0)</f>
        <v>4165.1832011696433</v>
      </c>
      <c r="AN24" s="618"/>
      <c r="AO24" s="18">
        <f t="shared" ca="1" si="18"/>
        <v>665.58001229619674</v>
      </c>
      <c r="AP24" s="18">
        <f t="shared" ca="1" si="19"/>
        <v>665.58001229619697</v>
      </c>
      <c r="AQ24" s="18">
        <f t="shared" ca="1" si="20"/>
        <v>58.162389090128713</v>
      </c>
      <c r="AR24" s="84">
        <f ca="1">IF( AND(__Abono_Anticipado _Anterior = 0, __Ciclicas &lt;&gt; 1 ), __Pago_Proyectado _Anterior, SUM(__Componentes_Pago_Proyectado _Actual))</f>
        <v>723.74240138632535</v>
      </c>
      <c r="AS24" s="644">
        <f t="shared" ca="1" si="21"/>
        <v>665.58001229619663</v>
      </c>
      <c r="AT24" s="644">
        <f t="shared" ca="1" si="22"/>
        <v>665.58001229619674</v>
      </c>
      <c r="AV24" s="18">
        <f t="shared" ca="1" si="23"/>
        <v>1.7310234848252593</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Tablas'!H17</f>
        <v>181.62846000000002</v>
      </c>
      <c r="D25" s="619">
        <v>7</v>
      </c>
      <c r="F25" s="84">
        <f ca="1">MAX( __Saldo_Final _Anterior + __Saldo_Ciclico,0)</f>
        <v>4165.1832011696433</v>
      </c>
      <c r="G25" s="84">
        <f ca="1">MIN( CHOOSE(i.Opcion.Abono, __Capital_Opcion_1, __Capital_Opcion_2, __Capital_Opcion_3) _Actual, __Saldo_Inicial _Actual)</f>
        <v>673.59359564424301</v>
      </c>
      <c r="H25" s="84">
        <f t="shared" ca="1" si="0"/>
        <v>0</v>
      </c>
      <c r="I25" s="643">
        <f ca="1">MAX( __Capital_Elegida _Actual, __Stopper_Capital _Actual)</f>
        <v>673.59359564424301</v>
      </c>
      <c r="J25" s="647">
        <f t="shared" ca="1" si="1"/>
        <v>1.4925239804191222</v>
      </c>
      <c r="K25" s="647">
        <f t="shared" ca="1" si="2"/>
        <v>44.775719412573665</v>
      </c>
      <c r="L25" s="643">
        <f ca="1">Fechas!_Dias_Interes_Pago</f>
        <v>30</v>
      </c>
      <c r="M25" s="18">
        <f t="shared" ca="1" si="3"/>
        <v>44.775719412573665</v>
      </c>
      <c r="N25" s="18">
        <f t="shared" ca="1" si="4"/>
        <v>5.3730863295088396</v>
      </c>
      <c r="O25" s="18">
        <f t="shared" ca="1" si="5"/>
        <v>723.74240138632558</v>
      </c>
      <c r="P25" s="646">
        <f ca="1">T_Merger!__Salida_Abono_2</f>
        <v>0</v>
      </c>
      <c r="Q25" s="18">
        <f t="shared" ca="1" si="6"/>
        <v>3491.5896055254002</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723.74240138632547</v>
      </c>
      <c r="AG25" s="84">
        <f ca="1">MAX( __Saldo_Final_Original _Anterior + __Saldo_Ciclico, 0)</f>
        <v>4165.1832011696433</v>
      </c>
      <c r="AH25" s="18">
        <f t="shared" ca="1" si="14"/>
        <v>1.4925239804191222</v>
      </c>
      <c r="AI25" s="18">
        <f t="shared" ca="1" si="15"/>
        <v>44.775719412573665</v>
      </c>
      <c r="AJ25" s="18">
        <f t="shared" ca="1" si="16"/>
        <v>44.775719412573665</v>
      </c>
      <c r="AK25" s="18">
        <f t="shared" ca="1" si="17"/>
        <v>0</v>
      </c>
      <c r="AL25" s="644">
        <f ca="1">MAX( ((( __Pago_Fijo - (__Interes_Regular_Original * (1 + i.Iva.Intereses)) ))), __Stopper_Capital_Original _Actual )</f>
        <v>673.59359564424301</v>
      </c>
      <c r="AM25" s="84">
        <f ca="1">MAX(__Saldo_Inicial_Original _Actual - __Capital_Original _Actual, 0)</f>
        <v>3491.5896055254002</v>
      </c>
      <c r="AN25" s="618"/>
      <c r="AO25" s="18">
        <f t="shared" ca="1" si="18"/>
        <v>673.59359564424301</v>
      </c>
      <c r="AP25" s="18">
        <f t="shared" ca="1" si="19"/>
        <v>673.59359564424301</v>
      </c>
      <c r="AQ25" s="18">
        <f t="shared" ca="1" si="20"/>
        <v>50.148805742082509</v>
      </c>
      <c r="AR25" s="84">
        <f ca="1">IF( AND(__Abono_Anticipado _Anterior = 0, __Ciclicas &lt;&gt; 1 ), __Pago_Proyectado _Anterior, SUM(__Componentes_Pago_Proyectado _Actual))</f>
        <v>723.74240138632535</v>
      </c>
      <c r="AS25" s="644">
        <f t="shared" ca="1" si="21"/>
        <v>673.5935956442429</v>
      </c>
      <c r="AT25" s="644">
        <f t="shared" ca="1" si="22"/>
        <v>673.59359564424301</v>
      </c>
      <c r="AV25" s="18">
        <f t="shared" ca="1" si="23"/>
        <v>1.4925239804191222</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Tablas'!H18</f>
        <v>1</v>
      </c>
      <c r="D26" s="619">
        <v>8</v>
      </c>
      <c r="F26" s="84">
        <f ca="1">MAX( __Saldo_Final _Anterior + __Saldo_Ciclico,0)</f>
        <v>3491.5896055254002</v>
      </c>
      <c r="G26" s="84">
        <f ca="1">MIN( CHOOSE(i.Opcion.Abono, __Capital_Opcion_1, __Capital_Opcion_2, __Capital_Opcion_3) _Actual, __Saldo_Inicial _Actual)</f>
        <v>681.70366253579959</v>
      </c>
      <c r="H26" s="84">
        <f t="shared" ca="1" si="0"/>
        <v>0</v>
      </c>
      <c r="I26" s="643">
        <f ca="1">MAX( __Capital_Elegida _Actual, __Stopper_Capital _Actual)</f>
        <v>681.70366253579959</v>
      </c>
      <c r="J26" s="647">
        <f t="shared" ca="1" si="1"/>
        <v>1.251152941979935</v>
      </c>
      <c r="K26" s="647">
        <f t="shared" ca="1" si="2"/>
        <v>37.534588259398049</v>
      </c>
      <c r="L26" s="643">
        <f ca="1">Fechas!_Dias_Interes_Pago</f>
        <v>30</v>
      </c>
      <c r="M26" s="18">
        <f t="shared" ca="1" si="3"/>
        <v>37.534588259398049</v>
      </c>
      <c r="N26" s="18">
        <f t="shared" ca="1" si="4"/>
        <v>4.5041505911277655</v>
      </c>
      <c r="O26" s="18">
        <f t="shared" ca="1" si="5"/>
        <v>723.74240138632547</v>
      </c>
      <c r="P26" s="646">
        <f ca="1">T_Merger!__Salida_Abono_2</f>
        <v>0</v>
      </c>
      <c r="Q26" s="18">
        <f t="shared" ca="1" si="6"/>
        <v>2809.8859429896006</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723.74240138632547</v>
      </c>
      <c r="AG26" s="84">
        <f ca="1">MAX( __Saldo_Final_Original _Anterior + __Saldo_Ciclico, 0)</f>
        <v>3491.5896055254002</v>
      </c>
      <c r="AH26" s="18">
        <f t="shared" ca="1" si="14"/>
        <v>1.251152941979935</v>
      </c>
      <c r="AI26" s="18">
        <f t="shared" ca="1" si="15"/>
        <v>37.534588259398049</v>
      </c>
      <c r="AJ26" s="18">
        <f t="shared" ca="1" si="16"/>
        <v>37.534588259398049</v>
      </c>
      <c r="AK26" s="18">
        <f t="shared" ca="1" si="17"/>
        <v>0</v>
      </c>
      <c r="AL26" s="644">
        <f ca="1">MAX( ((( __Pago_Fijo - (__Interes_Regular_Original * (1 + i.Iva.Intereses)) ))), __Stopper_Capital_Original _Actual )</f>
        <v>681.70366253579959</v>
      </c>
      <c r="AM26" s="84">
        <f ca="1">MAX(__Saldo_Inicial_Original _Actual - __Capital_Original _Actual, 0)</f>
        <v>2809.8859429896006</v>
      </c>
      <c r="AN26" s="618"/>
      <c r="AO26" s="18">
        <f t="shared" ca="1" si="18"/>
        <v>681.70366253579959</v>
      </c>
      <c r="AP26" s="18">
        <f t="shared" ca="1" si="19"/>
        <v>681.70366253579994</v>
      </c>
      <c r="AQ26" s="18">
        <f t="shared" ca="1" si="20"/>
        <v>42.038738850525817</v>
      </c>
      <c r="AR26" s="84">
        <f ca="1">IF( AND(__Abono_Anticipado _Anterior = 0, __Ciclicas &lt;&gt; 1 ), __Pago_Proyectado _Anterior, SUM(__Componentes_Pago_Proyectado _Actual))</f>
        <v>723.74240138632535</v>
      </c>
      <c r="AS26" s="644">
        <f t="shared" ca="1" si="21"/>
        <v>681.70366253579959</v>
      </c>
      <c r="AT26" s="644">
        <f t="shared" ca="1" si="22"/>
        <v>681.70366253579959</v>
      </c>
      <c r="AV26" s="18">
        <f t="shared" ca="1" si="23"/>
        <v>1.251152941979935</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Tablas'!H19</f>
        <v>T_Merger!__Salida_Abono_2</v>
      </c>
      <c r="D27" s="619">
        <v>9</v>
      </c>
      <c r="F27" s="84">
        <f ca="1">MAX( __Saldo_Final _Anterior + __Saldo_Ciclico,0)</f>
        <v>2809.8859429896006</v>
      </c>
      <c r="G27" s="84">
        <f ca="1">MIN( CHOOSE(i.Opcion.Abono, __Capital_Opcion_1, __Capital_Opcion_2, __Capital_Opcion_3) _Actual, __Saldo_Inicial _Actual)</f>
        <v>689.91137463273071</v>
      </c>
      <c r="H27" s="84">
        <f t="shared" ca="1" si="0"/>
        <v>0</v>
      </c>
      <c r="I27" s="643">
        <f ca="1">MAX( __Capital_Elegida _Actual, __Stopper_Capital _Actual)</f>
        <v>689.91137463273071</v>
      </c>
      <c r="J27" s="647">
        <f t="shared" ca="1" si="1"/>
        <v>1.0068757962379402</v>
      </c>
      <c r="K27" s="647">
        <f t="shared" ca="1" si="2"/>
        <v>30.206273887138206</v>
      </c>
      <c r="L27" s="643">
        <f ca="1">Fechas!_Dias_Interes_Pago</f>
        <v>30</v>
      </c>
      <c r="M27" s="18">
        <f t="shared" ca="1" si="3"/>
        <v>30.206273887138206</v>
      </c>
      <c r="N27" s="18">
        <f t="shared" ca="1" si="4"/>
        <v>3.6247528664565847</v>
      </c>
      <c r="O27" s="18">
        <f t="shared" ca="1" si="5"/>
        <v>723.74240138632547</v>
      </c>
      <c r="P27" s="646">
        <f ca="1">T_Merger!__Salida_Abono_2</f>
        <v>0</v>
      </c>
      <c r="Q27" s="18">
        <f t="shared" ca="1" si="6"/>
        <v>2119.9745683568699</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723.74240138632547</v>
      </c>
      <c r="AG27" s="84">
        <f ca="1">MAX( __Saldo_Final_Original _Anterior + __Saldo_Ciclico, 0)</f>
        <v>2809.8859429896006</v>
      </c>
      <c r="AH27" s="18">
        <f t="shared" ca="1" si="14"/>
        <v>1.0068757962379402</v>
      </c>
      <c r="AI27" s="18">
        <f t="shared" ca="1" si="15"/>
        <v>30.206273887138206</v>
      </c>
      <c r="AJ27" s="18">
        <f t="shared" ca="1" si="16"/>
        <v>30.206273887138206</v>
      </c>
      <c r="AK27" s="18">
        <f t="shared" ca="1" si="17"/>
        <v>0</v>
      </c>
      <c r="AL27" s="644">
        <f ca="1">MAX( ((( __Pago_Fijo - (__Interes_Regular_Original * (1 + i.Iva.Intereses)) ))), __Stopper_Capital_Original _Actual )</f>
        <v>689.91137463273071</v>
      </c>
      <c r="AM27" s="84">
        <f ca="1">MAX(__Saldo_Inicial_Original _Actual - __Capital_Original _Actual, 0)</f>
        <v>2119.9745683568699</v>
      </c>
      <c r="AN27" s="618"/>
      <c r="AO27" s="18">
        <f t="shared" ca="1" si="18"/>
        <v>689.91137463273071</v>
      </c>
      <c r="AP27" s="18">
        <f t="shared" ca="1" si="19"/>
        <v>689.91137463273117</v>
      </c>
      <c r="AQ27" s="18">
        <f t="shared" ca="1" si="20"/>
        <v>33.831026753594792</v>
      </c>
      <c r="AR27" s="84">
        <f ca="1">IF( AND(__Abono_Anticipado _Anterior = 0, __Ciclicas &lt;&gt; 1 ), __Pago_Proyectado _Anterior, SUM(__Componentes_Pago_Proyectado _Actual))</f>
        <v>723.74240138632535</v>
      </c>
      <c r="AS27" s="644">
        <f t="shared" ca="1" si="21"/>
        <v>689.9113746327306</v>
      </c>
      <c r="AT27" s="644">
        <f t="shared" ca="1" si="22"/>
        <v>689.91137463273071</v>
      </c>
      <c r="AV27" s="18">
        <f t="shared" ca="1" si="23"/>
        <v>1.0068757962379402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Tablas'!H20</f>
        <v>-</v>
      </c>
      <c r="D28" s="619">
        <v>10</v>
      </c>
      <c r="F28" s="84">
        <f ca="1">MAX( __Saldo_Final _Anterior + __Saldo_Ciclico,0)</f>
        <v>2119.9745683568699</v>
      </c>
      <c r="G28" s="84">
        <f ca="1">MIN( CHOOSE(i.Opcion.Abono, __Capital_Opcion_1, __Capital_Opcion_2, __Capital_Opcion_3) _Actual, __Saldo_Inicial _Actual)</f>
        <v>698.21790758330872</v>
      </c>
      <c r="H28" s="84">
        <f t="shared" ca="1" si="0"/>
        <v>0</v>
      </c>
      <c r="I28" s="643">
        <f ca="1">MAX( __Capital_Elegida _Actual, __Stopper_Capital _Actual)</f>
        <v>698.21790758330872</v>
      </c>
      <c r="J28" s="647">
        <f t="shared" ca="1" si="1"/>
        <v>0.75965755366121168</v>
      </c>
      <c r="K28" s="647">
        <f t="shared" ca="1" si="2"/>
        <v>22.78972660983635</v>
      </c>
      <c r="L28" s="643">
        <f ca="1">Fechas!_Dias_Interes_Pago</f>
        <v>30</v>
      </c>
      <c r="M28" s="18">
        <f t="shared" ca="1" si="3"/>
        <v>22.78972660983635</v>
      </c>
      <c r="N28" s="18">
        <f t="shared" ca="1" si="4"/>
        <v>2.7347671931803621</v>
      </c>
      <c r="O28" s="18">
        <f t="shared" ca="1" si="5"/>
        <v>723.74240138632547</v>
      </c>
      <c r="P28" s="646">
        <f ca="1">T_Merger!__Salida_Abono_2</f>
        <v>0</v>
      </c>
      <c r="Q28" s="18">
        <f t="shared" ca="1" si="6"/>
        <v>1421.7566607735612</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723.74240138632547</v>
      </c>
      <c r="AG28" s="84">
        <f ca="1">MAX( __Saldo_Final_Original _Anterior + __Saldo_Ciclico, 0)</f>
        <v>2119.9745683568699</v>
      </c>
      <c r="AH28" s="18">
        <f t="shared" ca="1" si="14"/>
        <v>0.75965755366121168</v>
      </c>
      <c r="AI28" s="18">
        <f t="shared" ca="1" si="15"/>
        <v>22.78972660983635</v>
      </c>
      <c r="AJ28" s="18">
        <f t="shared" ca="1" si="16"/>
        <v>22.78972660983635</v>
      </c>
      <c r="AK28" s="18">
        <f t="shared" ca="1" si="17"/>
        <v>0</v>
      </c>
      <c r="AL28" s="644">
        <f ca="1">MAX( ((( __Pago_Fijo - (__Interes_Regular_Original * (1 + i.Iva.Intereses)) ))), __Stopper_Capital_Original _Actual )</f>
        <v>698.21790758330872</v>
      </c>
      <c r="AM28" s="84">
        <f ca="1">MAX(__Saldo_Inicial_Original _Actual - __Capital_Original _Actual, 0)</f>
        <v>1421.7566607735612</v>
      </c>
      <c r="AN28" s="618"/>
      <c r="AO28" s="18">
        <f t="shared" ca="1" si="18"/>
        <v>698.21790758330872</v>
      </c>
      <c r="AP28" s="18">
        <f t="shared" ca="1" si="19"/>
        <v>698.2179075833094</v>
      </c>
      <c r="AQ28" s="18">
        <f t="shared" ca="1" si="20"/>
        <v>25.524493803016714</v>
      </c>
      <c r="AR28" s="84">
        <f ca="1">IF( AND(__Abono_Anticipado _Anterior = 0, __Ciclicas &lt;&gt; 1 ), __Pago_Proyectado _Anterior, SUM(__Componentes_Pago_Proyectado _Actual))</f>
        <v>723.74240138632535</v>
      </c>
      <c r="AS28" s="644">
        <f t="shared" ca="1" si="21"/>
        <v>698.2179075833086</v>
      </c>
      <c r="AT28" s="644">
        <f t="shared" ca="1" si="22"/>
        <v>698.21790758330872</v>
      </c>
      <c r="AV28" s="18">
        <f t="shared" ca="1" si="23"/>
        <v>0.75965755366121168</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1421.7566607735612</v>
      </c>
      <c r="G29" s="84">
        <f ca="1">MIN( CHOOSE(i.Opcion.Abono, __Capital_Opcion_1, __Capital_Opcion_2, __Capital_Opcion_3) _Actual, __Saldo_Inicial _Actual)</f>
        <v>706.62445119061181</v>
      </c>
      <c r="H29" s="84">
        <f t="shared" ca="1" si="0"/>
        <v>0</v>
      </c>
      <c r="I29" s="643">
        <f ca="1">MAX( __Capital_Elegida _Actual, __Stopper_Capital _Actual)</f>
        <v>706.62445119061181</v>
      </c>
      <c r="J29" s="647">
        <f t="shared" ca="1" si="1"/>
        <v>0.50946280344385941</v>
      </c>
      <c r="K29" s="647">
        <f t="shared" ca="1" si="2"/>
        <v>15.283884103315783</v>
      </c>
      <c r="L29" s="643">
        <f ca="1">Fechas!_Dias_Interes_Pago</f>
        <v>30</v>
      </c>
      <c r="M29" s="18">
        <f t="shared" ca="1" si="3"/>
        <v>15.283884103315783</v>
      </c>
      <c r="N29" s="18">
        <f t="shared" ca="1" si="4"/>
        <v>1.834066092397894</v>
      </c>
      <c r="O29" s="18">
        <f t="shared" ca="1" si="5"/>
        <v>723.74240138632547</v>
      </c>
      <c r="P29" s="646">
        <f ca="1">T_Merger!__Salida_Abono_2</f>
        <v>0</v>
      </c>
      <c r="Q29" s="18">
        <f t="shared" ca="1" si="6"/>
        <v>715.13220958294937</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723.74240138632547</v>
      </c>
      <c r="AG29" s="84">
        <f ca="1">MAX( __Saldo_Final_Original _Anterior + __Saldo_Ciclico, 0)</f>
        <v>1421.7566607735612</v>
      </c>
      <c r="AH29" s="18">
        <f t="shared" ca="1" si="14"/>
        <v>0.50946280344385941</v>
      </c>
      <c r="AI29" s="18">
        <f t="shared" ca="1" si="15"/>
        <v>15.283884103315783</v>
      </c>
      <c r="AJ29" s="18">
        <f t="shared" ca="1" si="16"/>
        <v>15.283884103315783</v>
      </c>
      <c r="AK29" s="18">
        <f t="shared" ca="1" si="17"/>
        <v>0</v>
      </c>
      <c r="AL29" s="644">
        <f ca="1">MAX( ((( __Pago_Fijo - (__Interes_Regular_Original * (1 + i.Iva.Intereses)) ))), __Stopper_Capital_Original _Actual )</f>
        <v>706.62445119061181</v>
      </c>
      <c r="AM29" s="84">
        <f ca="1">MAX(__Saldo_Inicial_Original _Actual - __Capital_Original _Actual, 0)</f>
        <v>715.13220958294937</v>
      </c>
      <c r="AN29" s="618"/>
      <c r="AO29" s="18">
        <f t="shared" ca="1" si="18"/>
        <v>706.62445119061181</v>
      </c>
      <c r="AP29" s="18">
        <f t="shared" ca="1" si="19"/>
        <v>706.62445119061294</v>
      </c>
      <c r="AQ29" s="18">
        <f t="shared" ca="1" si="20"/>
        <v>17.117950195713679</v>
      </c>
      <c r="AR29" s="84">
        <f ca="1">IF( AND(__Abono_Anticipado _Anterior = 0, __Ciclicas &lt;&gt; 1 ), __Pago_Proyectado _Anterior, SUM(__Componentes_Pago_Proyectado _Actual))</f>
        <v>723.74240138632535</v>
      </c>
      <c r="AS29" s="644">
        <f t="shared" ca="1" si="21"/>
        <v>706.62445119061169</v>
      </c>
      <c r="AT29" s="644">
        <f t="shared" ca="1" si="22"/>
        <v>706.62445119061181</v>
      </c>
      <c r="AV29" s="18">
        <f t="shared" ca="1" si="23"/>
        <v>0.50946280344385941</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715.13220958294937</v>
      </c>
      <c r="G30" s="84">
        <f ca="1">MIN( CHOOSE(i.Opcion.Abono, __Capital_Opcion_1, __Capital_Opcion_2, __Capital_Opcion_3) _Actual, __Saldo_Inicial _Actual)</f>
        <v>715.13220958294937</v>
      </c>
      <c r="H30" s="84">
        <f t="shared" ca="1" si="0"/>
        <v>715.13220958294937</v>
      </c>
      <c r="I30" s="643">
        <f ca="1">MAX( __Capital_Elegida _Actual, __Stopper_Capital _Actual)</f>
        <v>715.13220958294937</v>
      </c>
      <c r="J30" s="647">
        <f t="shared" ca="1" si="1"/>
        <v>0.25625570843389017</v>
      </c>
      <c r="K30" s="647">
        <f t="shared" ca="1" si="2"/>
        <v>7.6876712530167053</v>
      </c>
      <c r="L30" s="643">
        <f ca="1">Fechas!_Dias_Interes_Pago</f>
        <v>30</v>
      </c>
      <c r="M30" s="18">
        <f t="shared" ca="1" si="3"/>
        <v>7.6876712530167053</v>
      </c>
      <c r="N30" s="18">
        <f t="shared" ca="1" si="4"/>
        <v>0.92252055036200464</v>
      </c>
      <c r="O30" s="18">
        <f t="shared" ca="1" si="5"/>
        <v>723.74240138632808</v>
      </c>
      <c r="P30" s="646">
        <f ca="1">T_Merger!__Salida_Abono_2</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723.74240138632547</v>
      </c>
      <c r="AG30" s="84">
        <f ca="1">MAX( __Saldo_Final_Original _Anterior + __Saldo_Ciclico, 0)</f>
        <v>715.13220958294937</v>
      </c>
      <c r="AH30" s="18">
        <f t="shared" ca="1" si="14"/>
        <v>0.25625570843389017</v>
      </c>
      <c r="AI30" s="18">
        <f t="shared" ca="1" si="15"/>
        <v>7.6876712530167053</v>
      </c>
      <c r="AJ30" s="18">
        <f t="shared" ca="1" si="16"/>
        <v>7.6876712530167053</v>
      </c>
      <c r="AK30" s="18">
        <f t="shared" ca="1" si="17"/>
        <v>715.13220958294937</v>
      </c>
      <c r="AL30" s="644">
        <f ca="1">MAX( ((( __Pago_Fijo - (__Interes_Regular_Original * (1 + i.Iva.Intereses)) ))), __Stopper_Capital_Original _Actual )</f>
        <v>715.13220958294937</v>
      </c>
      <c r="AM30" s="84">
        <f ca="1">MAX(__Saldo_Inicial_Original _Actual - __Capital_Original _Actual, 0)</f>
        <v>0</v>
      </c>
      <c r="AN30" s="618"/>
      <c r="AO30" s="18">
        <f t="shared" ca="1" si="18"/>
        <v>715.13220958294937</v>
      </c>
      <c r="AP30" s="18">
        <f t="shared" ca="1" si="19"/>
        <v>715.13220958294926</v>
      </c>
      <c r="AQ30" s="18">
        <f t="shared" ca="1" si="20"/>
        <v>8.6101918033787115</v>
      </c>
      <c r="AR30" s="84">
        <f ca="1">IF( AND(__Abono_Anticipado _Anterior = 0, __Ciclicas &lt;&gt; 1 ), __Pago_Proyectado _Anterior, SUM(__Componentes_Pago_Proyectado _Actual))</f>
        <v>723.74240138632535</v>
      </c>
      <c r="AS30" s="644">
        <f t="shared" ca="1" si="21"/>
        <v>715.13220958294664</v>
      </c>
      <c r="AT30" s="644">
        <f t="shared" ca="1" si="22"/>
        <v>715.13220958294676</v>
      </c>
      <c r="AV30" s="18">
        <f t="shared" ca="1" si="23"/>
        <v>0.25625570843389017</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T_Merger!__Salida_Abono_2</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T_Merger!__Salida_Abono_2</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T_Merger!__Salida_Abono_2</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T_Merger!__Salida_Abono_2</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T_Merger!__Salida_Abono_2</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1</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T_Merger!__Salida_Abono_2</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181.62846000000002</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T_Merger!__Salida_Abono_2</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T_Merger!__Salida_Abono_2</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T_Merger!__Salida_Abono_2</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T_Merger!__Salida_Abono_2</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T_Merger!__Salida_Abono_2</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T_Merger!__Salida_Abono_2</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612.760249007011</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707.39619494301098</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14.159399784914447</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16.346206443314447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Tablas'!B27</f>
        <v>141000</v>
      </c>
      <c r="E16" s="618"/>
      <c r="X16" s="619"/>
      <c r="AP16" s="619"/>
      <c r="AQ16" s="619"/>
      <c r="AR16" s="619"/>
      <c r="AS16" s="619"/>
      <c r="AT16" s="619"/>
      <c r="AW16" s="619"/>
      <c r="AX16" s="619"/>
      <c r="AY16" s="619"/>
    </row>
    <row r="17" spans="1:51" x14ac:dyDescent="0.3">
      <c r="A17" s="215" t="s">
        <v>20</v>
      </c>
      <c r="B17" s="626">
        <f>'Configuración de Tablas'!B28</f>
        <v>30</v>
      </c>
      <c r="D17" s="620"/>
      <c r="E17" s="618"/>
      <c r="P17" s="261">
        <f ca="1">SUM(__Interes)</f>
        <v>10169.526180951516</v>
      </c>
      <c r="R17" s="261">
        <f ca="1">SUM(__Iva)</f>
        <v>1220.3431417141815</v>
      </c>
      <c r="T17" s="261"/>
      <c r="U17" s="261"/>
      <c r="V17" s="261">
        <f ca="1">SUM(__Capital)</f>
        <v>141000.00000000003</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Tablas'!B29</f>
        <v>12</v>
      </c>
      <c r="E18" s="618"/>
      <c r="X18" s="619"/>
      <c r="AP18" s="619"/>
      <c r="AQ18" s="619"/>
      <c r="AR18" s="619"/>
      <c r="AS18" s="619"/>
      <c r="AT18" s="619"/>
      <c r="AW18" s="619"/>
      <c r="AX18" s="619"/>
      <c r="AY18" s="619"/>
    </row>
    <row r="19" spans="1:51" x14ac:dyDescent="0.3">
      <c r="A19" s="215" t="s">
        <v>1660</v>
      </c>
      <c r="B19" s="626">
        <f ca="1">'Configuración de Tablas'!B30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12689.724443555469</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32</v>
      </c>
      <c r="P19" s="18">
        <f t="shared" ref="P19:P82" ca="1" si="6" xml:space="preserve"> __Interes_Diario * __Dias_Interes_Periodo</f>
        <v>1616.8</v>
      </c>
      <c r="R19" s="18">
        <f t="shared" ref="R19:R82" ca="1" si="7" xml:space="preserve"> __Interes * i.Iva.Intereses</f>
        <v>194.01599999999999</v>
      </c>
      <c r="T19" s="84">
        <f t="shared" ref="T19:T82" ca="1" si="8" xml:space="preserve"> __Pago_Fijo - ( __Interes_Periodo_Regular * ( 1 + i.Iva.Intereses ) )</f>
        <v>10992.08444355547</v>
      </c>
      <c r="U19" s="84">
        <f t="shared" ref="U19:U82" ca="1" si="9">__Saldo_Inicial * ( __Amortizacion = i.Numero.Pagos )</f>
        <v>0</v>
      </c>
      <c r="V19" s="84">
        <f ca="1">MAX( __Calculo_Capital _Actual, __Stopper_Capital _Actual )</f>
        <v>10992.08444355547</v>
      </c>
      <c r="X19" s="84">
        <f t="shared" ref="X19:X82" ca="1" si="10" xml:space="preserve"> __Capital + __Interes + __Iva</f>
        <v>12802.900443555469</v>
      </c>
      <c r="Z19" s="84">
        <f ca="1">MAX(__Saldo_Inicial _Actual - __Capital _Actual, 0)</f>
        <v>130007.91555644452</v>
      </c>
      <c r="AB19" s="216">
        <f>Fechas!_Dias_Interes_CAT</f>
        <v>30</v>
      </c>
      <c r="AC19" s="84">
        <f t="shared" ref="AC19:AC82" ca="1" si="11" xml:space="preserve"> __Interes_Diario * __Dias_Cat</f>
        <v>1515.75</v>
      </c>
      <c r="AD19" s="217">
        <f t="shared" ref="AD19:AD82" ca="1" si="12" xml:space="preserve"> __Capital + __Interes_CAT</f>
        <v>12507.83444355547</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Tablas'!B31</f>
        <v>0.12</v>
      </c>
      <c r="D20" s="619">
        <v>2</v>
      </c>
      <c r="E20" s="619">
        <f t="shared" ca="1" si="0"/>
        <v>2</v>
      </c>
      <c r="F20" s="30">
        <f t="shared" ca="1" si="1"/>
        <v>1</v>
      </c>
      <c r="H20" s="18">
        <f t="shared" ca="1" si="2"/>
        <v>0</v>
      </c>
      <c r="I20" s="84">
        <f t="shared" ca="1" si="3"/>
        <v>12689.724443555469</v>
      </c>
      <c r="K20" s="84">
        <f ca="1">MAX( __Saldo_Final _Anterior + __Saldo_Ciclico, 0)</f>
        <v>130007.91555644452</v>
      </c>
      <c r="M20" s="18">
        <f t="shared" ca="1" si="4"/>
        <v>46.586169741059287</v>
      </c>
      <c r="N20" s="18">
        <f t="shared" ca="1" si="5"/>
        <v>1397.5850922317786</v>
      </c>
      <c r="O20" s="18">
        <f ca="1">Fechas!_Dias_Interes_Pago</f>
        <v>30</v>
      </c>
      <c r="P20" s="18">
        <f t="shared" ca="1" si="6"/>
        <v>1397.5850922317786</v>
      </c>
      <c r="R20" s="84">
        <f t="shared" ca="1" si="7"/>
        <v>167.71021106781342</v>
      </c>
      <c r="T20" s="84">
        <f t="shared" ca="1" si="8"/>
        <v>11124.429140255877</v>
      </c>
      <c r="U20" s="84">
        <f t="shared" ca="1" si="9"/>
        <v>0</v>
      </c>
      <c r="V20" s="84">
        <f ca="1">MAX( __Calculo_Capital _Actual, __Stopper_Capital _Actual )</f>
        <v>11124.429140255877</v>
      </c>
      <c r="X20" s="84">
        <f t="shared" ca="1" si="10"/>
        <v>12689.724443555469</v>
      </c>
      <c r="Z20" s="84">
        <f ca="1">MAX(__Saldo_Inicial _Actual - __Capital _Actual, 0)</f>
        <v>118883.48641618865</v>
      </c>
      <c r="AB20" s="216">
        <f>Fechas!_Dias_Interes_CAT</f>
        <v>30</v>
      </c>
      <c r="AC20" s="84">
        <f t="shared" ca="1" si="11"/>
        <v>1397.5850922317786</v>
      </c>
      <c r="AD20" s="217">
        <f t="shared" ca="1" si="12"/>
        <v>12522.014232487656</v>
      </c>
      <c r="AE20" s="620"/>
      <c r="AF20" s="620"/>
      <c r="AI20" s="89" t="s">
        <v>59</v>
      </c>
      <c r="AP20" s="619"/>
      <c r="AQ20" s="619"/>
      <c r="AR20" s="619"/>
      <c r="AS20" s="619"/>
      <c r="AT20" s="619"/>
      <c r="AW20" s="619"/>
      <c r="AX20" s="619"/>
      <c r="AY20" s="619"/>
    </row>
    <row r="21" spans="1:51" x14ac:dyDescent="0.3">
      <c r="A21" s="215" t="s">
        <v>1647</v>
      </c>
      <c r="B21" s="633">
        <f ca="1">'Configuración de Tablas'!B32</f>
        <v>0.129</v>
      </c>
      <c r="D21" s="619">
        <v>3</v>
      </c>
      <c r="E21" s="619">
        <f t="shared" ca="1" si="0"/>
        <v>3</v>
      </c>
      <c r="F21" s="30">
        <f t="shared" ca="1" si="1"/>
        <v>1</v>
      </c>
      <c r="H21" s="18">
        <f t="shared" ca="1" si="2"/>
        <v>0</v>
      </c>
      <c r="I21" s="84">
        <f t="shared" ca="1" si="3"/>
        <v>12689.724443555469</v>
      </c>
      <c r="K21" s="84">
        <f ca="1">MAX( __Saldo_Final _Anterior + __Saldo_Ciclico, 0)</f>
        <v>118883.48641618865</v>
      </c>
      <c r="M21" s="18">
        <f t="shared" ca="1" si="4"/>
        <v>42.599915965800932</v>
      </c>
      <c r="N21" s="18">
        <f t="shared" ca="1" si="5"/>
        <v>1277.9974789740279</v>
      </c>
      <c r="O21" s="18">
        <f ca="1">Fechas!_Dias_Interes_Pago</f>
        <v>30</v>
      </c>
      <c r="P21" s="18">
        <f t="shared" ca="1" si="6"/>
        <v>1277.9974789740279</v>
      </c>
      <c r="R21" s="84">
        <f t="shared" ca="1" si="7"/>
        <v>153.35969747688335</v>
      </c>
      <c r="T21" s="84">
        <f t="shared" ca="1" si="8"/>
        <v>11258.367267104559</v>
      </c>
      <c r="U21" s="84">
        <f t="shared" ca="1" si="9"/>
        <v>0</v>
      </c>
      <c r="V21" s="84">
        <f ca="1">MAX( __Calculo_Capital _Actual, __Stopper_Capital _Actual )</f>
        <v>11258.367267104559</v>
      </c>
      <c r="X21" s="84">
        <f t="shared" ca="1" si="10"/>
        <v>12689.724443555469</v>
      </c>
      <c r="Z21" s="84">
        <f ca="1">MAX(__Saldo_Inicial _Actual - __Capital _Actual, 0)</f>
        <v>107625.11914908409</v>
      </c>
      <c r="AB21" s="216">
        <f>Fechas!_Dias_Interes_CAT</f>
        <v>30</v>
      </c>
      <c r="AC21" s="84">
        <f t="shared" ca="1" si="11"/>
        <v>1277.9974789740279</v>
      </c>
      <c r="AD21" s="217">
        <f t="shared" ca="1" si="12"/>
        <v>12536.364746078587</v>
      </c>
      <c r="AE21" s="620"/>
      <c r="AF21" s="620"/>
      <c r="AG21" s="620"/>
      <c r="AI21" s="89" t="s">
        <v>61</v>
      </c>
      <c r="AP21" s="619"/>
      <c r="AQ21" s="619"/>
      <c r="AR21" s="619"/>
      <c r="AS21" s="619"/>
      <c r="AT21" s="619"/>
      <c r="AW21" s="619"/>
      <c r="AX21" s="619"/>
      <c r="AY21" s="619"/>
    </row>
    <row r="22" spans="1:51" x14ac:dyDescent="0.3">
      <c r="A22" s="215" t="s">
        <v>14</v>
      </c>
      <c r="B22" s="627">
        <f>'Configuración de Tablas'!B33</f>
        <v>360</v>
      </c>
      <c r="D22" s="619">
        <v>4</v>
      </c>
      <c r="E22" s="619">
        <f t="shared" ca="1" si="0"/>
        <v>4</v>
      </c>
      <c r="F22" s="30">
        <f t="shared" ca="1" si="1"/>
        <v>1</v>
      </c>
      <c r="H22" s="18">
        <f t="shared" ca="1" si="2"/>
        <v>0</v>
      </c>
      <c r="I22" s="84">
        <f t="shared" ca="1" si="3"/>
        <v>12689.724443555469</v>
      </c>
      <c r="K22" s="84">
        <f ca="1">MAX( __Saldo_Final _Anterior + __Saldo_Ciclico, 0)</f>
        <v>107625.11914908409</v>
      </c>
      <c r="M22" s="18">
        <f t="shared" ca="1" si="4"/>
        <v>38.565667695088464</v>
      </c>
      <c r="N22" s="18">
        <f t="shared" ca="1" si="5"/>
        <v>1156.970030852654</v>
      </c>
      <c r="O22" s="18">
        <f ca="1">Fechas!_Dias_Interes_Pago</f>
        <v>30</v>
      </c>
      <c r="P22" s="18">
        <f t="shared" ca="1" si="6"/>
        <v>1156.970030852654</v>
      </c>
      <c r="R22" s="84">
        <f t="shared" ca="1" si="7"/>
        <v>138.83640370231848</v>
      </c>
      <c r="T22" s="84">
        <f t="shared" ca="1" si="8"/>
        <v>11393.918009000497</v>
      </c>
      <c r="U22" s="84">
        <f t="shared" ca="1" si="9"/>
        <v>0</v>
      </c>
      <c r="V22" s="84">
        <f ca="1">MAX( __Calculo_Capital _Actual, __Stopper_Capital _Actual )</f>
        <v>11393.918009000497</v>
      </c>
      <c r="X22" s="84">
        <f t="shared" ca="1" si="10"/>
        <v>12689.724443555469</v>
      </c>
      <c r="Z22" s="84">
        <f ca="1">MAX(__Saldo_Inicial _Actual - __Capital _Actual, 0)</f>
        <v>96231.201140083591</v>
      </c>
      <c r="AB22" s="216">
        <f>Fechas!_Dias_Interes_CAT</f>
        <v>30</v>
      </c>
      <c r="AC22" s="84">
        <f t="shared" ca="1" si="11"/>
        <v>1156.970030852654</v>
      </c>
      <c r="AD22" s="217">
        <f t="shared" ca="1" si="12"/>
        <v>12550.888039853151</v>
      </c>
      <c r="AE22" s="620"/>
      <c r="AF22" s="620"/>
      <c r="AG22" s="620"/>
      <c r="AI22" s="89" t="s">
        <v>63</v>
      </c>
      <c r="AP22" s="619"/>
      <c r="AQ22" s="619"/>
      <c r="AR22" s="619"/>
      <c r="AS22" s="619"/>
      <c r="AT22" s="619"/>
      <c r="AW22" s="619"/>
      <c r="AX22" s="619"/>
      <c r="AY22" s="619"/>
    </row>
    <row r="23" spans="1:51" x14ac:dyDescent="0.3">
      <c r="A23" s="89" t="s">
        <v>42</v>
      </c>
      <c r="B23" s="634" t="str">
        <f>'Configuración de Tablas'!B34</f>
        <v>Fechas!_Dias_Interes_Pago</v>
      </c>
      <c r="D23" s="619">
        <v>5</v>
      </c>
      <c r="E23" s="619">
        <f t="shared" ca="1" si="0"/>
        <v>5</v>
      </c>
      <c r="F23" s="30">
        <f t="shared" ca="1" si="1"/>
        <v>1</v>
      </c>
      <c r="H23" s="18">
        <f t="shared" ca="1" si="2"/>
        <v>0</v>
      </c>
      <c r="I23" s="84">
        <f t="shared" ca="1" si="3"/>
        <v>12689.724443555469</v>
      </c>
      <c r="K23" s="84">
        <f ca="1">MAX( __Saldo_Final _Anterior + __Saldo_Ciclico, 0)</f>
        <v>96231.201140083591</v>
      </c>
      <c r="M23" s="18">
        <f t="shared" ca="1" si="4"/>
        <v>34.482847075196624</v>
      </c>
      <c r="N23" s="18">
        <f t="shared" ca="1" si="5"/>
        <v>1034.4854122558986</v>
      </c>
      <c r="O23" s="18">
        <f ca="1">Fechas!_Dias_Interes_Pago</f>
        <v>30</v>
      </c>
      <c r="P23" s="18">
        <f t="shared" ca="1" si="6"/>
        <v>1034.4854122558986</v>
      </c>
      <c r="R23" s="84">
        <f t="shared" ca="1" si="7"/>
        <v>124.13824947070783</v>
      </c>
      <c r="T23" s="84">
        <f t="shared" ca="1" si="8"/>
        <v>11531.100781828864</v>
      </c>
      <c r="U23" s="84">
        <f t="shared" ca="1" si="9"/>
        <v>0</v>
      </c>
      <c r="V23" s="84">
        <f ca="1">MAX( __Calculo_Capital _Actual, __Stopper_Capital _Actual )</f>
        <v>11531.100781828864</v>
      </c>
      <c r="X23" s="84">
        <f t="shared" ca="1" si="10"/>
        <v>12689.724443555471</v>
      </c>
      <c r="Z23" s="84">
        <f ca="1">MAX(__Saldo_Inicial _Actual - __Capital _Actual, 0)</f>
        <v>84700.100358254727</v>
      </c>
      <c r="AB23" s="216">
        <f>Fechas!_Dias_Interes_CAT</f>
        <v>30</v>
      </c>
      <c r="AC23" s="84">
        <f t="shared" ca="1" si="11"/>
        <v>1034.4854122558986</v>
      </c>
      <c r="AD23" s="217">
        <f t="shared" ca="1" si="12"/>
        <v>12565.586194084763</v>
      </c>
      <c r="AE23" s="620"/>
      <c r="AF23" s="620"/>
      <c r="AG23" s="620" t="s">
        <v>46</v>
      </c>
      <c r="AI23" s="89" t="s">
        <v>65</v>
      </c>
      <c r="AP23" s="619"/>
      <c r="AQ23" s="619"/>
      <c r="AR23" s="619"/>
      <c r="AS23" s="619"/>
      <c r="AT23" s="619"/>
      <c r="AW23" s="619"/>
      <c r="AX23" s="619"/>
      <c r="AY23" s="619"/>
    </row>
    <row r="24" spans="1:51" x14ac:dyDescent="0.3">
      <c r="A24" s="89" t="s">
        <v>43</v>
      </c>
      <c r="B24" s="635" t="b">
        <f>'Configuración de Tablas'!B35</f>
        <v>0</v>
      </c>
      <c r="D24" s="619">
        <v>6</v>
      </c>
      <c r="E24" s="619">
        <f t="shared" ca="1" si="0"/>
        <v>6</v>
      </c>
      <c r="F24" s="30">
        <f t="shared" ca="1" si="1"/>
        <v>1</v>
      </c>
      <c r="H24" s="18">
        <f t="shared" ca="1" si="2"/>
        <v>0</v>
      </c>
      <c r="I24" s="84">
        <f t="shared" ca="1" si="3"/>
        <v>12689.724443555469</v>
      </c>
      <c r="K24" s="84">
        <f ca="1">MAX( __Saldo_Final _Anterior + __Saldo_Ciclico, 0)</f>
        <v>84700.100358254727</v>
      </c>
      <c r="M24" s="18">
        <f t="shared" ca="1" si="4"/>
        <v>30.350869295041278</v>
      </c>
      <c r="N24" s="18">
        <f t="shared" ca="1" si="5"/>
        <v>910.52607885123837</v>
      </c>
      <c r="O24" s="18">
        <f ca="1">Fechas!_Dias_Interes_Pago</f>
        <v>30</v>
      </c>
      <c r="P24" s="18">
        <f t="shared" ca="1" si="6"/>
        <v>910.52607885123837</v>
      </c>
      <c r="R24" s="84">
        <f t="shared" ca="1" si="7"/>
        <v>109.2631294621486</v>
      </c>
      <c r="T24" s="84">
        <f t="shared" ca="1" si="8"/>
        <v>11669.935235242083</v>
      </c>
      <c r="U24" s="84">
        <f t="shared" ca="1" si="9"/>
        <v>0</v>
      </c>
      <c r="V24" s="84">
        <f ca="1">MAX( __Calculo_Capital _Actual, __Stopper_Capital _Actual )</f>
        <v>11669.935235242083</v>
      </c>
      <c r="X24" s="84">
        <f t="shared" ca="1" si="10"/>
        <v>12689.724443555469</v>
      </c>
      <c r="Z24" s="84">
        <f ca="1">MAX(__Saldo_Inicial _Actual - __Capital _Actual, 0)</f>
        <v>73030.165123012644</v>
      </c>
      <c r="AB24" s="216">
        <f>Fechas!_Dias_Interes_CAT</f>
        <v>30</v>
      </c>
      <c r="AC24" s="84">
        <f t="shared" ca="1" si="11"/>
        <v>910.52607885123837</v>
      </c>
      <c r="AD24" s="217">
        <f t="shared" ca="1" si="12"/>
        <v>12580.461314093322</v>
      </c>
      <c r="AE24" s="620"/>
      <c r="AF24" s="620"/>
      <c r="AI24" s="89" t="s">
        <v>78</v>
      </c>
      <c r="AP24" s="619"/>
      <c r="AQ24" s="619"/>
      <c r="AR24" s="619"/>
      <c r="AS24" s="619"/>
      <c r="AT24" s="619"/>
      <c r="AW24" s="619"/>
      <c r="AX24" s="619"/>
      <c r="AY24" s="619"/>
    </row>
    <row r="25" spans="1:51" x14ac:dyDescent="0.3">
      <c r="A25" s="89" t="s">
        <v>44</v>
      </c>
      <c r="B25" s="627">
        <f>'Configuración de Tablas'!B36</f>
        <v>0</v>
      </c>
      <c r="D25" s="619">
        <v>7</v>
      </c>
      <c r="E25" s="619">
        <f t="shared" ca="1" si="0"/>
        <v>7</v>
      </c>
      <c r="F25" s="30">
        <f t="shared" ca="1" si="1"/>
        <v>1</v>
      </c>
      <c r="H25" s="18">
        <f t="shared" ca="1" si="2"/>
        <v>0</v>
      </c>
      <c r="I25" s="84">
        <f t="shared" ca="1" si="3"/>
        <v>12689.724443555469</v>
      </c>
      <c r="K25" s="84">
        <f ca="1">MAX( __Saldo_Final _Anterior + __Saldo_Ciclico, 0)</f>
        <v>73030.165123012644</v>
      </c>
      <c r="M25" s="18">
        <f t="shared" ca="1" si="4"/>
        <v>26.169142502412864</v>
      </c>
      <c r="N25" s="18">
        <f t="shared" ca="1" si="5"/>
        <v>785.07427507238594</v>
      </c>
      <c r="O25" s="18">
        <f ca="1">Fechas!_Dias_Interes_Pago</f>
        <v>30</v>
      </c>
      <c r="P25" s="18">
        <f t="shared" ca="1" si="6"/>
        <v>785.07427507238594</v>
      </c>
      <c r="R25" s="84">
        <f t="shared" ca="1" si="7"/>
        <v>94.208913008686309</v>
      </c>
      <c r="T25" s="84">
        <f t="shared" ca="1" si="8"/>
        <v>11810.441255474398</v>
      </c>
      <c r="U25" s="84">
        <f t="shared" ca="1" si="9"/>
        <v>0</v>
      </c>
      <c r="V25" s="84">
        <f ca="1">MAX( __Calculo_Capital _Actual, __Stopper_Capital _Actual )</f>
        <v>11810.441255474398</v>
      </c>
      <c r="X25" s="84">
        <f t="shared" ca="1" si="10"/>
        <v>12689.724443555469</v>
      </c>
      <c r="Z25" s="84">
        <f ca="1">MAX(__Saldo_Inicial _Actual - __Capital _Actual, 0)</f>
        <v>61219.723867538247</v>
      </c>
      <c r="AB25" s="216">
        <f>Fechas!_Dias_Interes_CAT</f>
        <v>30</v>
      </c>
      <c r="AC25" s="84">
        <f t="shared" ca="1" si="11"/>
        <v>785.07427507238594</v>
      </c>
      <c r="AD25" s="217">
        <f t="shared" ca="1" si="12"/>
        <v>12595.515530546783</v>
      </c>
      <c r="AE25" s="620"/>
      <c r="AF25" s="620"/>
      <c r="AI25" s="89" t="s">
        <v>80</v>
      </c>
      <c r="AP25" s="619"/>
      <c r="AQ25" s="619"/>
      <c r="AR25" s="619"/>
      <c r="AS25" s="619"/>
      <c r="AT25" s="619"/>
      <c r="AW25" s="619"/>
      <c r="AX25" s="619"/>
      <c r="AY25" s="619"/>
    </row>
    <row r="26" spans="1:51" x14ac:dyDescent="0.3">
      <c r="A26" s="89" t="s">
        <v>45</v>
      </c>
      <c r="B26" s="627" t="str">
        <f>'Configuración de Tablas'!B37</f>
        <v>Fechas!_Dias_Interes_CAT</v>
      </c>
      <c r="D26" s="619">
        <v>8</v>
      </c>
      <c r="E26" s="619">
        <f t="shared" ca="1" si="0"/>
        <v>8</v>
      </c>
      <c r="F26" s="30">
        <f t="shared" ca="1" si="1"/>
        <v>1</v>
      </c>
      <c r="H26" s="18">
        <f t="shared" ca="1" si="2"/>
        <v>0</v>
      </c>
      <c r="I26" s="84">
        <f t="shared" ca="1" si="3"/>
        <v>12689.724443555469</v>
      </c>
      <c r="K26" s="84">
        <f ca="1">MAX( __Saldo_Final _Anterior + __Saldo_Ciclico, 0)</f>
        <v>61219.723867538247</v>
      </c>
      <c r="M26" s="18">
        <f t="shared" ca="1" si="4"/>
        <v>21.937067719201206</v>
      </c>
      <c r="N26" s="18">
        <f t="shared" ca="1" si="5"/>
        <v>658.1120315760362</v>
      </c>
      <c r="O26" s="18">
        <f ca="1">Fechas!_Dias_Interes_Pago</f>
        <v>30</v>
      </c>
      <c r="P26" s="18">
        <f t="shared" ca="1" si="6"/>
        <v>658.1120315760362</v>
      </c>
      <c r="R26" s="84">
        <f t="shared" ca="1" si="7"/>
        <v>78.973443789124346</v>
      </c>
      <c r="T26" s="84">
        <f t="shared" ca="1" si="8"/>
        <v>11952.638968190309</v>
      </c>
      <c r="U26" s="84">
        <f t="shared" ca="1" si="9"/>
        <v>0</v>
      </c>
      <c r="V26" s="84">
        <f ca="1">MAX( __Calculo_Capital _Actual, __Stopper_Capital _Actual )</f>
        <v>11952.638968190309</v>
      </c>
      <c r="X26" s="84">
        <f t="shared" ca="1" si="10"/>
        <v>12689.724443555469</v>
      </c>
      <c r="Z26" s="84">
        <f ca="1">MAX(__Saldo_Inicial _Actual - __Capital _Actual, 0)</f>
        <v>49267.084899347938</v>
      </c>
      <c r="AB26" s="216">
        <f>Fechas!_Dias_Interes_CAT</f>
        <v>30</v>
      </c>
      <c r="AC26" s="84">
        <f t="shared" ca="1" si="11"/>
        <v>658.1120315760362</v>
      </c>
      <c r="AD26" s="217">
        <f t="shared" ca="1" si="12"/>
        <v>12610.750999766346</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12689.724443555469</v>
      </c>
      <c r="K27" s="84">
        <f ca="1">MAX( __Saldo_Final _Anterior + __Saldo_Ciclico, 0)</f>
        <v>49267.084899347938</v>
      </c>
      <c r="M27" s="18">
        <f t="shared" ca="1" si="4"/>
        <v>17.654038755599679</v>
      </c>
      <c r="N27" s="18">
        <f t="shared" ca="1" si="5"/>
        <v>529.62116266799035</v>
      </c>
      <c r="O27" s="18">
        <f ca="1">Fechas!_Dias_Interes_Pago</f>
        <v>30</v>
      </c>
      <c r="P27" s="18">
        <f t="shared" ca="1" si="6"/>
        <v>529.62116266799035</v>
      </c>
      <c r="R27" s="84">
        <f t="shared" ca="1" si="7"/>
        <v>63.554539520158841</v>
      </c>
      <c r="T27" s="84">
        <f t="shared" ca="1" si="8"/>
        <v>12096.54874136732</v>
      </c>
      <c r="U27" s="84">
        <f t="shared" ca="1" si="9"/>
        <v>0</v>
      </c>
      <c r="V27" s="84">
        <f ca="1">MAX( __Calculo_Capital _Actual, __Stopper_Capital _Actual )</f>
        <v>12096.54874136732</v>
      </c>
      <c r="X27" s="84">
        <f t="shared" ca="1" si="10"/>
        <v>12689.724443555469</v>
      </c>
      <c r="Z27" s="84">
        <f ca="1">MAX(__Saldo_Inicial _Actual - __Capital _Actual, 0)</f>
        <v>37170.536157980619</v>
      </c>
      <c r="AB27" s="216">
        <f>Fechas!_Dias_Interes_CAT</f>
        <v>30</v>
      </c>
      <c r="AC27" s="84">
        <f t="shared" ca="1" si="11"/>
        <v>529.62116266799035</v>
      </c>
      <c r="AD27" s="217">
        <f t="shared" ca="1" si="12"/>
        <v>12626.169904035311</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12689.724443555469</v>
      </c>
      <c r="K28" s="84">
        <f ca="1">MAX( __Saldo_Final _Anterior + __Saldo_Ciclico, 0)</f>
        <v>37170.536157980619</v>
      </c>
      <c r="M28" s="18">
        <f t="shared" ca="1" si="4"/>
        <v>13.319442123276389</v>
      </c>
      <c r="N28" s="18">
        <f t="shared" ca="1" si="5"/>
        <v>399.58326369829166</v>
      </c>
      <c r="O28" s="18">
        <f ca="1">Fechas!_Dias_Interes_Pago</f>
        <v>30</v>
      </c>
      <c r="P28" s="18">
        <f t="shared" ca="1" si="6"/>
        <v>399.58326369829166</v>
      </c>
      <c r="R28" s="84">
        <f t="shared" ca="1" si="7"/>
        <v>47.949991643794995</v>
      </c>
      <c r="T28" s="84">
        <f t="shared" ca="1" si="8"/>
        <v>12242.191188213383</v>
      </c>
      <c r="U28" s="84">
        <f t="shared" ca="1" si="9"/>
        <v>0</v>
      </c>
      <c r="V28" s="84">
        <f ca="1">MAX( __Calculo_Capital _Actual, __Stopper_Capital _Actual )</f>
        <v>12242.191188213383</v>
      </c>
      <c r="X28" s="84">
        <f t="shared" ca="1" si="10"/>
        <v>12689.724443555469</v>
      </c>
      <c r="Z28" s="84">
        <f ca="1">MAX(__Saldo_Inicial _Actual - __Capital _Actual, 0)</f>
        <v>24928.344969767237</v>
      </c>
      <c r="AB28" s="216">
        <f>Fechas!_Dias_Interes_CAT</f>
        <v>30</v>
      </c>
      <c r="AC28" s="84">
        <f t="shared" ca="1" si="11"/>
        <v>399.58326369829166</v>
      </c>
      <c r="AD28" s="217">
        <f t="shared" ca="1" si="12"/>
        <v>12641.774451911675</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12689.724443555469</v>
      </c>
      <c r="K29" s="84">
        <f ca="1">MAX( __Saldo_Final _Anterior + __Saldo_Ciclico, 0)</f>
        <v>24928.344969767237</v>
      </c>
      <c r="M29" s="18">
        <f t="shared" ca="1" si="4"/>
        <v>8.9326569474999271</v>
      </c>
      <c r="N29" s="18">
        <f t="shared" ca="1" si="5"/>
        <v>267.9797084249978</v>
      </c>
      <c r="O29" s="18">
        <f ca="1">Fechas!_Dias_Interes_Pago</f>
        <v>30</v>
      </c>
      <c r="P29" s="18">
        <f t="shared" ca="1" si="6"/>
        <v>267.9797084249978</v>
      </c>
      <c r="R29" s="84">
        <f t="shared" ca="1" si="7"/>
        <v>32.157565010999733</v>
      </c>
      <c r="T29" s="84">
        <f t="shared" ca="1" si="8"/>
        <v>12389.587170119472</v>
      </c>
      <c r="U29" s="84">
        <f t="shared" ca="1" si="9"/>
        <v>0</v>
      </c>
      <c r="V29" s="84">
        <f ca="1">MAX( __Calculo_Capital _Actual, __Stopper_Capital _Actual )</f>
        <v>12389.587170119472</v>
      </c>
      <c r="X29" s="84">
        <f t="shared" ca="1" si="10"/>
        <v>12689.724443555469</v>
      </c>
      <c r="Z29" s="84">
        <f ca="1">MAX(__Saldo_Inicial _Actual - __Capital _Actual, 0)</f>
        <v>12538.757799647765</v>
      </c>
      <c r="AB29" s="216">
        <f>Fechas!_Dias_Interes_CAT</f>
        <v>30</v>
      </c>
      <c r="AC29" s="84">
        <f t="shared" ca="1" si="11"/>
        <v>267.9797084249978</v>
      </c>
      <c r="AD29" s="217">
        <f t="shared" ca="1" si="12"/>
        <v>12657.56687854447</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12689.724443555469</v>
      </c>
      <c r="K30" s="84">
        <f ca="1">MAX( __Saldo_Final _Anterior + __Saldo_Ciclico, 0)</f>
        <v>12538.757799647765</v>
      </c>
      <c r="M30" s="18">
        <f t="shared" ca="1" si="4"/>
        <v>4.4930548782071158</v>
      </c>
      <c r="N30" s="18">
        <f t="shared" ca="1" si="5"/>
        <v>134.79164634621347</v>
      </c>
      <c r="O30" s="18">
        <f ca="1">Fechas!_Dias_Interes_Pago</f>
        <v>30</v>
      </c>
      <c r="P30" s="18">
        <f t="shared" ca="1" si="6"/>
        <v>134.79164634621347</v>
      </c>
      <c r="R30" s="84">
        <f t="shared" ca="1" si="7"/>
        <v>16.174997561545617</v>
      </c>
      <c r="T30" s="84">
        <f t="shared" ca="1" si="8"/>
        <v>12538.75779964771</v>
      </c>
      <c r="U30" s="84">
        <f t="shared" ca="1" si="9"/>
        <v>12538.757799647765</v>
      </c>
      <c r="V30" s="84">
        <f ca="1">MAX( __Calculo_Capital _Actual, __Stopper_Capital _Actual )</f>
        <v>12538.757799647765</v>
      </c>
      <c r="X30" s="84">
        <f t="shared" ca="1" si="10"/>
        <v>12689.724443555524</v>
      </c>
      <c r="Z30" s="84">
        <f ca="1">MAX(__Saldo_Inicial _Actual - __Capital _Actual, 0)</f>
        <v>0</v>
      </c>
      <c r="AB30" s="216">
        <f>Fechas!_Dias_Interes_CAT</f>
        <v>30</v>
      </c>
      <c r="AC30" s="84">
        <f t="shared" ca="1" si="11"/>
        <v>134.79164634621347</v>
      </c>
      <c r="AD30" s="217">
        <f t="shared" ca="1" si="12"/>
        <v>12673.549445993978</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10992.08444355547</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1697.64</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12689.724443555469</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Tablas'!E27</f>
        <v>0</v>
      </c>
      <c r="E16" s="618"/>
      <c r="X16" s="619"/>
      <c r="AP16" s="619"/>
      <c r="AQ16" s="619"/>
      <c r="AR16" s="619"/>
      <c r="AS16" s="619"/>
      <c r="AT16" s="619"/>
      <c r="AW16" s="619"/>
      <c r="AX16" s="619"/>
      <c r="AY16" s="619"/>
    </row>
    <row r="17" spans="1:51" x14ac:dyDescent="0.3">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Tablas'!E29</f>
        <v>12</v>
      </c>
      <c r="E18" s="618"/>
      <c r="X18" s="619"/>
      <c r="AP18" s="619"/>
      <c r="AQ18" s="619"/>
      <c r="AR18" s="619"/>
      <c r="AS18" s="619"/>
      <c r="AT18" s="619"/>
      <c r="AW18" s="619"/>
      <c r="AX18" s="619"/>
      <c r="AY18" s="619"/>
    </row>
    <row r="19" spans="1:51" x14ac:dyDescent="0.3">
      <c r="A19" s="215" t="s">
        <v>1660</v>
      </c>
      <c r="B19" s="626">
        <f ca="1">'Configuración de Tablas'!E30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32</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x14ac:dyDescent="0.3">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x14ac:dyDescent="0.3">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x14ac:dyDescent="0.3">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x14ac:dyDescent="0.3">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x14ac:dyDescent="0.3">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x14ac:dyDescent="0.3">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0</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0</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0</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Tablas'!H27</f>
        <v>7860.1283999999996</v>
      </c>
      <c r="E16" s="618"/>
      <c r="X16" s="619"/>
      <c r="AP16" s="619"/>
      <c r="AQ16" s="619"/>
      <c r="AR16" s="619"/>
      <c r="AS16" s="619"/>
      <c r="AT16" s="619"/>
      <c r="AW16" s="619"/>
      <c r="AX16" s="619"/>
      <c r="AY16" s="619"/>
    </row>
    <row r="17" spans="1:51" x14ac:dyDescent="0.3">
      <c r="A17" s="215" t="s">
        <v>20</v>
      </c>
      <c r="B17" s="626">
        <f>'Configuración de Tablas'!H28</f>
        <v>30</v>
      </c>
      <c r="D17" s="620"/>
      <c r="E17" s="618"/>
      <c r="P17" s="261">
        <f ca="1">SUM(__Interes)</f>
        <v>580.00607750791789</v>
      </c>
      <c r="R17" s="261">
        <f ca="1">SUM(__Iva)</f>
        <v>69.60072930095015</v>
      </c>
      <c r="T17" s="261"/>
      <c r="U17" s="261"/>
      <c r="V17" s="261">
        <f ca="1">SUM(__Capital)</f>
        <v>8041.7568599999995</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Tablas'!H29</f>
        <v>12</v>
      </c>
      <c r="E18" s="618"/>
      <c r="X18" s="619"/>
      <c r="AP18" s="619"/>
      <c r="AQ18" s="619"/>
      <c r="AR18" s="619"/>
      <c r="AS18" s="619"/>
      <c r="AT18" s="619"/>
      <c r="AW18" s="619"/>
      <c r="AX18" s="619"/>
      <c r="AY18" s="619"/>
    </row>
    <row r="19" spans="1:51" x14ac:dyDescent="0.3">
      <c r="A19" s="215" t="s">
        <v>1660</v>
      </c>
      <c r="B19" s="626">
        <f ca="1">'Configuración de Tablas'!H30</f>
        <v>12</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723.74240138632547</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32</v>
      </c>
      <c r="P19" s="18">
        <f t="shared" ref="P19:P82" ca="1" si="6" xml:space="preserve"> __Interes_Diario * __Dias_Interes_Periodo</f>
        <v>92.212145327999991</v>
      </c>
      <c r="R19" s="18">
        <f t="shared" ref="R19:R82" ca="1" si="7" xml:space="preserve"> __Interes * i.Iva.Intereses</f>
        <v>11.065457439359999</v>
      </c>
      <c r="T19" s="84">
        <f t="shared" ref="T19:T82" ca="1" si="8" xml:space="preserve"> __Pago_Fijo - ( __Interes_Periodo_Regular * ( 1 + i.Iva.Intereses ) )</f>
        <v>626.91964879192551</v>
      </c>
      <c r="U19" s="84">
        <f t="shared" ref="U19:U82" ca="1" si="9">__Saldo_Inicial * ( __Amortizacion = i.Numero.Pagos )</f>
        <v>0</v>
      </c>
      <c r="V19" s="84">
        <f ca="1">MAX( __Calculo_Capital _Actual, __Stopper_Capital _Actual )</f>
        <v>626.91964879192551</v>
      </c>
      <c r="X19" s="84">
        <f t="shared" ref="X19:X82" ca="1" si="10" xml:space="preserve"> __Capital + __Interes + __Iva</f>
        <v>730.19725155928552</v>
      </c>
      <c r="Z19" s="84">
        <f ca="1">MAX(__Saldo_Inicial _Actual - __Capital _Actual, 0)</f>
        <v>7414.8372112080742</v>
      </c>
      <c r="AB19" s="216">
        <f>Fechas!_Dias_Interes_CAT</f>
        <v>30</v>
      </c>
      <c r="AC19" s="84">
        <f t="shared" ref="AC19:AC82" ca="1" si="11" xml:space="preserve"> __Interes_Diario * __Dias_Cat</f>
        <v>86.448886244999997</v>
      </c>
      <c r="AD19" s="217">
        <f t="shared" ref="AD19:AD82" ca="1" si="12" xml:space="preserve"> __Capital + __Interes_CAT</f>
        <v>713.36853503692555</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Tablas'!H31</f>
        <v>0.12</v>
      </c>
      <c r="D20" s="619">
        <v>2</v>
      </c>
      <c r="E20" s="619">
        <f t="shared" ca="1" si="0"/>
        <v>2</v>
      </c>
      <c r="F20" s="30">
        <f t="shared" ca="1" si="1"/>
        <v>1</v>
      </c>
      <c r="H20" s="18">
        <f t="shared" ca="1" si="2"/>
        <v>0</v>
      </c>
      <c r="I20" s="84">
        <f t="shared" ca="1" si="3"/>
        <v>723.74240138632547</v>
      </c>
      <c r="K20" s="84">
        <f ca="1">MAX( __Saldo_Final _Anterior + __Saldo_Ciclico, 0)</f>
        <v>7414.8372112080742</v>
      </c>
      <c r="M20" s="18">
        <f t="shared" ca="1" si="4"/>
        <v>2.6569833340162266</v>
      </c>
      <c r="N20" s="18">
        <f t="shared" ca="1" si="5"/>
        <v>79.7095000204868</v>
      </c>
      <c r="O20" s="18">
        <f ca="1">Fechas!_Dias_Interes_Pago</f>
        <v>30</v>
      </c>
      <c r="P20" s="18">
        <f t="shared" ca="1" si="6"/>
        <v>79.7095000204868</v>
      </c>
      <c r="R20" s="84">
        <f t="shared" ca="1" si="7"/>
        <v>9.5651400024584152</v>
      </c>
      <c r="T20" s="84">
        <f t="shared" ca="1" si="8"/>
        <v>634.4677613633803</v>
      </c>
      <c r="U20" s="84">
        <f t="shared" ca="1" si="9"/>
        <v>0</v>
      </c>
      <c r="V20" s="84">
        <f ca="1">MAX( __Calculo_Capital _Actual, __Stopper_Capital _Actual )</f>
        <v>634.4677613633803</v>
      </c>
      <c r="X20" s="84">
        <f t="shared" ca="1" si="10"/>
        <v>723.74240138632547</v>
      </c>
      <c r="Z20" s="84">
        <f ca="1">MAX(__Saldo_Inicial _Actual - __Capital _Actual, 0)</f>
        <v>6780.3694498446939</v>
      </c>
      <c r="AB20" s="216">
        <f>Fechas!_Dias_Interes_CAT</f>
        <v>30</v>
      </c>
      <c r="AC20" s="84">
        <f t="shared" ca="1" si="11"/>
        <v>79.7095000204868</v>
      </c>
      <c r="AD20" s="217">
        <f t="shared" ca="1" si="12"/>
        <v>714.17726138386706</v>
      </c>
      <c r="AE20" s="620"/>
      <c r="AF20" s="620"/>
      <c r="AI20" s="89" t="s">
        <v>59</v>
      </c>
      <c r="AP20" s="619"/>
      <c r="AQ20" s="619"/>
      <c r="AR20" s="619"/>
      <c r="AS20" s="619"/>
      <c r="AT20" s="619"/>
      <c r="AW20" s="619"/>
      <c r="AX20" s="619"/>
      <c r="AY20" s="619"/>
    </row>
    <row r="21" spans="1:51" x14ac:dyDescent="0.3">
      <c r="A21" s="215" t="s">
        <v>1647</v>
      </c>
      <c r="B21" s="633">
        <f ca="1">'Configuración de Tablas'!H32</f>
        <v>0.129</v>
      </c>
      <c r="D21" s="619">
        <v>3</v>
      </c>
      <c r="E21" s="619">
        <f t="shared" ca="1" si="0"/>
        <v>3</v>
      </c>
      <c r="F21" s="30">
        <f t="shared" ca="1" si="1"/>
        <v>1</v>
      </c>
      <c r="H21" s="18">
        <f t="shared" ca="1" si="2"/>
        <v>0</v>
      </c>
      <c r="I21" s="84">
        <f t="shared" ca="1" si="3"/>
        <v>723.74240138632547</v>
      </c>
      <c r="K21" s="84">
        <f ca="1">MAX( __Saldo_Final _Anterior + __Saldo_Ciclico, 0)</f>
        <v>6780.3694498446939</v>
      </c>
      <c r="M21" s="18">
        <f t="shared" ca="1" si="4"/>
        <v>2.4296323861943487</v>
      </c>
      <c r="N21" s="18">
        <f t="shared" ca="1" si="5"/>
        <v>72.888971585830461</v>
      </c>
      <c r="O21" s="18">
        <f ca="1">Fechas!_Dias_Interes_Pago</f>
        <v>30</v>
      </c>
      <c r="P21" s="18">
        <f t="shared" ca="1" si="6"/>
        <v>72.888971585830461</v>
      </c>
      <c r="R21" s="84">
        <f t="shared" ca="1" si="7"/>
        <v>8.7466765902996553</v>
      </c>
      <c r="T21" s="84">
        <f t="shared" ca="1" si="8"/>
        <v>642.10675321019539</v>
      </c>
      <c r="U21" s="84">
        <f t="shared" ca="1" si="9"/>
        <v>0</v>
      </c>
      <c r="V21" s="84">
        <f ca="1">MAX( __Calculo_Capital _Actual, __Stopper_Capital _Actual )</f>
        <v>642.10675321019539</v>
      </c>
      <c r="X21" s="84">
        <f t="shared" ca="1" si="10"/>
        <v>723.74240138632547</v>
      </c>
      <c r="Z21" s="84">
        <f ca="1">MAX(__Saldo_Inicial _Actual - __Capital _Actual, 0)</f>
        <v>6138.2626966344988</v>
      </c>
      <c r="AB21" s="216">
        <f>Fechas!_Dias_Interes_CAT</f>
        <v>30</v>
      </c>
      <c r="AC21" s="84">
        <f t="shared" ca="1" si="11"/>
        <v>72.888971585830461</v>
      </c>
      <c r="AD21" s="217">
        <f t="shared" ca="1" si="12"/>
        <v>714.9957247960258</v>
      </c>
      <c r="AE21" s="620"/>
      <c r="AF21" s="620"/>
      <c r="AG21" s="620"/>
      <c r="AI21" s="89" t="s">
        <v>61</v>
      </c>
      <c r="AP21" s="619"/>
      <c r="AQ21" s="619"/>
      <c r="AR21" s="619"/>
      <c r="AS21" s="619"/>
      <c r="AT21" s="619"/>
      <c r="AW21" s="619"/>
      <c r="AX21" s="619"/>
      <c r="AY21" s="619"/>
    </row>
    <row r="22" spans="1:51" x14ac:dyDescent="0.3">
      <c r="A22" s="215" t="s">
        <v>14</v>
      </c>
      <c r="B22" s="627">
        <f>'Configuración de Tablas'!H33</f>
        <v>360</v>
      </c>
      <c r="D22" s="619">
        <v>4</v>
      </c>
      <c r="E22" s="619">
        <f t="shared" ca="1" si="0"/>
        <v>4</v>
      </c>
      <c r="F22" s="30">
        <f t="shared" ca="1" si="1"/>
        <v>1</v>
      </c>
      <c r="H22" s="18">
        <f t="shared" ca="1" si="2"/>
        <v>0</v>
      </c>
      <c r="I22" s="84">
        <f t="shared" ca="1" si="3"/>
        <v>723.74240138632547</v>
      </c>
      <c r="K22" s="84">
        <f ca="1">MAX( __Saldo_Final _Anterior + __Saldo_Ciclico, 0)</f>
        <v>6138.2626966344988</v>
      </c>
      <c r="M22" s="18">
        <f t="shared" ca="1" si="4"/>
        <v>2.1995441329606953</v>
      </c>
      <c r="N22" s="18">
        <f t="shared" ca="1" si="5"/>
        <v>65.986323988820857</v>
      </c>
      <c r="O22" s="18">
        <f ca="1">Fechas!_Dias_Interes_Pago</f>
        <v>30</v>
      </c>
      <c r="P22" s="18">
        <f t="shared" ca="1" si="6"/>
        <v>65.986323988820857</v>
      </c>
      <c r="R22" s="84">
        <f t="shared" ca="1" si="7"/>
        <v>7.9183588786585029</v>
      </c>
      <c r="T22" s="84">
        <f t="shared" ca="1" si="8"/>
        <v>649.83771851884615</v>
      </c>
      <c r="U22" s="84">
        <f t="shared" ca="1" si="9"/>
        <v>0</v>
      </c>
      <c r="V22" s="84">
        <f ca="1">MAX( __Calculo_Capital _Actual, __Stopper_Capital _Actual )</f>
        <v>649.83771851884615</v>
      </c>
      <c r="X22" s="84">
        <f t="shared" ca="1" si="10"/>
        <v>723.74240138632547</v>
      </c>
      <c r="Z22" s="84">
        <f ca="1">MAX(__Saldo_Inicial _Actual - __Capital _Actual, 0)</f>
        <v>5488.4249781156523</v>
      </c>
      <c r="AB22" s="216">
        <f>Fechas!_Dias_Interes_CAT</f>
        <v>30</v>
      </c>
      <c r="AC22" s="84">
        <f t="shared" ca="1" si="11"/>
        <v>65.986323988820857</v>
      </c>
      <c r="AD22" s="217">
        <f t="shared" ca="1" si="12"/>
        <v>715.82404250766695</v>
      </c>
      <c r="AE22" s="620"/>
      <c r="AF22" s="620"/>
      <c r="AG22" s="620"/>
      <c r="AI22" s="89" t="s">
        <v>63</v>
      </c>
      <c r="AP22" s="619"/>
      <c r="AQ22" s="619"/>
      <c r="AR22" s="619"/>
      <c r="AS22" s="619"/>
      <c r="AT22" s="619"/>
      <c r="AW22" s="619"/>
      <c r="AX22" s="619"/>
      <c r="AY22" s="619"/>
    </row>
    <row r="23" spans="1:51" x14ac:dyDescent="0.3">
      <c r="A23" s="89" t="s">
        <v>42</v>
      </c>
      <c r="B23" s="634" t="str">
        <f>'Configuración de Tablas'!H34</f>
        <v>Fechas!_Dias_Interes_Pago</v>
      </c>
      <c r="D23" s="619">
        <v>5</v>
      </c>
      <c r="E23" s="619">
        <f t="shared" ca="1" si="0"/>
        <v>5</v>
      </c>
      <c r="F23" s="30">
        <f t="shared" ca="1" si="1"/>
        <v>1</v>
      </c>
      <c r="H23" s="18">
        <f t="shared" ca="1" si="2"/>
        <v>0</v>
      </c>
      <c r="I23" s="84">
        <f t="shared" ca="1" si="3"/>
        <v>723.74240138632547</v>
      </c>
      <c r="K23" s="84">
        <f ca="1">MAX( __Saldo_Final _Anterior + __Saldo_Ciclico, 0)</f>
        <v>5488.4249781156523</v>
      </c>
      <c r="M23" s="18">
        <f t="shared" ca="1" si="4"/>
        <v>1.9666856171581086</v>
      </c>
      <c r="N23" s="18">
        <f t="shared" ca="1" si="5"/>
        <v>59.000568514743257</v>
      </c>
      <c r="O23" s="18">
        <f ca="1">Fechas!_Dias_Interes_Pago</f>
        <v>30</v>
      </c>
      <c r="P23" s="18">
        <f t="shared" ca="1" si="6"/>
        <v>59.000568514743257</v>
      </c>
      <c r="R23" s="84">
        <f t="shared" ca="1" si="7"/>
        <v>7.0800682217691904</v>
      </c>
      <c r="T23" s="84">
        <f t="shared" ca="1" si="8"/>
        <v>657.66176464981299</v>
      </c>
      <c r="U23" s="84">
        <f t="shared" ca="1" si="9"/>
        <v>0</v>
      </c>
      <c r="V23" s="84">
        <f ca="1">MAX( __Calculo_Capital _Actual, __Stopper_Capital _Actual )</f>
        <v>657.66176464981299</v>
      </c>
      <c r="X23" s="84">
        <f t="shared" ca="1" si="10"/>
        <v>723.74240138632547</v>
      </c>
      <c r="Z23" s="84">
        <f ca="1">MAX(__Saldo_Inicial _Actual - __Capital _Actual, 0)</f>
        <v>4830.7632134658397</v>
      </c>
      <c r="AB23" s="216">
        <f>Fechas!_Dias_Interes_CAT</f>
        <v>30</v>
      </c>
      <c r="AC23" s="84">
        <f t="shared" ca="1" si="11"/>
        <v>59.000568514743257</v>
      </c>
      <c r="AD23" s="217">
        <f t="shared" ca="1" si="12"/>
        <v>716.66233316455623</v>
      </c>
      <c r="AE23" s="620"/>
      <c r="AF23" s="620"/>
      <c r="AG23" s="620" t="s">
        <v>46</v>
      </c>
      <c r="AI23" s="89" t="s">
        <v>65</v>
      </c>
      <c r="AP23" s="619"/>
      <c r="AQ23" s="619"/>
      <c r="AR23" s="619"/>
      <c r="AS23" s="619"/>
      <c r="AT23" s="619"/>
      <c r="AW23" s="619"/>
      <c r="AX23" s="619"/>
      <c r="AY23" s="619"/>
    </row>
    <row r="24" spans="1:51" x14ac:dyDescent="0.3">
      <c r="A24" s="89" t="s">
        <v>43</v>
      </c>
      <c r="B24" s="635" t="b">
        <f>'Configuración de Tablas'!H35</f>
        <v>1</v>
      </c>
      <c r="D24" s="619">
        <v>6</v>
      </c>
      <c r="E24" s="619">
        <f t="shared" ca="1" si="0"/>
        <v>6</v>
      </c>
      <c r="F24" s="30">
        <f t="shared" ca="1" si="1"/>
        <v>1</v>
      </c>
      <c r="H24" s="18">
        <f t="shared" ca="1" si="2"/>
        <v>0</v>
      </c>
      <c r="I24" s="84">
        <f t="shared" ca="1" si="3"/>
        <v>723.74240138632547</v>
      </c>
      <c r="K24" s="84">
        <f ca="1">MAX( __Saldo_Final _Anterior + __Saldo_Ciclico, 0)</f>
        <v>4830.7632134658397</v>
      </c>
      <c r="M24" s="18">
        <f t="shared" ca="1" si="4"/>
        <v>1.7310234848252593</v>
      </c>
      <c r="N24" s="18">
        <f t="shared" ca="1" si="5"/>
        <v>51.930704544757781</v>
      </c>
      <c r="O24" s="18">
        <f ca="1">Fechas!_Dias_Interes_Pago</f>
        <v>30</v>
      </c>
      <c r="P24" s="18">
        <f t="shared" ca="1" si="6"/>
        <v>51.930704544757781</v>
      </c>
      <c r="R24" s="84">
        <f t="shared" ca="1" si="7"/>
        <v>6.2316845453709337</v>
      </c>
      <c r="T24" s="84">
        <f t="shared" ca="1" si="8"/>
        <v>665.58001229619674</v>
      </c>
      <c r="U24" s="84">
        <f t="shared" ca="1" si="9"/>
        <v>0</v>
      </c>
      <c r="V24" s="84">
        <f ca="1">MAX( __Calculo_Capital _Actual, __Stopper_Capital _Actual )</f>
        <v>665.58001229619674</v>
      </c>
      <c r="X24" s="84">
        <f t="shared" ca="1" si="10"/>
        <v>723.74240138632547</v>
      </c>
      <c r="Z24" s="84">
        <f ca="1">MAX(__Saldo_Inicial _Actual - __Capital _Actual, 0)</f>
        <v>4165.1832011696433</v>
      </c>
      <c r="AB24" s="216">
        <f>Fechas!_Dias_Interes_CAT</f>
        <v>30</v>
      </c>
      <c r="AC24" s="84">
        <f t="shared" ca="1" si="11"/>
        <v>51.930704544757781</v>
      </c>
      <c r="AD24" s="217">
        <f t="shared" ca="1" si="12"/>
        <v>717.5107168409545</v>
      </c>
      <c r="AE24" s="620"/>
      <c r="AF24" s="620"/>
      <c r="AI24" s="89" t="s">
        <v>78</v>
      </c>
      <c r="AP24" s="619"/>
      <c r="AQ24" s="619"/>
      <c r="AR24" s="619"/>
      <c r="AS24" s="619"/>
      <c r="AT24" s="619"/>
      <c r="AW24" s="619"/>
      <c r="AX24" s="619"/>
      <c r="AY24" s="619"/>
    </row>
    <row r="25" spans="1:51" x14ac:dyDescent="0.3">
      <c r="A25" s="89" t="s">
        <v>44</v>
      </c>
      <c r="B25" s="627">
        <f ca="1">'Configuración de Tablas'!H36</f>
        <v>181.62846000000002</v>
      </c>
      <c r="D25" s="619">
        <v>7</v>
      </c>
      <c r="E25" s="619">
        <f t="shared" ca="1" si="0"/>
        <v>7</v>
      </c>
      <c r="F25" s="30">
        <f t="shared" ca="1" si="1"/>
        <v>1</v>
      </c>
      <c r="H25" s="18">
        <f t="shared" ca="1" si="2"/>
        <v>0</v>
      </c>
      <c r="I25" s="84">
        <f t="shared" ca="1" si="3"/>
        <v>723.74240138632547</v>
      </c>
      <c r="K25" s="84">
        <f ca="1">MAX( __Saldo_Final _Anterior + __Saldo_Ciclico, 0)</f>
        <v>4165.1832011696433</v>
      </c>
      <c r="M25" s="18">
        <f t="shared" ca="1" si="4"/>
        <v>1.4925239804191222</v>
      </c>
      <c r="N25" s="18">
        <f t="shared" ca="1" si="5"/>
        <v>44.775719412573665</v>
      </c>
      <c r="O25" s="18">
        <f ca="1">Fechas!_Dias_Interes_Pago</f>
        <v>30</v>
      </c>
      <c r="P25" s="18">
        <f t="shared" ca="1" si="6"/>
        <v>44.775719412573665</v>
      </c>
      <c r="R25" s="84">
        <f t="shared" ca="1" si="7"/>
        <v>5.3730863295088396</v>
      </c>
      <c r="T25" s="84">
        <f t="shared" ca="1" si="8"/>
        <v>673.59359564424301</v>
      </c>
      <c r="U25" s="84">
        <f t="shared" ca="1" si="9"/>
        <v>0</v>
      </c>
      <c r="V25" s="84">
        <f ca="1">MAX( __Calculo_Capital _Actual, __Stopper_Capital _Actual )</f>
        <v>673.59359564424301</v>
      </c>
      <c r="X25" s="84">
        <f t="shared" ca="1" si="10"/>
        <v>723.74240138632558</v>
      </c>
      <c r="Z25" s="84">
        <f ca="1">MAX(__Saldo_Inicial _Actual - __Capital _Actual, 0)</f>
        <v>3491.5896055254002</v>
      </c>
      <c r="AB25" s="216">
        <f>Fechas!_Dias_Interes_CAT</f>
        <v>30</v>
      </c>
      <c r="AC25" s="84">
        <f t="shared" ca="1" si="11"/>
        <v>44.775719412573665</v>
      </c>
      <c r="AD25" s="217">
        <f t="shared" ca="1" si="12"/>
        <v>718.36931505681673</v>
      </c>
      <c r="AE25" s="620"/>
      <c r="AF25" s="620"/>
      <c r="AI25" s="89" t="s">
        <v>80</v>
      </c>
      <c r="AP25" s="619"/>
      <c r="AQ25" s="619"/>
      <c r="AR25" s="619"/>
      <c r="AS25" s="619"/>
      <c r="AT25" s="619"/>
      <c r="AW25" s="619"/>
      <c r="AX25" s="619"/>
      <c r="AY25" s="619"/>
    </row>
    <row r="26" spans="1:51" x14ac:dyDescent="0.3">
      <c r="A26" s="89" t="s">
        <v>45</v>
      </c>
      <c r="B26" s="627" t="str">
        <f>'Configuración de Tablas'!H37</f>
        <v>Fechas!_Dias_Interes_CAT</v>
      </c>
      <c r="D26" s="619">
        <v>8</v>
      </c>
      <c r="E26" s="619">
        <f t="shared" ca="1" si="0"/>
        <v>8</v>
      </c>
      <c r="F26" s="30">
        <f t="shared" ca="1" si="1"/>
        <v>1</v>
      </c>
      <c r="H26" s="18">
        <f t="shared" ca="1" si="2"/>
        <v>0</v>
      </c>
      <c r="I26" s="84">
        <f t="shared" ca="1" si="3"/>
        <v>723.74240138632547</v>
      </c>
      <c r="K26" s="84">
        <f ca="1">MAX( __Saldo_Final _Anterior + __Saldo_Ciclico, 0)</f>
        <v>3491.5896055254002</v>
      </c>
      <c r="M26" s="18">
        <f t="shared" ca="1" si="4"/>
        <v>1.251152941979935</v>
      </c>
      <c r="N26" s="18">
        <f t="shared" ca="1" si="5"/>
        <v>37.534588259398049</v>
      </c>
      <c r="O26" s="18">
        <f ca="1">Fechas!_Dias_Interes_Pago</f>
        <v>30</v>
      </c>
      <c r="P26" s="18">
        <f t="shared" ca="1" si="6"/>
        <v>37.534588259398049</v>
      </c>
      <c r="R26" s="84">
        <f t="shared" ca="1" si="7"/>
        <v>4.5041505911277655</v>
      </c>
      <c r="T26" s="84">
        <f t="shared" ca="1" si="8"/>
        <v>681.70366253579959</v>
      </c>
      <c r="U26" s="84">
        <f t="shared" ca="1" si="9"/>
        <v>0</v>
      </c>
      <c r="V26" s="84">
        <f ca="1">MAX( __Calculo_Capital _Actual, __Stopper_Capital _Actual )</f>
        <v>681.70366253579959</v>
      </c>
      <c r="X26" s="84">
        <f t="shared" ca="1" si="10"/>
        <v>723.74240138632547</v>
      </c>
      <c r="Z26" s="84">
        <f ca="1">MAX(__Saldo_Inicial _Actual - __Capital _Actual, 0)</f>
        <v>2809.8859429896006</v>
      </c>
      <c r="AB26" s="216">
        <f>Fechas!_Dias_Interes_CAT</f>
        <v>30</v>
      </c>
      <c r="AC26" s="84">
        <f t="shared" ca="1" si="11"/>
        <v>37.534588259398049</v>
      </c>
      <c r="AD26" s="217">
        <f t="shared" ca="1" si="12"/>
        <v>719.2382507951977</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723.74240138632547</v>
      </c>
      <c r="K27" s="84">
        <f ca="1">MAX( __Saldo_Final _Anterior + __Saldo_Ciclico, 0)</f>
        <v>2809.8859429896006</v>
      </c>
      <c r="M27" s="18">
        <f t="shared" ca="1" si="4"/>
        <v>1.0068757962379402</v>
      </c>
      <c r="N27" s="18">
        <f t="shared" ca="1" si="5"/>
        <v>30.206273887138206</v>
      </c>
      <c r="O27" s="18">
        <f ca="1">Fechas!_Dias_Interes_Pago</f>
        <v>30</v>
      </c>
      <c r="P27" s="18">
        <f t="shared" ca="1" si="6"/>
        <v>30.206273887138206</v>
      </c>
      <c r="R27" s="84">
        <f t="shared" ca="1" si="7"/>
        <v>3.6247528664565847</v>
      </c>
      <c r="T27" s="84">
        <f t="shared" ca="1" si="8"/>
        <v>689.91137463273071</v>
      </c>
      <c r="U27" s="84">
        <f t="shared" ca="1" si="9"/>
        <v>0</v>
      </c>
      <c r="V27" s="84">
        <f ca="1">MAX( __Calculo_Capital _Actual, __Stopper_Capital _Actual )</f>
        <v>689.91137463273071</v>
      </c>
      <c r="X27" s="84">
        <f t="shared" ca="1" si="10"/>
        <v>723.74240138632547</v>
      </c>
      <c r="Z27" s="84">
        <f ca="1">MAX(__Saldo_Inicial _Actual - __Capital _Actual, 0)</f>
        <v>2119.9745683568699</v>
      </c>
      <c r="AB27" s="216">
        <f>Fechas!_Dias_Interes_CAT</f>
        <v>30</v>
      </c>
      <c r="AC27" s="84">
        <f t="shared" ca="1" si="11"/>
        <v>30.206273887138206</v>
      </c>
      <c r="AD27" s="217">
        <f t="shared" ca="1" si="12"/>
        <v>720.11764851986891</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723.74240138632547</v>
      </c>
      <c r="K28" s="84">
        <f ca="1">MAX( __Saldo_Final _Anterior + __Saldo_Ciclico, 0)</f>
        <v>2119.9745683568699</v>
      </c>
      <c r="M28" s="18">
        <f t="shared" ca="1" si="4"/>
        <v>0.75965755366121168</v>
      </c>
      <c r="N28" s="18">
        <f t="shared" ca="1" si="5"/>
        <v>22.78972660983635</v>
      </c>
      <c r="O28" s="18">
        <f ca="1">Fechas!_Dias_Interes_Pago</f>
        <v>30</v>
      </c>
      <c r="P28" s="18">
        <f t="shared" ca="1" si="6"/>
        <v>22.78972660983635</v>
      </c>
      <c r="R28" s="84">
        <f t="shared" ca="1" si="7"/>
        <v>2.7347671931803621</v>
      </c>
      <c r="T28" s="84">
        <f t="shared" ca="1" si="8"/>
        <v>698.21790758330872</v>
      </c>
      <c r="U28" s="84">
        <f t="shared" ca="1" si="9"/>
        <v>0</v>
      </c>
      <c r="V28" s="84">
        <f ca="1">MAX( __Calculo_Capital _Actual, __Stopper_Capital _Actual )</f>
        <v>698.21790758330872</v>
      </c>
      <c r="X28" s="84">
        <f t="shared" ca="1" si="10"/>
        <v>723.74240138632547</v>
      </c>
      <c r="Z28" s="84">
        <f ca="1">MAX(__Saldo_Inicial _Actual - __Capital _Actual, 0)</f>
        <v>1421.7566607735612</v>
      </c>
      <c r="AB28" s="216">
        <f>Fechas!_Dias_Interes_CAT</f>
        <v>30</v>
      </c>
      <c r="AC28" s="84">
        <f t="shared" ca="1" si="11"/>
        <v>22.78972660983635</v>
      </c>
      <c r="AD28" s="217">
        <f t="shared" ca="1" si="12"/>
        <v>721.00763419314512</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723.74240138632547</v>
      </c>
      <c r="K29" s="84">
        <f ca="1">MAX( __Saldo_Final _Anterior + __Saldo_Ciclico, 0)</f>
        <v>1421.7566607735612</v>
      </c>
      <c r="M29" s="18">
        <f t="shared" ca="1" si="4"/>
        <v>0.50946280344385941</v>
      </c>
      <c r="N29" s="18">
        <f t="shared" ca="1" si="5"/>
        <v>15.283884103315783</v>
      </c>
      <c r="O29" s="18">
        <f ca="1">Fechas!_Dias_Interes_Pago</f>
        <v>30</v>
      </c>
      <c r="P29" s="18">
        <f t="shared" ca="1" si="6"/>
        <v>15.283884103315783</v>
      </c>
      <c r="R29" s="84">
        <f t="shared" ca="1" si="7"/>
        <v>1.834066092397894</v>
      </c>
      <c r="T29" s="84">
        <f t="shared" ca="1" si="8"/>
        <v>706.62445119061181</v>
      </c>
      <c r="U29" s="84">
        <f t="shared" ca="1" si="9"/>
        <v>0</v>
      </c>
      <c r="V29" s="84">
        <f ca="1">MAX( __Calculo_Capital _Actual, __Stopper_Capital _Actual )</f>
        <v>706.62445119061181</v>
      </c>
      <c r="X29" s="84">
        <f t="shared" ca="1" si="10"/>
        <v>723.74240138632547</v>
      </c>
      <c r="Z29" s="84">
        <f ca="1">MAX(__Saldo_Inicial _Actual - __Capital _Actual, 0)</f>
        <v>715.13220958294937</v>
      </c>
      <c r="AB29" s="216">
        <f>Fechas!_Dias_Interes_CAT</f>
        <v>30</v>
      </c>
      <c r="AC29" s="84">
        <f t="shared" ca="1" si="11"/>
        <v>15.283884103315783</v>
      </c>
      <c r="AD29" s="217">
        <f t="shared" ca="1" si="12"/>
        <v>721.90833529392762</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723.74240138632547</v>
      </c>
      <c r="K30" s="84">
        <f ca="1">MAX( __Saldo_Final _Anterior + __Saldo_Ciclico, 0)</f>
        <v>715.13220958294937</v>
      </c>
      <c r="M30" s="18">
        <f t="shared" ca="1" si="4"/>
        <v>0.25625570843389017</v>
      </c>
      <c r="N30" s="18">
        <f t="shared" ca="1" si="5"/>
        <v>7.6876712530167053</v>
      </c>
      <c r="O30" s="18">
        <f ca="1">Fechas!_Dias_Interes_Pago</f>
        <v>30</v>
      </c>
      <c r="P30" s="18">
        <f t="shared" ca="1" si="6"/>
        <v>7.6876712530167053</v>
      </c>
      <c r="R30" s="84">
        <f t="shared" ca="1" si="7"/>
        <v>0.92252055036200464</v>
      </c>
      <c r="T30" s="84">
        <f t="shared" ca="1" si="8"/>
        <v>715.13220958294676</v>
      </c>
      <c r="U30" s="84">
        <f t="shared" ca="1" si="9"/>
        <v>715.13220958294937</v>
      </c>
      <c r="V30" s="84">
        <f ca="1">MAX( __Calculo_Capital _Actual, __Stopper_Capital _Actual )</f>
        <v>715.13220958294937</v>
      </c>
      <c r="X30" s="84">
        <f t="shared" ca="1" si="10"/>
        <v>723.74240138632808</v>
      </c>
      <c r="Z30" s="84">
        <f ca="1">MAX(__Saldo_Inicial _Actual - __Capital _Actual, 0)</f>
        <v>0</v>
      </c>
      <c r="AB30" s="216">
        <f>Fechas!_Dias_Interes_CAT</f>
        <v>30</v>
      </c>
      <c r="AC30" s="84">
        <f t="shared" ca="1" si="11"/>
        <v>7.6876712530167053</v>
      </c>
      <c r="AD30" s="217">
        <f t="shared" ca="1" si="12"/>
        <v>722.81988083596605</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1</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612.760249007011</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707.39619494301098</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14.159399784914447</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16.346206443314447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x14ac:dyDescent="0.3">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x14ac:dyDescent="0.3">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x14ac:dyDescent="0.3">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x14ac:dyDescent="0.3">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x14ac:dyDescent="0.3">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x14ac:dyDescent="0.3">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x14ac:dyDescent="0.3">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x14ac:dyDescent="0.3">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x14ac:dyDescent="0.3">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x14ac:dyDescent="0.3">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x14ac:dyDescent="0.3">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3">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3">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3">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3">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3">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3">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3">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3">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3">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3">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3">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3">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3">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3">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3">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3">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3">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3">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3">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3">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3">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3">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3">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3">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3">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3">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3">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3">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3">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3">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3">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3">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3">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3">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3">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3">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3">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3">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3">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3">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3">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3">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3">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3">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3">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3">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3">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3">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3">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3">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3">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3">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3">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3">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3">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3">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3">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3">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3">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3">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3">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3">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3">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3">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3">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3">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3">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3">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3">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3">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3">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3">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3">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3">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3">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3">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3">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3">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3">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3">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3">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3">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3">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3">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3">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3">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3">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3">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3">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3">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3">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3">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3">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3">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3">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3">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3">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3">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3">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3">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3">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3">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3">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3">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3">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3">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3">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3">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3">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3">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3">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3">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3">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3">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3">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3">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3">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3">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3">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3">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3">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3">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3">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3">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3">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3">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3">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3">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3">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3">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3">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3">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3">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3">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3">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3">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3">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3">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3">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3">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3">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3">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3">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3">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3">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3">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3">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3">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3">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3">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3">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3">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3">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3">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3">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3">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3">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3">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3">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3">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3">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3">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3">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3">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3">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3">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3">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3">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3">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3">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3">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3">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3">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3">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3">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3">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3">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3">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3">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3">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3">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3">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3">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3">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3">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3">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3">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19" customWidth="1"/>
    <col min="3" max="3" width="2.5546875" style="619" customWidth="1"/>
    <col min="4" max="6" width="16.6640625" style="619" customWidth="1"/>
    <col min="7" max="7" width="1.6640625" style="618" bestFit="1" customWidth="1"/>
    <col min="8" max="8" width="16.6640625" style="619" customWidth="1"/>
    <col min="9" max="11" width="9.109375" style="618"/>
    <col min="12" max="12" width="12" style="618" bestFit="1" customWidth="1"/>
    <col min="13" max="16384" width="9.109375" style="618"/>
  </cols>
  <sheetData>
    <row r="1" spans="1:29" s="619" customFormat="1" ht="20.399999999999999" thickBot="1" x14ac:dyDescent="0.45">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 thickTop="1" x14ac:dyDescent="0.3">
      <c r="A2" s="631" t="s">
        <v>5013</v>
      </c>
      <c r="G2" s="417"/>
      <c r="I2" s="417"/>
      <c r="J2" s="417"/>
      <c r="K2" s="417"/>
      <c r="L2" s="417"/>
      <c r="M2" s="215"/>
      <c r="T2" s="417"/>
      <c r="U2" s="417"/>
      <c r="V2" s="417"/>
      <c r="W2" s="417"/>
      <c r="X2" s="417"/>
      <c r="AA2" s="417"/>
      <c r="AB2" s="417"/>
      <c r="AC2" s="417"/>
    </row>
    <row r="3" spans="1:29" s="438" customFormat="1" ht="15" customHeight="1" x14ac:dyDescent="0.3">
      <c r="A3" s="89" t="s">
        <v>5014</v>
      </c>
      <c r="B3" s="618"/>
      <c r="G3" s="101"/>
      <c r="I3" s="101"/>
      <c r="J3" s="101"/>
      <c r="K3" s="101"/>
      <c r="L3" s="101"/>
      <c r="M3" s="266"/>
      <c r="T3" s="101"/>
      <c r="U3" s="101"/>
      <c r="V3" s="101"/>
      <c r="W3" s="101"/>
      <c r="X3" s="101"/>
      <c r="AA3" s="101"/>
      <c r="AB3" s="101"/>
      <c r="AC3" s="101"/>
    </row>
    <row r="4" spans="1:29" s="439" customFormat="1" ht="15" hidden="1" customHeight="1" x14ac:dyDescent="0.3">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x14ac:dyDescent="0.3">
      <c r="A5" s="618"/>
      <c r="B5" s="618"/>
      <c r="G5" s="618"/>
      <c r="I5" s="618"/>
      <c r="J5" s="618"/>
      <c r="K5" s="618"/>
      <c r="L5" s="618"/>
      <c r="M5" s="89"/>
      <c r="N5" s="250"/>
      <c r="T5" s="618"/>
      <c r="U5" s="618"/>
      <c r="V5" s="618"/>
      <c r="W5" s="618"/>
      <c r="X5" s="618"/>
      <c r="AA5" s="618"/>
      <c r="AB5" s="618"/>
      <c r="AC5" s="618"/>
    </row>
    <row r="6" spans="1:29" s="619" customFormat="1" ht="15" hidden="1" customHeight="1" x14ac:dyDescent="0.3">
      <c r="A6" s="618"/>
      <c r="B6" s="618"/>
      <c r="G6" s="618"/>
      <c r="I6" s="618"/>
      <c r="J6" s="618"/>
      <c r="K6" s="618"/>
      <c r="L6" s="618"/>
      <c r="M6" s="89"/>
      <c r="T6" s="618"/>
      <c r="U6" s="618"/>
      <c r="V6" s="618"/>
      <c r="W6" s="618"/>
      <c r="X6" s="618"/>
      <c r="AA6" s="618"/>
      <c r="AB6" s="618"/>
      <c r="AC6" s="618"/>
    </row>
    <row r="7" spans="1:29" s="619" customFormat="1" ht="15" hidden="1" customHeight="1" x14ac:dyDescent="0.3">
      <c r="A7" s="618"/>
      <c r="B7" s="618"/>
      <c r="G7" s="618"/>
      <c r="I7" s="618"/>
      <c r="J7" s="618"/>
      <c r="K7" s="618"/>
      <c r="L7" s="618"/>
      <c r="M7" s="89"/>
      <c r="T7" s="618"/>
      <c r="U7" s="618"/>
      <c r="V7" s="618"/>
      <c r="W7" s="618"/>
      <c r="X7" s="618"/>
      <c r="AA7" s="618"/>
      <c r="AB7" s="618"/>
      <c r="AC7" s="618"/>
    </row>
    <row r="8" spans="1:29" s="619" customFormat="1" ht="15" hidden="1" customHeight="1" x14ac:dyDescent="0.3">
      <c r="A8" s="618"/>
      <c r="B8" s="618"/>
      <c r="G8" s="618"/>
      <c r="M8" s="89"/>
      <c r="T8" s="618"/>
      <c r="U8" s="618"/>
      <c r="V8" s="618"/>
      <c r="W8" s="618"/>
      <c r="X8" s="618"/>
      <c r="AA8" s="618"/>
      <c r="AB8" s="618"/>
      <c r="AC8" s="618"/>
    </row>
    <row r="9" spans="1:29" s="619" customFormat="1" ht="15" hidden="1" customHeight="1" x14ac:dyDescent="0.3">
      <c r="A9" s="618"/>
      <c r="B9" s="618"/>
      <c r="G9" s="618"/>
      <c r="M9" s="86"/>
      <c r="N9" s="18"/>
      <c r="T9" s="618"/>
      <c r="U9" s="618"/>
      <c r="V9" s="618"/>
      <c r="W9" s="618"/>
      <c r="X9" s="618"/>
      <c r="AA9" s="618"/>
      <c r="AB9" s="618"/>
      <c r="AC9" s="618"/>
    </row>
    <row r="10" spans="1:29" s="619" customFormat="1" ht="15" hidden="1" customHeight="1" x14ac:dyDescent="0.3">
      <c r="A10" s="618"/>
      <c r="B10" s="618"/>
      <c r="G10" s="618"/>
      <c r="M10" s="86"/>
      <c r="N10" s="18"/>
      <c r="T10" s="618"/>
      <c r="U10" s="618"/>
      <c r="V10" s="618"/>
      <c r="W10" s="618"/>
      <c r="X10" s="618"/>
      <c r="AA10" s="618"/>
      <c r="AB10" s="618"/>
      <c r="AC10" s="618"/>
    </row>
    <row r="11" spans="1:29" s="619" customFormat="1" ht="15" hidden="1" customHeight="1" x14ac:dyDescent="0.3">
      <c r="A11" s="618"/>
      <c r="B11" s="618"/>
      <c r="D11" s="95"/>
      <c r="E11" s="95"/>
      <c r="F11" s="439"/>
      <c r="G11" s="618"/>
      <c r="H11" s="251"/>
      <c r="M11" s="89"/>
      <c r="T11" s="618"/>
      <c r="U11" s="618"/>
      <c r="V11" s="618"/>
      <c r="W11" s="618"/>
      <c r="X11" s="618"/>
      <c r="AA11" s="618"/>
      <c r="AB11" s="618"/>
      <c r="AC11" s="618"/>
    </row>
    <row r="12" spans="1:29" s="619" customFormat="1" hidden="1" x14ac:dyDescent="0.3">
      <c r="A12" s="618"/>
      <c r="B12" s="618"/>
      <c r="D12" s="95"/>
      <c r="E12" s="95"/>
      <c r="F12" s="439"/>
      <c r="G12" s="618"/>
      <c r="H12" s="251"/>
      <c r="M12" s="89"/>
      <c r="T12" s="618"/>
      <c r="U12" s="618"/>
      <c r="V12" s="618"/>
      <c r="W12" s="618"/>
      <c r="X12" s="618"/>
      <c r="AA12" s="618"/>
      <c r="AB12" s="618"/>
      <c r="AC12" s="618"/>
    </row>
    <row r="13" spans="1:29" s="619" customFormat="1" hidden="1" x14ac:dyDescent="0.3">
      <c r="A13" s="618"/>
      <c r="B13" s="618"/>
      <c r="D13" s="618"/>
      <c r="E13" s="618"/>
      <c r="F13" s="618"/>
      <c r="G13" s="618"/>
      <c r="H13" s="618"/>
      <c r="M13" s="89"/>
    </row>
    <row r="14" spans="1:29" s="439" customFormat="1" x14ac:dyDescent="0.3">
      <c r="A14" s="618"/>
      <c r="B14" s="618"/>
      <c r="D14" s="417"/>
      <c r="E14" s="417"/>
      <c r="G14" s="618"/>
      <c r="M14" s="215"/>
    </row>
    <row r="15" spans="1:29" s="80" customFormat="1" x14ac:dyDescent="0.3">
      <c r="A15" s="630" t="s">
        <v>4961</v>
      </c>
      <c r="B15" s="629"/>
      <c r="C15" s="85"/>
      <c r="D15" s="256" t="s">
        <v>2389</v>
      </c>
      <c r="E15" s="256" t="s">
        <v>2390</v>
      </c>
      <c r="F15" s="256" t="s">
        <v>2391</v>
      </c>
      <c r="G15" s="618"/>
      <c r="H15" s="628" t="s">
        <v>2392</v>
      </c>
      <c r="M15" s="267"/>
    </row>
    <row r="16" spans="1:29" x14ac:dyDescent="0.3">
      <c r="A16" s="89" t="s">
        <v>2393</v>
      </c>
      <c r="B16" s="627">
        <f ca="1">'Configuración de Tablas'!K27</f>
        <v>7860.1283999999996</v>
      </c>
      <c r="E16" s="618"/>
    </row>
    <row r="17" spans="1:13" x14ac:dyDescent="0.3">
      <c r="A17" s="89" t="s">
        <v>2395</v>
      </c>
      <c r="B17" s="626">
        <f ca="1">'Configuración de Tablas'!K28</f>
        <v>12</v>
      </c>
      <c r="D17" s="620"/>
      <c r="E17" s="618"/>
      <c r="K17" s="262" t="s">
        <v>56</v>
      </c>
      <c r="L17" s="619"/>
    </row>
    <row r="18" spans="1:13" x14ac:dyDescent="0.3">
      <c r="A18" s="89" t="s">
        <v>2396</v>
      </c>
      <c r="B18" s="626">
        <f ca="1">'Configuración de Tablas'!K29</f>
        <v>12</v>
      </c>
      <c r="D18" s="249">
        <v>0</v>
      </c>
      <c r="E18" s="265"/>
      <c r="F18" s="249"/>
      <c r="G18" s="265"/>
      <c r="H18" s="249"/>
      <c r="K18" s="619"/>
      <c r="L18" s="619"/>
    </row>
    <row r="19" spans="1:13" x14ac:dyDescent="0.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x14ac:dyDescent="0.3">
      <c r="A20" s="255" t="s">
        <v>425</v>
      </c>
      <c r="B20" s="247"/>
      <c r="D20" s="619">
        <v>2</v>
      </c>
      <c r="E20" s="619">
        <f t="shared" ca="1" si="0"/>
        <v>2</v>
      </c>
      <c r="F20" s="30">
        <f t="shared" ca="1" si="1"/>
        <v>1</v>
      </c>
      <c r="H20" s="18">
        <f t="shared" ca="1" si="2"/>
        <v>0</v>
      </c>
      <c r="K20" s="618" t="s">
        <v>5013</v>
      </c>
      <c r="L20" s="268">
        <v>42271</v>
      </c>
      <c r="M20" s="618" t="s">
        <v>5012</v>
      </c>
    </row>
    <row r="21" spans="1:13" x14ac:dyDescent="0.3">
      <c r="A21" s="86" t="s">
        <v>2394</v>
      </c>
      <c r="B21" s="210">
        <f ca="1">i.Periodos.Por.Año</f>
        <v>12</v>
      </c>
      <c r="D21" s="619">
        <v>3</v>
      </c>
      <c r="E21" s="619">
        <f t="shared" ca="1" si="0"/>
        <v>3</v>
      </c>
      <c r="F21" s="30">
        <f t="shared" ca="1" si="1"/>
        <v>1</v>
      </c>
      <c r="H21" s="18">
        <f t="shared" ca="1" si="2"/>
        <v>0</v>
      </c>
      <c r="M21" s="618" t="s">
        <v>5011</v>
      </c>
    </row>
    <row r="22" spans="1:13" x14ac:dyDescent="0.3">
      <c r="A22" s="618"/>
      <c r="B22" s="618"/>
      <c r="D22" s="619">
        <v>4</v>
      </c>
      <c r="E22" s="619">
        <f t="shared" ca="1" si="0"/>
        <v>4</v>
      </c>
      <c r="F22" s="30">
        <f t="shared" ca="1" si="1"/>
        <v>1</v>
      </c>
      <c r="H22" s="18">
        <f t="shared" ca="1" si="2"/>
        <v>0</v>
      </c>
      <c r="M22" s="618" t="s">
        <v>5010</v>
      </c>
    </row>
    <row r="23" spans="1:13" x14ac:dyDescent="0.3">
      <c r="A23" s="618"/>
      <c r="B23" s="618"/>
      <c r="D23" s="619">
        <v>5</v>
      </c>
      <c r="E23" s="619">
        <f t="shared" ca="1" si="0"/>
        <v>5</v>
      </c>
      <c r="F23" s="30">
        <f t="shared" ca="1" si="1"/>
        <v>1</v>
      </c>
      <c r="H23" s="18">
        <f t="shared" ca="1" si="2"/>
        <v>0</v>
      </c>
      <c r="M23" s="618" t="s">
        <v>5009</v>
      </c>
    </row>
    <row r="24" spans="1:13" x14ac:dyDescent="0.3">
      <c r="A24" s="618"/>
      <c r="B24" s="618"/>
      <c r="D24" s="619">
        <v>6</v>
      </c>
      <c r="E24" s="619">
        <f t="shared" ca="1" si="0"/>
        <v>6</v>
      </c>
      <c r="F24" s="30">
        <f t="shared" ca="1" si="1"/>
        <v>1</v>
      </c>
      <c r="H24" s="18">
        <f t="shared" ca="1" si="2"/>
        <v>0</v>
      </c>
      <c r="M24" s="618" t="s">
        <v>5008</v>
      </c>
    </row>
    <row r="25" spans="1:13" x14ac:dyDescent="0.3">
      <c r="A25" s="618"/>
      <c r="B25" s="618"/>
      <c r="D25" s="619">
        <v>7</v>
      </c>
      <c r="E25" s="619">
        <f t="shared" ca="1" si="0"/>
        <v>7</v>
      </c>
      <c r="F25" s="30">
        <f t="shared" ca="1" si="1"/>
        <v>1</v>
      </c>
      <c r="H25" s="18">
        <f t="shared" ca="1" si="2"/>
        <v>0</v>
      </c>
    </row>
    <row r="26" spans="1:13" x14ac:dyDescent="0.3">
      <c r="A26" s="618"/>
      <c r="B26" s="618"/>
      <c r="D26" s="619">
        <v>8</v>
      </c>
      <c r="E26" s="619">
        <f t="shared" ca="1" si="0"/>
        <v>8</v>
      </c>
      <c r="F26" s="30">
        <f t="shared" ca="1" si="1"/>
        <v>1</v>
      </c>
      <c r="H26" s="18">
        <f t="shared" ca="1" si="2"/>
        <v>0</v>
      </c>
    </row>
    <row r="27" spans="1:13" x14ac:dyDescent="0.3">
      <c r="A27" s="618"/>
      <c r="B27" s="618"/>
      <c r="D27" s="619">
        <v>9</v>
      </c>
      <c r="E27" s="619">
        <f t="shared" ca="1" si="0"/>
        <v>9</v>
      </c>
      <c r="F27" s="30">
        <f t="shared" ca="1" si="1"/>
        <v>1</v>
      </c>
      <c r="H27" s="18">
        <f t="shared" ca="1" si="2"/>
        <v>0</v>
      </c>
    </row>
    <row r="28" spans="1:13" x14ac:dyDescent="0.3">
      <c r="D28" s="619">
        <v>10</v>
      </c>
      <c r="E28" s="619">
        <f t="shared" ca="1" si="0"/>
        <v>10</v>
      </c>
      <c r="F28" s="30">
        <f t="shared" ca="1" si="1"/>
        <v>1</v>
      </c>
      <c r="H28" s="18">
        <f t="shared" ca="1" si="2"/>
        <v>0</v>
      </c>
    </row>
    <row r="29" spans="1:13" x14ac:dyDescent="0.3">
      <c r="D29" s="619">
        <v>11</v>
      </c>
      <c r="E29" s="619">
        <f t="shared" ca="1" si="0"/>
        <v>11</v>
      </c>
      <c r="F29" s="30">
        <f t="shared" ca="1" si="1"/>
        <v>1</v>
      </c>
      <c r="H29" s="18">
        <f t="shared" ca="1" si="2"/>
        <v>0</v>
      </c>
    </row>
    <row r="30" spans="1:13" x14ac:dyDescent="0.3">
      <c r="D30" s="619">
        <v>12</v>
      </c>
      <c r="E30" s="619">
        <f t="shared" ca="1" si="0"/>
        <v>12</v>
      </c>
      <c r="F30" s="30">
        <f t="shared" ca="1" si="1"/>
        <v>1</v>
      </c>
      <c r="H30" s="18">
        <f t="shared" ca="1" si="2"/>
        <v>0</v>
      </c>
    </row>
    <row r="31" spans="1:13" x14ac:dyDescent="0.3">
      <c r="D31" s="619">
        <v>13</v>
      </c>
      <c r="E31" s="619">
        <f t="shared" ca="1" si="0"/>
        <v>1</v>
      </c>
      <c r="F31" s="30">
        <f t="shared" ca="1" si="1"/>
        <v>2</v>
      </c>
      <c r="H31" s="18">
        <f t="shared" ca="1" si="2"/>
        <v>0</v>
      </c>
    </row>
    <row r="32" spans="1:13" x14ac:dyDescent="0.3">
      <c r="D32" s="619">
        <v>14</v>
      </c>
      <c r="E32" s="619">
        <f t="shared" ca="1" si="0"/>
        <v>2</v>
      </c>
      <c r="F32" s="30">
        <f t="shared" ca="1" si="1"/>
        <v>2</v>
      </c>
      <c r="H32" s="18">
        <f t="shared" ca="1" si="2"/>
        <v>0</v>
      </c>
    </row>
    <row r="33" spans="1:8" x14ac:dyDescent="0.3">
      <c r="D33" s="619">
        <v>15</v>
      </c>
      <c r="E33" s="619">
        <f t="shared" ca="1" si="0"/>
        <v>3</v>
      </c>
      <c r="F33" s="30">
        <f t="shared" ca="1" si="1"/>
        <v>2</v>
      </c>
      <c r="H33" s="18">
        <f t="shared" ca="1" si="2"/>
        <v>0</v>
      </c>
    </row>
    <row r="34" spans="1:8" x14ac:dyDescent="0.3">
      <c r="D34" s="619">
        <v>16</v>
      </c>
      <c r="E34" s="619">
        <f t="shared" ca="1" si="0"/>
        <v>4</v>
      </c>
      <c r="F34" s="30">
        <f t="shared" ca="1" si="1"/>
        <v>2</v>
      </c>
      <c r="H34" s="18">
        <f t="shared" ca="1" si="2"/>
        <v>0</v>
      </c>
    </row>
    <row r="35" spans="1:8" x14ac:dyDescent="0.3">
      <c r="D35" s="619">
        <v>17</v>
      </c>
      <c r="E35" s="619">
        <f t="shared" ca="1" si="0"/>
        <v>5</v>
      </c>
      <c r="F35" s="30">
        <f t="shared" ca="1" si="1"/>
        <v>2</v>
      </c>
      <c r="H35" s="18">
        <f t="shared" ca="1" si="2"/>
        <v>0</v>
      </c>
    </row>
    <row r="36" spans="1:8" x14ac:dyDescent="0.3">
      <c r="A36" s="30"/>
      <c r="B36" s="88"/>
      <c r="D36" s="619">
        <v>18</v>
      </c>
      <c r="E36" s="619">
        <f t="shared" ca="1" si="0"/>
        <v>6</v>
      </c>
      <c r="F36" s="30">
        <f t="shared" ca="1" si="1"/>
        <v>2</v>
      </c>
      <c r="H36" s="18">
        <f t="shared" ca="1" si="2"/>
        <v>0</v>
      </c>
    </row>
    <row r="37" spans="1:8" x14ac:dyDescent="0.3">
      <c r="D37" s="619">
        <v>19</v>
      </c>
      <c r="E37" s="619">
        <f t="shared" ca="1" si="0"/>
        <v>7</v>
      </c>
      <c r="F37" s="30">
        <f t="shared" ca="1" si="1"/>
        <v>2</v>
      </c>
      <c r="H37" s="18">
        <f t="shared" ca="1" si="2"/>
        <v>0</v>
      </c>
    </row>
    <row r="38" spans="1:8" x14ac:dyDescent="0.3">
      <c r="A38" s="30"/>
      <c r="B38" s="30"/>
      <c r="D38" s="619">
        <v>20</v>
      </c>
      <c r="E38" s="619">
        <f t="shared" ca="1" si="0"/>
        <v>8</v>
      </c>
      <c r="F38" s="30">
        <f t="shared" ca="1" si="1"/>
        <v>2</v>
      </c>
      <c r="H38" s="18">
        <f t="shared" ca="1" si="2"/>
        <v>0</v>
      </c>
    </row>
    <row r="39" spans="1:8" x14ac:dyDescent="0.3">
      <c r="A39" s="30"/>
      <c r="B39" s="30"/>
      <c r="D39" s="619">
        <v>21</v>
      </c>
      <c r="E39" s="619">
        <f t="shared" ca="1" si="0"/>
        <v>9</v>
      </c>
      <c r="F39" s="30">
        <f t="shared" ca="1" si="1"/>
        <v>2</v>
      </c>
      <c r="H39" s="18">
        <f t="shared" ca="1" si="2"/>
        <v>0</v>
      </c>
    </row>
    <row r="40" spans="1:8" x14ac:dyDescent="0.3">
      <c r="A40" s="30"/>
      <c r="B40" s="30"/>
      <c r="D40" s="619">
        <v>22</v>
      </c>
      <c r="E40" s="619">
        <f t="shared" ca="1" si="0"/>
        <v>10</v>
      </c>
      <c r="F40" s="30">
        <f t="shared" ca="1" si="1"/>
        <v>2</v>
      </c>
      <c r="H40" s="18">
        <f t="shared" ca="1" si="2"/>
        <v>0</v>
      </c>
    </row>
    <row r="41" spans="1:8" x14ac:dyDescent="0.3">
      <c r="A41" s="219"/>
      <c r="B41" s="219"/>
      <c r="D41" s="619">
        <v>23</v>
      </c>
      <c r="E41" s="619">
        <f t="shared" ca="1" si="0"/>
        <v>11</v>
      </c>
      <c r="F41" s="30">
        <f t="shared" ca="1" si="1"/>
        <v>2</v>
      </c>
      <c r="H41" s="18">
        <f t="shared" ca="1" si="2"/>
        <v>0</v>
      </c>
    </row>
    <row r="42" spans="1:8" x14ac:dyDescent="0.3">
      <c r="A42" s="30"/>
      <c r="B42" s="30"/>
      <c r="D42" s="619">
        <v>24</v>
      </c>
      <c r="E42" s="619">
        <f t="shared" ca="1" si="0"/>
        <v>12</v>
      </c>
      <c r="F42" s="30">
        <f t="shared" ca="1" si="1"/>
        <v>2</v>
      </c>
      <c r="H42" s="18">
        <f t="shared" ca="1" si="2"/>
        <v>0</v>
      </c>
    </row>
    <row r="43" spans="1:8" x14ac:dyDescent="0.3">
      <c r="A43" s="30"/>
      <c r="B43" s="30"/>
      <c r="C43" s="98"/>
      <c r="D43" s="619">
        <v>25</v>
      </c>
      <c r="E43" s="619">
        <f t="shared" ca="1" si="0"/>
        <v>1</v>
      </c>
      <c r="F43" s="30">
        <f t="shared" ca="1" si="1"/>
        <v>3</v>
      </c>
      <c r="H43" s="18">
        <f t="shared" ca="1" si="2"/>
        <v>0</v>
      </c>
    </row>
    <row r="44" spans="1:8" x14ac:dyDescent="0.3">
      <c r="A44" s="30"/>
      <c r="B44" s="30"/>
      <c r="D44" s="619">
        <v>26</v>
      </c>
      <c r="E44" s="619">
        <f t="shared" ca="1" si="0"/>
        <v>2</v>
      </c>
      <c r="F44" s="30">
        <f t="shared" ca="1" si="1"/>
        <v>3</v>
      </c>
      <c r="H44" s="18">
        <f t="shared" ca="1" si="2"/>
        <v>0</v>
      </c>
    </row>
    <row r="45" spans="1:8" x14ac:dyDescent="0.3">
      <c r="A45" s="30"/>
      <c r="B45" s="30"/>
      <c r="D45" s="619">
        <v>27</v>
      </c>
      <c r="E45" s="619">
        <f t="shared" ca="1" si="0"/>
        <v>3</v>
      </c>
      <c r="F45" s="30">
        <f t="shared" ca="1" si="1"/>
        <v>3</v>
      </c>
      <c r="H45" s="18">
        <f t="shared" ca="1" si="2"/>
        <v>0</v>
      </c>
    </row>
    <row r="46" spans="1:8" x14ac:dyDescent="0.3">
      <c r="A46" s="30"/>
      <c r="B46" s="30"/>
      <c r="D46" s="619">
        <v>28</v>
      </c>
      <c r="E46" s="619">
        <f t="shared" ca="1" si="0"/>
        <v>4</v>
      </c>
      <c r="F46" s="30">
        <f t="shared" ca="1" si="1"/>
        <v>3</v>
      </c>
      <c r="H46" s="18">
        <f t="shared" ca="1" si="2"/>
        <v>0</v>
      </c>
    </row>
    <row r="47" spans="1:8" x14ac:dyDescent="0.3">
      <c r="A47" s="30"/>
      <c r="B47" s="30"/>
      <c r="D47" s="619">
        <v>29</v>
      </c>
      <c r="E47" s="619">
        <f t="shared" ca="1" si="0"/>
        <v>5</v>
      </c>
      <c r="F47" s="30">
        <f t="shared" ca="1" si="1"/>
        <v>3</v>
      </c>
      <c r="H47" s="18">
        <f t="shared" ca="1" si="2"/>
        <v>0</v>
      </c>
    </row>
    <row r="48" spans="1:8" x14ac:dyDescent="0.3">
      <c r="A48" s="30"/>
      <c r="B48" s="30"/>
      <c r="D48" s="619">
        <v>30</v>
      </c>
      <c r="E48" s="619">
        <f t="shared" ca="1" si="0"/>
        <v>6</v>
      </c>
      <c r="F48" s="30">
        <f t="shared" ca="1" si="1"/>
        <v>3</v>
      </c>
      <c r="H48" s="18">
        <f t="shared" ca="1" si="2"/>
        <v>0</v>
      </c>
    </row>
    <row r="49" spans="1:8" x14ac:dyDescent="0.3">
      <c r="A49" s="30"/>
      <c r="B49" s="30"/>
      <c r="D49" s="619">
        <v>31</v>
      </c>
      <c r="E49" s="619">
        <f t="shared" ca="1" si="0"/>
        <v>7</v>
      </c>
      <c r="F49" s="30">
        <f t="shared" ca="1" si="1"/>
        <v>3</v>
      </c>
      <c r="H49" s="18">
        <f t="shared" ca="1" si="2"/>
        <v>0</v>
      </c>
    </row>
    <row r="50" spans="1:8" x14ac:dyDescent="0.3">
      <c r="A50" s="30"/>
      <c r="B50" s="30"/>
      <c r="D50" s="619">
        <v>32</v>
      </c>
      <c r="E50" s="619">
        <f t="shared" ca="1" si="0"/>
        <v>8</v>
      </c>
      <c r="F50" s="30">
        <f t="shared" ca="1" si="1"/>
        <v>3</v>
      </c>
      <c r="H50" s="18">
        <f t="shared" ca="1" si="2"/>
        <v>0</v>
      </c>
    </row>
    <row r="51" spans="1:8" x14ac:dyDescent="0.3">
      <c r="A51" s="30"/>
      <c r="B51" s="30"/>
      <c r="D51" s="619">
        <v>33</v>
      </c>
      <c r="E51" s="619">
        <f t="shared" ca="1" si="0"/>
        <v>9</v>
      </c>
      <c r="F51" s="30">
        <f t="shared" ca="1" si="1"/>
        <v>3</v>
      </c>
      <c r="H51" s="18">
        <f t="shared" ca="1" si="2"/>
        <v>0</v>
      </c>
    </row>
    <row r="52" spans="1:8" x14ac:dyDescent="0.3">
      <c r="A52" s="30"/>
      <c r="B52" s="30"/>
      <c r="D52" s="619">
        <v>34</v>
      </c>
      <c r="E52" s="619">
        <f t="shared" ca="1" si="0"/>
        <v>10</v>
      </c>
      <c r="F52" s="30">
        <f t="shared" ca="1" si="1"/>
        <v>3</v>
      </c>
      <c r="H52" s="18">
        <f t="shared" ca="1" si="2"/>
        <v>0</v>
      </c>
    </row>
    <row r="53" spans="1:8" x14ac:dyDescent="0.3">
      <c r="A53" s="30"/>
      <c r="B53" s="30"/>
      <c r="D53" s="619">
        <v>35</v>
      </c>
      <c r="E53" s="619">
        <f t="shared" ca="1" si="0"/>
        <v>11</v>
      </c>
      <c r="F53" s="30">
        <f t="shared" ca="1" si="1"/>
        <v>3</v>
      </c>
      <c r="H53" s="18">
        <f t="shared" ca="1" si="2"/>
        <v>0</v>
      </c>
    </row>
    <row r="54" spans="1:8" x14ac:dyDescent="0.3">
      <c r="A54" s="30"/>
      <c r="B54" s="30"/>
      <c r="D54" s="619">
        <v>36</v>
      </c>
      <c r="E54" s="619">
        <f t="shared" ca="1" si="0"/>
        <v>12</v>
      </c>
      <c r="F54" s="30">
        <f t="shared" ca="1" si="1"/>
        <v>3</v>
      </c>
      <c r="H54" s="18">
        <f t="shared" ca="1" si="2"/>
        <v>0</v>
      </c>
    </row>
    <row r="55" spans="1:8" x14ac:dyDescent="0.3">
      <c r="A55" s="30"/>
      <c r="B55" s="30"/>
      <c r="D55" s="619">
        <v>37</v>
      </c>
      <c r="E55" s="619">
        <f t="shared" ca="1" si="0"/>
        <v>1</v>
      </c>
      <c r="F55" s="30">
        <f t="shared" ca="1" si="1"/>
        <v>4</v>
      </c>
      <c r="H55" s="18">
        <f t="shared" ca="1" si="2"/>
        <v>0</v>
      </c>
    </row>
    <row r="56" spans="1:8" x14ac:dyDescent="0.3">
      <c r="A56" s="30"/>
      <c r="B56" s="30"/>
      <c r="D56" s="619">
        <v>38</v>
      </c>
      <c r="E56" s="619">
        <f t="shared" ca="1" si="0"/>
        <v>2</v>
      </c>
      <c r="F56" s="30">
        <f t="shared" ca="1" si="1"/>
        <v>4</v>
      </c>
      <c r="H56" s="18">
        <f t="shared" ca="1" si="2"/>
        <v>0</v>
      </c>
    </row>
    <row r="57" spans="1:8" x14ac:dyDescent="0.3">
      <c r="A57" s="30"/>
      <c r="B57" s="30"/>
      <c r="D57" s="619">
        <v>39</v>
      </c>
      <c r="E57" s="619">
        <f t="shared" ca="1" si="0"/>
        <v>3</v>
      </c>
      <c r="F57" s="30">
        <f t="shared" ca="1" si="1"/>
        <v>4</v>
      </c>
      <c r="H57" s="18">
        <f t="shared" ca="1" si="2"/>
        <v>0</v>
      </c>
    </row>
    <row r="58" spans="1:8" x14ac:dyDescent="0.3">
      <c r="A58" s="30"/>
      <c r="B58" s="30"/>
      <c r="D58" s="619">
        <v>40</v>
      </c>
      <c r="E58" s="619">
        <f t="shared" ca="1" si="0"/>
        <v>4</v>
      </c>
      <c r="F58" s="30">
        <f t="shared" ca="1" si="1"/>
        <v>4</v>
      </c>
      <c r="H58" s="18">
        <f t="shared" ca="1" si="2"/>
        <v>0</v>
      </c>
    </row>
    <row r="59" spans="1:8" x14ac:dyDescent="0.3">
      <c r="A59" s="30"/>
      <c r="B59" s="30"/>
      <c r="D59" s="619">
        <v>41</v>
      </c>
      <c r="E59" s="619">
        <f t="shared" ca="1" si="0"/>
        <v>5</v>
      </c>
      <c r="F59" s="30">
        <f t="shared" ca="1" si="1"/>
        <v>4</v>
      </c>
      <c r="H59" s="18">
        <f t="shared" ca="1" si="2"/>
        <v>0</v>
      </c>
    </row>
    <row r="60" spans="1:8" x14ac:dyDescent="0.3">
      <c r="A60" s="30"/>
      <c r="B60" s="30"/>
      <c r="D60" s="619">
        <v>42</v>
      </c>
      <c r="E60" s="619">
        <f t="shared" ca="1" si="0"/>
        <v>6</v>
      </c>
      <c r="F60" s="30">
        <f t="shared" ca="1" si="1"/>
        <v>4</v>
      </c>
      <c r="H60" s="18">
        <f t="shared" ca="1" si="2"/>
        <v>0</v>
      </c>
    </row>
    <row r="61" spans="1:8" x14ac:dyDescent="0.3">
      <c r="A61" s="30"/>
      <c r="B61" s="30"/>
      <c r="D61" s="619">
        <v>43</v>
      </c>
      <c r="E61" s="619">
        <f t="shared" ca="1" si="0"/>
        <v>7</v>
      </c>
      <c r="F61" s="30">
        <f t="shared" ca="1" si="1"/>
        <v>4</v>
      </c>
      <c r="H61" s="18">
        <f t="shared" ca="1" si="2"/>
        <v>0</v>
      </c>
    </row>
    <row r="62" spans="1:8" x14ac:dyDescent="0.3">
      <c r="A62" s="30"/>
      <c r="B62" s="30"/>
      <c r="D62" s="619">
        <v>44</v>
      </c>
      <c r="E62" s="619">
        <f t="shared" ca="1" si="0"/>
        <v>8</v>
      </c>
      <c r="F62" s="30">
        <f t="shared" ca="1" si="1"/>
        <v>4</v>
      </c>
      <c r="H62" s="18">
        <f t="shared" ca="1" si="2"/>
        <v>0</v>
      </c>
    </row>
    <row r="63" spans="1:8" x14ac:dyDescent="0.3">
      <c r="A63" s="30"/>
      <c r="B63" s="30"/>
      <c r="D63" s="619">
        <v>45</v>
      </c>
      <c r="E63" s="619">
        <f t="shared" ca="1" si="0"/>
        <v>9</v>
      </c>
      <c r="F63" s="30">
        <f t="shared" ca="1" si="1"/>
        <v>4</v>
      </c>
      <c r="H63" s="18">
        <f t="shared" ca="1" si="2"/>
        <v>0</v>
      </c>
    </row>
    <row r="64" spans="1:8" x14ac:dyDescent="0.3">
      <c r="A64" s="30"/>
      <c r="B64" s="30"/>
      <c r="D64" s="619">
        <v>46</v>
      </c>
      <c r="E64" s="619">
        <f t="shared" ca="1" si="0"/>
        <v>10</v>
      </c>
      <c r="F64" s="30">
        <f t="shared" ca="1" si="1"/>
        <v>4</v>
      </c>
      <c r="H64" s="18">
        <f t="shared" ca="1" si="2"/>
        <v>0</v>
      </c>
    </row>
    <row r="65" spans="1:8" x14ac:dyDescent="0.3">
      <c r="A65" s="30"/>
      <c r="B65" s="30"/>
      <c r="D65" s="619">
        <v>47</v>
      </c>
      <c r="E65" s="619">
        <f t="shared" ca="1" si="0"/>
        <v>11</v>
      </c>
      <c r="F65" s="30">
        <f t="shared" ca="1" si="1"/>
        <v>4</v>
      </c>
      <c r="H65" s="18">
        <f t="shared" ca="1" si="2"/>
        <v>0</v>
      </c>
    </row>
    <row r="66" spans="1:8" x14ac:dyDescent="0.3">
      <c r="A66" s="30"/>
      <c r="B66" s="30"/>
      <c r="D66" s="619">
        <v>48</v>
      </c>
      <c r="E66" s="619">
        <f t="shared" ca="1" si="0"/>
        <v>12</v>
      </c>
      <c r="F66" s="30">
        <f t="shared" ca="1" si="1"/>
        <v>4</v>
      </c>
      <c r="H66" s="18">
        <f t="shared" ca="1" si="2"/>
        <v>0</v>
      </c>
    </row>
    <row r="67" spans="1:8" x14ac:dyDescent="0.3">
      <c r="A67" s="30"/>
      <c r="B67" s="30"/>
      <c r="D67" s="619">
        <v>49</v>
      </c>
      <c r="E67" s="619">
        <f t="shared" ca="1" si="0"/>
        <v>1</v>
      </c>
      <c r="F67" s="30">
        <f t="shared" ca="1" si="1"/>
        <v>5</v>
      </c>
      <c r="H67" s="18">
        <f t="shared" ca="1" si="2"/>
        <v>0</v>
      </c>
    </row>
    <row r="68" spans="1:8" x14ac:dyDescent="0.3">
      <c r="A68" s="30"/>
      <c r="B68" s="30"/>
      <c r="D68" s="619">
        <v>50</v>
      </c>
      <c r="E68" s="619">
        <f t="shared" ca="1" si="0"/>
        <v>2</v>
      </c>
      <c r="F68" s="30">
        <f t="shared" ca="1" si="1"/>
        <v>5</v>
      </c>
      <c r="H68" s="18">
        <f t="shared" ca="1" si="2"/>
        <v>0</v>
      </c>
    </row>
    <row r="69" spans="1:8" x14ac:dyDescent="0.3">
      <c r="A69" s="30"/>
      <c r="B69" s="30"/>
      <c r="D69" s="619">
        <v>51</v>
      </c>
      <c r="E69" s="619">
        <f t="shared" ca="1" si="0"/>
        <v>3</v>
      </c>
      <c r="F69" s="30">
        <f t="shared" ca="1" si="1"/>
        <v>5</v>
      </c>
      <c r="H69" s="18">
        <f t="shared" ca="1" si="2"/>
        <v>0</v>
      </c>
    </row>
    <row r="70" spans="1:8" x14ac:dyDescent="0.3">
      <c r="A70" s="30"/>
      <c r="B70" s="30"/>
      <c r="D70" s="619">
        <v>52</v>
      </c>
      <c r="E70" s="619">
        <f t="shared" ca="1" si="0"/>
        <v>4</v>
      </c>
      <c r="F70" s="30">
        <f t="shared" ca="1" si="1"/>
        <v>5</v>
      </c>
      <c r="H70" s="18">
        <f t="shared" ca="1" si="2"/>
        <v>0</v>
      </c>
    </row>
    <row r="71" spans="1:8" x14ac:dyDescent="0.3">
      <c r="A71" s="30"/>
      <c r="B71" s="30"/>
      <c r="D71" s="619">
        <v>53</v>
      </c>
      <c r="E71" s="619">
        <f t="shared" ca="1" si="0"/>
        <v>5</v>
      </c>
      <c r="F71" s="30">
        <f t="shared" ca="1" si="1"/>
        <v>5</v>
      </c>
      <c r="H71" s="18">
        <f t="shared" ca="1" si="2"/>
        <v>0</v>
      </c>
    </row>
    <row r="72" spans="1:8" x14ac:dyDescent="0.3">
      <c r="A72" s="30"/>
      <c r="B72" s="30"/>
      <c r="D72" s="619">
        <v>54</v>
      </c>
      <c r="E72" s="619">
        <f t="shared" ca="1" si="0"/>
        <v>6</v>
      </c>
      <c r="F72" s="30">
        <f t="shared" ca="1" si="1"/>
        <v>5</v>
      </c>
      <c r="H72" s="18">
        <f t="shared" ca="1" si="2"/>
        <v>0</v>
      </c>
    </row>
    <row r="73" spans="1:8" x14ac:dyDescent="0.3">
      <c r="A73" s="30"/>
      <c r="B73" s="30"/>
      <c r="D73" s="619">
        <v>55</v>
      </c>
      <c r="E73" s="619">
        <f t="shared" ca="1" si="0"/>
        <v>7</v>
      </c>
      <c r="F73" s="30">
        <f t="shared" ca="1" si="1"/>
        <v>5</v>
      </c>
      <c r="H73" s="18">
        <f t="shared" ca="1" si="2"/>
        <v>0</v>
      </c>
    </row>
    <row r="74" spans="1:8" x14ac:dyDescent="0.3">
      <c r="A74" s="30"/>
      <c r="B74" s="30"/>
      <c r="D74" s="619">
        <v>56</v>
      </c>
      <c r="E74" s="619">
        <f t="shared" ca="1" si="0"/>
        <v>8</v>
      </c>
      <c r="F74" s="30">
        <f t="shared" ca="1" si="1"/>
        <v>5</v>
      </c>
      <c r="H74" s="18">
        <f t="shared" ca="1" si="2"/>
        <v>0</v>
      </c>
    </row>
    <row r="75" spans="1:8" x14ac:dyDescent="0.3">
      <c r="A75" s="30"/>
      <c r="B75" s="30"/>
      <c r="D75" s="619">
        <v>57</v>
      </c>
      <c r="E75" s="619">
        <f t="shared" ca="1" si="0"/>
        <v>9</v>
      </c>
      <c r="F75" s="30">
        <f t="shared" ca="1" si="1"/>
        <v>5</v>
      </c>
      <c r="H75" s="18">
        <f t="shared" ca="1" si="2"/>
        <v>0</v>
      </c>
    </row>
    <row r="76" spans="1:8" x14ac:dyDescent="0.3">
      <c r="A76" s="30"/>
      <c r="B76" s="30"/>
      <c r="D76" s="619">
        <v>58</v>
      </c>
      <c r="E76" s="619">
        <f t="shared" ca="1" si="0"/>
        <v>10</v>
      </c>
      <c r="F76" s="30">
        <f t="shared" ca="1" si="1"/>
        <v>5</v>
      </c>
      <c r="H76" s="18">
        <f t="shared" ca="1" si="2"/>
        <v>0</v>
      </c>
    </row>
    <row r="77" spans="1:8" x14ac:dyDescent="0.3">
      <c r="A77" s="30"/>
      <c r="B77" s="30"/>
      <c r="D77" s="619">
        <v>59</v>
      </c>
      <c r="E77" s="619">
        <f t="shared" ca="1" si="0"/>
        <v>11</v>
      </c>
      <c r="F77" s="30">
        <f t="shared" ca="1" si="1"/>
        <v>5</v>
      </c>
      <c r="H77" s="18">
        <f t="shared" ca="1" si="2"/>
        <v>0</v>
      </c>
    </row>
    <row r="78" spans="1:8" x14ac:dyDescent="0.3">
      <c r="A78" s="30"/>
      <c r="B78" s="30"/>
      <c r="D78" s="619">
        <v>60</v>
      </c>
      <c r="E78" s="619">
        <f t="shared" ca="1" si="0"/>
        <v>12</v>
      </c>
      <c r="F78" s="30">
        <f t="shared" ca="1" si="1"/>
        <v>5</v>
      </c>
      <c r="H78" s="18">
        <f t="shared" ca="1" si="2"/>
        <v>0</v>
      </c>
    </row>
    <row r="79" spans="1:8" x14ac:dyDescent="0.3">
      <c r="A79" s="30"/>
      <c r="B79" s="30"/>
      <c r="D79" s="619">
        <v>61</v>
      </c>
      <c r="E79" s="619">
        <f t="shared" ca="1" si="0"/>
        <v>1</v>
      </c>
      <c r="F79" s="30">
        <f t="shared" ca="1" si="1"/>
        <v>6</v>
      </c>
      <c r="H79" s="18">
        <f t="shared" ca="1" si="2"/>
        <v>0</v>
      </c>
    </row>
    <row r="80" spans="1:8" x14ac:dyDescent="0.3">
      <c r="A80" s="30"/>
      <c r="B80" s="30"/>
      <c r="D80" s="619">
        <v>62</v>
      </c>
      <c r="E80" s="619">
        <f t="shared" ca="1" si="0"/>
        <v>2</v>
      </c>
      <c r="F80" s="30">
        <f t="shared" ca="1" si="1"/>
        <v>6</v>
      </c>
      <c r="H80" s="18">
        <f t="shared" ca="1" si="2"/>
        <v>0</v>
      </c>
    </row>
    <row r="81" spans="1:8" x14ac:dyDescent="0.3">
      <c r="A81" s="30"/>
      <c r="B81" s="30"/>
      <c r="D81" s="619">
        <v>63</v>
      </c>
      <c r="E81" s="619">
        <f t="shared" ca="1" si="0"/>
        <v>3</v>
      </c>
      <c r="F81" s="30">
        <f t="shared" ca="1" si="1"/>
        <v>6</v>
      </c>
      <c r="H81" s="18">
        <f t="shared" ca="1" si="2"/>
        <v>0</v>
      </c>
    </row>
    <row r="82" spans="1:8" x14ac:dyDescent="0.3">
      <c r="A82" s="30"/>
      <c r="B82" s="30"/>
      <c r="D82" s="619">
        <v>64</v>
      </c>
      <c r="E82" s="619">
        <f t="shared" ca="1" si="0"/>
        <v>4</v>
      </c>
      <c r="F82" s="30">
        <f t="shared" ca="1" si="1"/>
        <v>6</v>
      </c>
      <c r="H82" s="18">
        <f t="shared" ca="1" si="2"/>
        <v>0</v>
      </c>
    </row>
    <row r="83" spans="1:8" x14ac:dyDescent="0.3">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3">
      <c r="A84" s="30"/>
      <c r="B84" s="30"/>
      <c r="D84" s="619">
        <v>66</v>
      </c>
      <c r="E84" s="619">
        <f t="shared" ca="1" si="3"/>
        <v>6</v>
      </c>
      <c r="F84" s="30">
        <f t="shared" ca="1" si="4"/>
        <v>6</v>
      </c>
      <c r="H84" s="18">
        <f t="shared" ca="1" si="5"/>
        <v>0</v>
      </c>
    </row>
    <row r="85" spans="1:8" x14ac:dyDescent="0.3">
      <c r="A85" s="30"/>
      <c r="B85" s="30"/>
      <c r="D85" s="619">
        <v>67</v>
      </c>
      <c r="E85" s="619">
        <f t="shared" ca="1" si="3"/>
        <v>7</v>
      </c>
      <c r="F85" s="30">
        <f t="shared" ca="1" si="4"/>
        <v>6</v>
      </c>
      <c r="H85" s="18">
        <f t="shared" ca="1" si="5"/>
        <v>0</v>
      </c>
    </row>
    <row r="86" spans="1:8" x14ac:dyDescent="0.3">
      <c r="A86" s="30"/>
      <c r="B86" s="30"/>
      <c r="D86" s="619">
        <v>68</v>
      </c>
      <c r="E86" s="619">
        <f t="shared" ca="1" si="3"/>
        <v>8</v>
      </c>
      <c r="F86" s="30">
        <f t="shared" ca="1" si="4"/>
        <v>6</v>
      </c>
      <c r="H86" s="18">
        <f t="shared" ca="1" si="5"/>
        <v>0</v>
      </c>
    </row>
    <row r="87" spans="1:8" x14ac:dyDescent="0.3">
      <c r="A87" s="30"/>
      <c r="B87" s="30"/>
      <c r="D87" s="619">
        <v>69</v>
      </c>
      <c r="E87" s="619">
        <f t="shared" ca="1" si="3"/>
        <v>9</v>
      </c>
      <c r="F87" s="30">
        <f t="shared" ca="1" si="4"/>
        <v>6</v>
      </c>
      <c r="H87" s="18">
        <f t="shared" ca="1" si="5"/>
        <v>0</v>
      </c>
    </row>
    <row r="88" spans="1:8" x14ac:dyDescent="0.3">
      <c r="A88" s="30"/>
      <c r="B88" s="30"/>
      <c r="D88" s="619">
        <v>70</v>
      </c>
      <c r="E88" s="619">
        <f t="shared" ca="1" si="3"/>
        <v>10</v>
      </c>
      <c r="F88" s="30">
        <f t="shared" ca="1" si="4"/>
        <v>6</v>
      </c>
      <c r="H88" s="18">
        <f t="shared" ca="1" si="5"/>
        <v>0</v>
      </c>
    </row>
    <row r="89" spans="1:8" x14ac:dyDescent="0.3">
      <c r="A89" s="30"/>
      <c r="B89" s="30"/>
      <c r="D89" s="619">
        <v>71</v>
      </c>
      <c r="E89" s="619">
        <f t="shared" ca="1" si="3"/>
        <v>11</v>
      </c>
      <c r="F89" s="30">
        <f t="shared" ca="1" si="4"/>
        <v>6</v>
      </c>
      <c r="H89" s="18">
        <f t="shared" ca="1" si="5"/>
        <v>0</v>
      </c>
    </row>
    <row r="90" spans="1:8" x14ac:dyDescent="0.3">
      <c r="A90" s="30"/>
      <c r="B90" s="30"/>
      <c r="D90" s="619">
        <v>72</v>
      </c>
      <c r="E90" s="619">
        <f t="shared" ca="1" si="3"/>
        <v>12</v>
      </c>
      <c r="F90" s="30">
        <f t="shared" ca="1" si="4"/>
        <v>6</v>
      </c>
      <c r="H90" s="18">
        <f t="shared" ca="1" si="5"/>
        <v>0</v>
      </c>
    </row>
    <row r="91" spans="1:8" x14ac:dyDescent="0.3">
      <c r="A91" s="30"/>
      <c r="B91" s="30"/>
      <c r="D91" s="619">
        <v>73</v>
      </c>
      <c r="E91" s="619">
        <f t="shared" ca="1" si="3"/>
        <v>1</v>
      </c>
      <c r="F91" s="30">
        <f t="shared" ca="1" si="4"/>
        <v>7</v>
      </c>
      <c r="H91" s="18">
        <f t="shared" ca="1" si="5"/>
        <v>0</v>
      </c>
    </row>
    <row r="92" spans="1:8" x14ac:dyDescent="0.3">
      <c r="A92" s="30"/>
      <c r="B92" s="30"/>
      <c r="D92" s="619">
        <v>74</v>
      </c>
      <c r="E92" s="619">
        <f t="shared" ca="1" si="3"/>
        <v>2</v>
      </c>
      <c r="F92" s="30">
        <f t="shared" ca="1" si="4"/>
        <v>7</v>
      </c>
      <c r="H92" s="18">
        <f t="shared" ca="1" si="5"/>
        <v>0</v>
      </c>
    </row>
    <row r="93" spans="1:8" x14ac:dyDescent="0.3">
      <c r="A93" s="30"/>
      <c r="B93" s="30"/>
      <c r="D93" s="619">
        <v>75</v>
      </c>
      <c r="E93" s="619">
        <f t="shared" ca="1" si="3"/>
        <v>3</v>
      </c>
      <c r="F93" s="30">
        <f t="shared" ca="1" si="4"/>
        <v>7</v>
      </c>
      <c r="H93" s="18">
        <f t="shared" ca="1" si="5"/>
        <v>0</v>
      </c>
    </row>
    <row r="94" spans="1:8" x14ac:dyDescent="0.3">
      <c r="A94" s="30"/>
      <c r="B94" s="30"/>
      <c r="D94" s="619">
        <v>76</v>
      </c>
      <c r="E94" s="619">
        <f t="shared" ca="1" si="3"/>
        <v>4</v>
      </c>
      <c r="F94" s="30">
        <f t="shared" ca="1" si="4"/>
        <v>7</v>
      </c>
      <c r="H94" s="18">
        <f t="shared" ca="1" si="5"/>
        <v>0</v>
      </c>
    </row>
    <row r="95" spans="1:8" x14ac:dyDescent="0.3">
      <c r="B95" s="30"/>
      <c r="D95" s="619">
        <v>77</v>
      </c>
      <c r="E95" s="619">
        <f t="shared" ca="1" si="3"/>
        <v>5</v>
      </c>
      <c r="F95" s="30">
        <f t="shared" ca="1" si="4"/>
        <v>7</v>
      </c>
      <c r="H95" s="18">
        <f t="shared" ca="1" si="5"/>
        <v>0</v>
      </c>
    </row>
    <row r="96" spans="1:8" x14ac:dyDescent="0.3">
      <c r="B96" s="30"/>
      <c r="D96" s="619">
        <v>78</v>
      </c>
      <c r="E96" s="619">
        <f t="shared" ca="1" si="3"/>
        <v>6</v>
      </c>
      <c r="F96" s="30">
        <f t="shared" ca="1" si="4"/>
        <v>7</v>
      </c>
      <c r="H96" s="18">
        <f t="shared" ca="1" si="5"/>
        <v>0</v>
      </c>
    </row>
    <row r="97" spans="1:8" x14ac:dyDescent="0.3">
      <c r="B97" s="30"/>
      <c r="D97" s="619">
        <v>79</v>
      </c>
      <c r="E97" s="619">
        <f t="shared" ca="1" si="3"/>
        <v>7</v>
      </c>
      <c r="F97" s="30">
        <f t="shared" ca="1" si="4"/>
        <v>7</v>
      </c>
      <c r="H97" s="18">
        <f t="shared" ca="1" si="5"/>
        <v>0</v>
      </c>
    </row>
    <row r="98" spans="1:8" x14ac:dyDescent="0.3">
      <c r="A98" s="30"/>
      <c r="B98" s="30"/>
      <c r="D98" s="619">
        <v>80</v>
      </c>
      <c r="E98" s="619">
        <f t="shared" ca="1" si="3"/>
        <v>8</v>
      </c>
      <c r="F98" s="30">
        <f t="shared" ca="1" si="4"/>
        <v>7</v>
      </c>
      <c r="H98" s="18">
        <f t="shared" ca="1" si="5"/>
        <v>0</v>
      </c>
    </row>
    <row r="99" spans="1:8" x14ac:dyDescent="0.3">
      <c r="A99" s="30"/>
      <c r="B99" s="30"/>
      <c r="D99" s="619">
        <v>81</v>
      </c>
      <c r="E99" s="619">
        <f t="shared" ca="1" si="3"/>
        <v>9</v>
      </c>
      <c r="F99" s="30">
        <f t="shared" ca="1" si="4"/>
        <v>7</v>
      </c>
      <c r="H99" s="18">
        <f t="shared" ca="1" si="5"/>
        <v>0</v>
      </c>
    </row>
    <row r="100" spans="1:8" x14ac:dyDescent="0.3">
      <c r="A100" s="30"/>
      <c r="B100" s="30"/>
      <c r="D100" s="619">
        <v>82</v>
      </c>
      <c r="E100" s="619">
        <f t="shared" ca="1" si="3"/>
        <v>10</v>
      </c>
      <c r="F100" s="30">
        <f t="shared" ca="1" si="4"/>
        <v>7</v>
      </c>
      <c r="H100" s="18">
        <f t="shared" ca="1" si="5"/>
        <v>0</v>
      </c>
    </row>
    <row r="101" spans="1:8" x14ac:dyDescent="0.3">
      <c r="A101" s="30"/>
      <c r="B101" s="30"/>
      <c r="D101" s="619">
        <v>83</v>
      </c>
      <c r="E101" s="619">
        <f t="shared" ca="1" si="3"/>
        <v>11</v>
      </c>
      <c r="F101" s="30">
        <f t="shared" ca="1" si="4"/>
        <v>7</v>
      </c>
      <c r="H101" s="18">
        <f t="shared" ca="1" si="5"/>
        <v>0</v>
      </c>
    </row>
    <row r="102" spans="1:8" x14ac:dyDescent="0.3">
      <c r="A102" s="30"/>
      <c r="B102" s="30"/>
      <c r="D102" s="619">
        <v>84</v>
      </c>
      <c r="E102" s="619">
        <f t="shared" ca="1" si="3"/>
        <v>12</v>
      </c>
      <c r="F102" s="30">
        <f t="shared" ca="1" si="4"/>
        <v>7</v>
      </c>
      <c r="H102" s="18">
        <f t="shared" ca="1" si="5"/>
        <v>0</v>
      </c>
    </row>
    <row r="103" spans="1:8" x14ac:dyDescent="0.3">
      <c r="A103" s="30"/>
      <c r="B103" s="30"/>
      <c r="D103" s="619">
        <v>85</v>
      </c>
      <c r="E103" s="619">
        <f t="shared" ca="1" si="3"/>
        <v>1</v>
      </c>
      <c r="F103" s="30">
        <f t="shared" ca="1" si="4"/>
        <v>8</v>
      </c>
      <c r="H103" s="18">
        <f t="shared" ca="1" si="5"/>
        <v>0</v>
      </c>
    </row>
    <row r="104" spans="1:8" x14ac:dyDescent="0.3">
      <c r="D104" s="619">
        <v>86</v>
      </c>
      <c r="E104" s="619">
        <f t="shared" ca="1" si="3"/>
        <v>2</v>
      </c>
      <c r="F104" s="30">
        <f t="shared" ca="1" si="4"/>
        <v>8</v>
      </c>
      <c r="H104" s="18">
        <f t="shared" ca="1" si="5"/>
        <v>0</v>
      </c>
    </row>
    <row r="105" spans="1:8" x14ac:dyDescent="0.3">
      <c r="D105" s="619">
        <v>87</v>
      </c>
      <c r="E105" s="619">
        <f t="shared" ca="1" si="3"/>
        <v>3</v>
      </c>
      <c r="F105" s="30">
        <f t="shared" ca="1" si="4"/>
        <v>8</v>
      </c>
      <c r="H105" s="18">
        <f t="shared" ca="1" si="5"/>
        <v>0</v>
      </c>
    </row>
    <row r="106" spans="1:8" x14ac:dyDescent="0.3">
      <c r="D106" s="619">
        <v>88</v>
      </c>
      <c r="E106" s="619">
        <f t="shared" ca="1" si="3"/>
        <v>4</v>
      </c>
      <c r="F106" s="30">
        <f t="shared" ca="1" si="4"/>
        <v>8</v>
      </c>
      <c r="H106" s="18">
        <f t="shared" ca="1" si="5"/>
        <v>0</v>
      </c>
    </row>
    <row r="107" spans="1:8" x14ac:dyDescent="0.3">
      <c r="D107" s="619">
        <v>89</v>
      </c>
      <c r="E107" s="619">
        <f t="shared" ca="1" si="3"/>
        <v>5</v>
      </c>
      <c r="F107" s="30">
        <f t="shared" ca="1" si="4"/>
        <v>8</v>
      </c>
      <c r="H107" s="18">
        <f t="shared" ca="1" si="5"/>
        <v>0</v>
      </c>
    </row>
    <row r="108" spans="1:8" x14ac:dyDescent="0.3">
      <c r="D108" s="619">
        <v>90</v>
      </c>
      <c r="E108" s="619">
        <f t="shared" ca="1" si="3"/>
        <v>6</v>
      </c>
      <c r="F108" s="30">
        <f t="shared" ca="1" si="4"/>
        <v>8</v>
      </c>
      <c r="H108" s="18">
        <f t="shared" ca="1" si="5"/>
        <v>0</v>
      </c>
    </row>
    <row r="109" spans="1:8" x14ac:dyDescent="0.3">
      <c r="D109" s="619">
        <v>91</v>
      </c>
      <c r="E109" s="619">
        <f t="shared" ca="1" si="3"/>
        <v>7</v>
      </c>
      <c r="F109" s="30">
        <f t="shared" ca="1" si="4"/>
        <v>8</v>
      </c>
      <c r="H109" s="18">
        <f t="shared" ca="1" si="5"/>
        <v>0</v>
      </c>
    </row>
    <row r="110" spans="1:8" x14ac:dyDescent="0.3">
      <c r="D110" s="619">
        <v>92</v>
      </c>
      <c r="E110" s="619">
        <f t="shared" ca="1" si="3"/>
        <v>8</v>
      </c>
      <c r="F110" s="30">
        <f t="shared" ca="1" si="4"/>
        <v>8</v>
      </c>
      <c r="H110" s="18">
        <f t="shared" ca="1" si="5"/>
        <v>0</v>
      </c>
    </row>
    <row r="111" spans="1:8" x14ac:dyDescent="0.3">
      <c r="D111" s="619">
        <v>93</v>
      </c>
      <c r="E111" s="619">
        <f t="shared" ca="1" si="3"/>
        <v>9</v>
      </c>
      <c r="F111" s="30">
        <f t="shared" ca="1" si="4"/>
        <v>8</v>
      </c>
      <c r="H111" s="18">
        <f t="shared" ca="1" si="5"/>
        <v>0</v>
      </c>
    </row>
    <row r="112" spans="1:8" x14ac:dyDescent="0.3">
      <c r="D112" s="619">
        <v>94</v>
      </c>
      <c r="E112" s="619">
        <f t="shared" ca="1" si="3"/>
        <v>10</v>
      </c>
      <c r="F112" s="30">
        <f t="shared" ca="1" si="4"/>
        <v>8</v>
      </c>
      <c r="H112" s="18">
        <f t="shared" ca="1" si="5"/>
        <v>0</v>
      </c>
    </row>
    <row r="113" spans="4:8" s="618" customFormat="1" x14ac:dyDescent="0.3">
      <c r="D113" s="619">
        <v>95</v>
      </c>
      <c r="E113" s="619">
        <f t="shared" ca="1" si="3"/>
        <v>11</v>
      </c>
      <c r="F113" s="30">
        <f t="shared" ca="1" si="4"/>
        <v>8</v>
      </c>
      <c r="H113" s="18">
        <f t="shared" ca="1" si="5"/>
        <v>0</v>
      </c>
    </row>
    <row r="114" spans="4:8" s="618" customFormat="1" x14ac:dyDescent="0.3">
      <c r="D114" s="619">
        <v>96</v>
      </c>
      <c r="E114" s="619">
        <f t="shared" ca="1" si="3"/>
        <v>12</v>
      </c>
      <c r="F114" s="30">
        <f t="shared" ca="1" si="4"/>
        <v>8</v>
      </c>
      <c r="H114" s="18">
        <f t="shared" ca="1" si="5"/>
        <v>0</v>
      </c>
    </row>
    <row r="115" spans="4:8" s="618" customFormat="1" x14ac:dyDescent="0.3">
      <c r="D115" s="619">
        <v>97</v>
      </c>
      <c r="E115" s="619">
        <f t="shared" ca="1" si="3"/>
        <v>1</v>
      </c>
      <c r="F115" s="30">
        <f t="shared" ca="1" si="4"/>
        <v>9</v>
      </c>
      <c r="H115" s="18">
        <f t="shared" ca="1" si="5"/>
        <v>0</v>
      </c>
    </row>
    <row r="116" spans="4:8" s="618" customFormat="1" x14ac:dyDescent="0.3">
      <c r="D116" s="619">
        <v>98</v>
      </c>
      <c r="E116" s="619">
        <f t="shared" ca="1" si="3"/>
        <v>2</v>
      </c>
      <c r="F116" s="30">
        <f t="shared" ca="1" si="4"/>
        <v>9</v>
      </c>
      <c r="H116" s="18">
        <f t="shared" ca="1" si="5"/>
        <v>0</v>
      </c>
    </row>
    <row r="117" spans="4:8" s="618" customFormat="1" x14ac:dyDescent="0.3">
      <c r="D117" s="619">
        <v>99</v>
      </c>
      <c r="E117" s="619">
        <f t="shared" ca="1" si="3"/>
        <v>3</v>
      </c>
      <c r="F117" s="30">
        <f t="shared" ca="1" si="4"/>
        <v>9</v>
      </c>
      <c r="H117" s="18">
        <f t="shared" ca="1" si="5"/>
        <v>0</v>
      </c>
    </row>
    <row r="118" spans="4:8" s="618" customFormat="1" x14ac:dyDescent="0.3">
      <c r="D118" s="619">
        <v>100</v>
      </c>
      <c r="E118" s="619">
        <f t="shared" ca="1" si="3"/>
        <v>4</v>
      </c>
      <c r="F118" s="30">
        <f t="shared" ca="1" si="4"/>
        <v>9</v>
      </c>
      <c r="H118" s="18">
        <f t="shared" ca="1" si="5"/>
        <v>0</v>
      </c>
    </row>
    <row r="119" spans="4:8" s="618" customFormat="1" x14ac:dyDescent="0.3">
      <c r="D119" s="619">
        <v>101</v>
      </c>
      <c r="E119" s="619">
        <f t="shared" ca="1" si="3"/>
        <v>5</v>
      </c>
      <c r="F119" s="30">
        <f t="shared" ca="1" si="4"/>
        <v>9</v>
      </c>
      <c r="H119" s="18">
        <f t="shared" ca="1" si="5"/>
        <v>0</v>
      </c>
    </row>
    <row r="120" spans="4:8" s="618" customFormat="1" x14ac:dyDescent="0.3">
      <c r="D120" s="619">
        <v>102</v>
      </c>
      <c r="E120" s="619">
        <f t="shared" ca="1" si="3"/>
        <v>6</v>
      </c>
      <c r="F120" s="30">
        <f t="shared" ca="1" si="4"/>
        <v>9</v>
      </c>
      <c r="H120" s="18">
        <f t="shared" ca="1" si="5"/>
        <v>0</v>
      </c>
    </row>
    <row r="121" spans="4:8" s="618" customFormat="1" x14ac:dyDescent="0.3">
      <c r="D121" s="619">
        <v>103</v>
      </c>
      <c r="E121" s="619">
        <f t="shared" ca="1" si="3"/>
        <v>7</v>
      </c>
      <c r="F121" s="30">
        <f t="shared" ca="1" si="4"/>
        <v>9</v>
      </c>
      <c r="H121" s="18">
        <f t="shared" ca="1" si="5"/>
        <v>0</v>
      </c>
    </row>
    <row r="122" spans="4:8" s="618" customFormat="1" x14ac:dyDescent="0.3">
      <c r="D122" s="619">
        <v>104</v>
      </c>
      <c r="E122" s="619">
        <f t="shared" ca="1" si="3"/>
        <v>8</v>
      </c>
      <c r="F122" s="30">
        <f t="shared" ca="1" si="4"/>
        <v>9</v>
      </c>
      <c r="H122" s="18">
        <f t="shared" ca="1" si="5"/>
        <v>0</v>
      </c>
    </row>
    <row r="123" spans="4:8" s="618" customFormat="1" x14ac:dyDescent="0.3">
      <c r="D123" s="619">
        <v>105</v>
      </c>
      <c r="E123" s="619">
        <f t="shared" ca="1" si="3"/>
        <v>9</v>
      </c>
      <c r="F123" s="30">
        <f t="shared" ca="1" si="4"/>
        <v>9</v>
      </c>
      <c r="H123" s="18">
        <f t="shared" ca="1" si="5"/>
        <v>0</v>
      </c>
    </row>
    <row r="124" spans="4:8" s="618" customFormat="1" x14ac:dyDescent="0.3">
      <c r="D124" s="619">
        <v>106</v>
      </c>
      <c r="E124" s="619">
        <f t="shared" ca="1" si="3"/>
        <v>10</v>
      </c>
      <c r="F124" s="30">
        <f t="shared" ca="1" si="4"/>
        <v>9</v>
      </c>
      <c r="H124" s="18">
        <f t="shared" ca="1" si="5"/>
        <v>0</v>
      </c>
    </row>
    <row r="125" spans="4:8" s="618" customFormat="1" x14ac:dyDescent="0.3">
      <c r="D125" s="619">
        <v>107</v>
      </c>
      <c r="E125" s="619">
        <f t="shared" ca="1" si="3"/>
        <v>11</v>
      </c>
      <c r="F125" s="30">
        <f t="shared" ca="1" si="4"/>
        <v>9</v>
      </c>
      <c r="H125" s="18">
        <f t="shared" ca="1" si="5"/>
        <v>0</v>
      </c>
    </row>
    <row r="126" spans="4:8" s="618" customFormat="1" x14ac:dyDescent="0.3">
      <c r="D126" s="619">
        <v>108</v>
      </c>
      <c r="E126" s="619">
        <f t="shared" ca="1" si="3"/>
        <v>12</v>
      </c>
      <c r="F126" s="30">
        <f t="shared" ca="1" si="4"/>
        <v>9</v>
      </c>
      <c r="H126" s="18">
        <f t="shared" ca="1" si="5"/>
        <v>0</v>
      </c>
    </row>
    <row r="127" spans="4:8" s="618" customFormat="1" x14ac:dyDescent="0.3">
      <c r="D127" s="619">
        <v>109</v>
      </c>
      <c r="E127" s="619">
        <f t="shared" ca="1" si="3"/>
        <v>1</v>
      </c>
      <c r="F127" s="30">
        <f t="shared" ca="1" si="4"/>
        <v>10</v>
      </c>
      <c r="H127" s="18">
        <f t="shared" ca="1" si="5"/>
        <v>0</v>
      </c>
    </row>
    <row r="128" spans="4:8" s="618" customFormat="1" x14ac:dyDescent="0.3">
      <c r="D128" s="619">
        <v>110</v>
      </c>
      <c r="E128" s="619">
        <f t="shared" ca="1" si="3"/>
        <v>2</v>
      </c>
      <c r="F128" s="30">
        <f t="shared" ca="1" si="4"/>
        <v>10</v>
      </c>
      <c r="H128" s="18">
        <f t="shared" ca="1" si="5"/>
        <v>0</v>
      </c>
    </row>
    <row r="129" spans="4:8" s="618" customFormat="1" x14ac:dyDescent="0.3">
      <c r="D129" s="619">
        <v>111</v>
      </c>
      <c r="E129" s="619">
        <f t="shared" ca="1" si="3"/>
        <v>3</v>
      </c>
      <c r="F129" s="30">
        <f t="shared" ca="1" si="4"/>
        <v>10</v>
      </c>
      <c r="H129" s="18">
        <f t="shared" ca="1" si="5"/>
        <v>0</v>
      </c>
    </row>
    <row r="130" spans="4:8" s="618" customFormat="1" x14ac:dyDescent="0.3">
      <c r="D130" s="619">
        <v>112</v>
      </c>
      <c r="E130" s="619">
        <f t="shared" ca="1" si="3"/>
        <v>4</v>
      </c>
      <c r="F130" s="30">
        <f t="shared" ca="1" si="4"/>
        <v>10</v>
      </c>
      <c r="H130" s="18">
        <f t="shared" ca="1" si="5"/>
        <v>0</v>
      </c>
    </row>
    <row r="131" spans="4:8" s="618" customFormat="1" x14ac:dyDescent="0.3">
      <c r="D131" s="619">
        <v>113</v>
      </c>
      <c r="E131" s="619">
        <f t="shared" ca="1" si="3"/>
        <v>5</v>
      </c>
      <c r="F131" s="30">
        <f t="shared" ca="1" si="4"/>
        <v>10</v>
      </c>
      <c r="H131" s="18">
        <f t="shared" ca="1" si="5"/>
        <v>0</v>
      </c>
    </row>
    <row r="132" spans="4:8" s="618" customFormat="1" x14ac:dyDescent="0.3">
      <c r="D132" s="619">
        <v>114</v>
      </c>
      <c r="E132" s="619">
        <f t="shared" ca="1" si="3"/>
        <v>6</v>
      </c>
      <c r="F132" s="30">
        <f t="shared" ca="1" si="4"/>
        <v>10</v>
      </c>
      <c r="H132" s="18">
        <f t="shared" ca="1" si="5"/>
        <v>0</v>
      </c>
    </row>
    <row r="133" spans="4:8" s="618" customFormat="1" x14ac:dyDescent="0.3">
      <c r="D133" s="619">
        <v>115</v>
      </c>
      <c r="E133" s="619">
        <f t="shared" ca="1" si="3"/>
        <v>7</v>
      </c>
      <c r="F133" s="30">
        <f t="shared" ca="1" si="4"/>
        <v>10</v>
      </c>
      <c r="H133" s="18">
        <f t="shared" ca="1" si="5"/>
        <v>0</v>
      </c>
    </row>
    <row r="134" spans="4:8" s="618" customFormat="1" x14ac:dyDescent="0.3">
      <c r="D134" s="619">
        <v>116</v>
      </c>
      <c r="E134" s="619">
        <f t="shared" ca="1" si="3"/>
        <v>8</v>
      </c>
      <c r="F134" s="30">
        <f t="shared" ca="1" si="4"/>
        <v>10</v>
      </c>
      <c r="H134" s="18">
        <f t="shared" ca="1" si="5"/>
        <v>0</v>
      </c>
    </row>
    <row r="135" spans="4:8" s="618" customFormat="1" x14ac:dyDescent="0.3">
      <c r="D135" s="619">
        <v>117</v>
      </c>
      <c r="E135" s="619">
        <f t="shared" ca="1" si="3"/>
        <v>9</v>
      </c>
      <c r="F135" s="30">
        <f t="shared" ca="1" si="4"/>
        <v>10</v>
      </c>
      <c r="H135" s="18">
        <f t="shared" ca="1" si="5"/>
        <v>0</v>
      </c>
    </row>
    <row r="136" spans="4:8" s="618" customFormat="1" x14ac:dyDescent="0.3">
      <c r="D136" s="619">
        <v>118</v>
      </c>
      <c r="E136" s="619">
        <f t="shared" ca="1" si="3"/>
        <v>10</v>
      </c>
      <c r="F136" s="30">
        <f t="shared" ca="1" si="4"/>
        <v>10</v>
      </c>
      <c r="H136" s="18">
        <f t="shared" ca="1" si="5"/>
        <v>0</v>
      </c>
    </row>
    <row r="137" spans="4:8" s="618" customFormat="1" x14ac:dyDescent="0.3">
      <c r="D137" s="619">
        <v>119</v>
      </c>
      <c r="E137" s="619">
        <f t="shared" ca="1" si="3"/>
        <v>11</v>
      </c>
      <c r="F137" s="30">
        <f t="shared" ca="1" si="4"/>
        <v>10</v>
      </c>
      <c r="H137" s="18">
        <f t="shared" ca="1" si="5"/>
        <v>0</v>
      </c>
    </row>
    <row r="138" spans="4:8" s="618" customFormat="1" x14ac:dyDescent="0.3">
      <c r="D138" s="619">
        <v>120</v>
      </c>
      <c r="E138" s="619">
        <f t="shared" ca="1" si="3"/>
        <v>12</v>
      </c>
      <c r="F138" s="30">
        <f t="shared" ca="1" si="4"/>
        <v>10</v>
      </c>
      <c r="H138" s="18">
        <f t="shared" ca="1" si="5"/>
        <v>0</v>
      </c>
    </row>
    <row r="139" spans="4:8" s="618" customFormat="1" x14ac:dyDescent="0.3">
      <c r="D139" s="619">
        <v>121</v>
      </c>
      <c r="E139" s="619">
        <f t="shared" ca="1" si="3"/>
        <v>1</v>
      </c>
      <c r="F139" s="30">
        <f t="shared" ca="1" si="4"/>
        <v>11</v>
      </c>
      <c r="H139" s="18">
        <f t="shared" ca="1" si="5"/>
        <v>0</v>
      </c>
    </row>
    <row r="140" spans="4:8" s="618" customFormat="1" x14ac:dyDescent="0.3">
      <c r="D140" s="619">
        <v>122</v>
      </c>
      <c r="E140" s="619">
        <f t="shared" ca="1" si="3"/>
        <v>2</v>
      </c>
      <c r="F140" s="30">
        <f t="shared" ca="1" si="4"/>
        <v>11</v>
      </c>
      <c r="H140" s="18">
        <f t="shared" ca="1" si="5"/>
        <v>0</v>
      </c>
    </row>
    <row r="141" spans="4:8" s="618" customFormat="1" x14ac:dyDescent="0.3">
      <c r="D141" s="619">
        <v>123</v>
      </c>
      <c r="E141" s="619">
        <f t="shared" ca="1" si="3"/>
        <v>3</v>
      </c>
      <c r="F141" s="30">
        <f t="shared" ca="1" si="4"/>
        <v>11</v>
      </c>
      <c r="H141" s="18">
        <f t="shared" ca="1" si="5"/>
        <v>0</v>
      </c>
    </row>
    <row r="142" spans="4:8" s="618" customFormat="1" x14ac:dyDescent="0.3">
      <c r="D142" s="619">
        <v>124</v>
      </c>
      <c r="E142" s="619">
        <f t="shared" ca="1" si="3"/>
        <v>4</v>
      </c>
      <c r="F142" s="30">
        <f t="shared" ca="1" si="4"/>
        <v>11</v>
      </c>
      <c r="H142" s="18">
        <f t="shared" ca="1" si="5"/>
        <v>0</v>
      </c>
    </row>
    <row r="143" spans="4:8" s="618" customFormat="1" x14ac:dyDescent="0.3">
      <c r="D143" s="619">
        <v>125</v>
      </c>
      <c r="E143" s="619">
        <f t="shared" ca="1" si="3"/>
        <v>5</v>
      </c>
      <c r="F143" s="30">
        <f t="shared" ca="1" si="4"/>
        <v>11</v>
      </c>
      <c r="H143" s="18">
        <f t="shared" ca="1" si="5"/>
        <v>0</v>
      </c>
    </row>
    <row r="144" spans="4:8" s="618" customFormat="1" x14ac:dyDescent="0.3">
      <c r="D144" s="619">
        <v>126</v>
      </c>
      <c r="E144" s="619">
        <f t="shared" ca="1" si="3"/>
        <v>6</v>
      </c>
      <c r="F144" s="30">
        <f t="shared" ca="1" si="4"/>
        <v>11</v>
      </c>
      <c r="H144" s="18">
        <f t="shared" ca="1" si="5"/>
        <v>0</v>
      </c>
    </row>
    <row r="145" spans="4:8" s="618" customFormat="1" x14ac:dyDescent="0.3">
      <c r="D145" s="619">
        <v>127</v>
      </c>
      <c r="E145" s="619">
        <f t="shared" ca="1" si="3"/>
        <v>7</v>
      </c>
      <c r="F145" s="30">
        <f t="shared" ca="1" si="4"/>
        <v>11</v>
      </c>
      <c r="H145" s="18">
        <f t="shared" ca="1" si="5"/>
        <v>0</v>
      </c>
    </row>
    <row r="146" spans="4:8" s="618" customFormat="1" x14ac:dyDescent="0.3">
      <c r="D146" s="619">
        <v>128</v>
      </c>
      <c r="E146" s="619">
        <f t="shared" ca="1" si="3"/>
        <v>8</v>
      </c>
      <c r="F146" s="30">
        <f t="shared" ca="1" si="4"/>
        <v>11</v>
      </c>
      <c r="H146" s="18">
        <f t="shared" ca="1" si="5"/>
        <v>0</v>
      </c>
    </row>
    <row r="147" spans="4:8" s="618" customFormat="1" x14ac:dyDescent="0.3">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x14ac:dyDescent="0.3">
      <c r="D148" s="619">
        <v>130</v>
      </c>
      <c r="E148" s="619">
        <f t="shared" ca="1" si="6"/>
        <v>10</v>
      </c>
      <c r="F148" s="30">
        <f t="shared" ca="1" si="7"/>
        <v>11</v>
      </c>
      <c r="H148" s="18">
        <f t="shared" ca="1" si="8"/>
        <v>0</v>
      </c>
    </row>
    <row r="149" spans="4:8" s="618" customFormat="1" x14ac:dyDescent="0.3">
      <c r="D149" s="619">
        <v>131</v>
      </c>
      <c r="E149" s="619">
        <f t="shared" ca="1" si="6"/>
        <v>11</v>
      </c>
      <c r="F149" s="30">
        <f t="shared" ca="1" si="7"/>
        <v>11</v>
      </c>
      <c r="H149" s="18">
        <f t="shared" ca="1" si="8"/>
        <v>0</v>
      </c>
    </row>
    <row r="150" spans="4:8" s="618" customFormat="1" x14ac:dyDescent="0.3">
      <c r="D150" s="619">
        <v>132</v>
      </c>
      <c r="E150" s="619">
        <f t="shared" ca="1" si="6"/>
        <v>12</v>
      </c>
      <c r="F150" s="30">
        <f t="shared" ca="1" si="7"/>
        <v>11</v>
      </c>
      <c r="H150" s="18">
        <f t="shared" ca="1" si="8"/>
        <v>0</v>
      </c>
    </row>
    <row r="151" spans="4:8" s="618" customFormat="1" x14ac:dyDescent="0.3">
      <c r="D151" s="619">
        <v>133</v>
      </c>
      <c r="E151" s="619">
        <f t="shared" ca="1" si="6"/>
        <v>1</v>
      </c>
      <c r="F151" s="30">
        <f t="shared" ca="1" si="7"/>
        <v>12</v>
      </c>
      <c r="H151" s="18">
        <f t="shared" ca="1" si="8"/>
        <v>0</v>
      </c>
    </row>
    <row r="152" spans="4:8" s="618" customFormat="1" x14ac:dyDescent="0.3">
      <c r="D152" s="619">
        <v>134</v>
      </c>
      <c r="E152" s="619">
        <f t="shared" ca="1" si="6"/>
        <v>2</v>
      </c>
      <c r="F152" s="30">
        <f t="shared" ca="1" si="7"/>
        <v>12</v>
      </c>
      <c r="H152" s="18">
        <f t="shared" ca="1" si="8"/>
        <v>0</v>
      </c>
    </row>
    <row r="153" spans="4:8" s="618" customFormat="1" x14ac:dyDescent="0.3">
      <c r="D153" s="619">
        <v>135</v>
      </c>
      <c r="E153" s="619">
        <f t="shared" ca="1" si="6"/>
        <v>3</v>
      </c>
      <c r="F153" s="30">
        <f t="shared" ca="1" si="7"/>
        <v>12</v>
      </c>
      <c r="H153" s="18">
        <f t="shared" ca="1" si="8"/>
        <v>0</v>
      </c>
    </row>
    <row r="154" spans="4:8" s="618" customFormat="1" x14ac:dyDescent="0.3">
      <c r="D154" s="619">
        <v>136</v>
      </c>
      <c r="E154" s="619">
        <f t="shared" ca="1" si="6"/>
        <v>4</v>
      </c>
      <c r="F154" s="30">
        <f t="shared" ca="1" si="7"/>
        <v>12</v>
      </c>
      <c r="H154" s="18">
        <f t="shared" ca="1" si="8"/>
        <v>0</v>
      </c>
    </row>
    <row r="155" spans="4:8" s="618" customFormat="1" x14ac:dyDescent="0.3">
      <c r="D155" s="619">
        <v>137</v>
      </c>
      <c r="E155" s="619">
        <f t="shared" ca="1" si="6"/>
        <v>5</v>
      </c>
      <c r="F155" s="30">
        <f t="shared" ca="1" si="7"/>
        <v>12</v>
      </c>
      <c r="H155" s="18">
        <f t="shared" ca="1" si="8"/>
        <v>0</v>
      </c>
    </row>
    <row r="156" spans="4:8" s="618" customFormat="1" x14ac:dyDescent="0.3">
      <c r="D156" s="619">
        <v>138</v>
      </c>
      <c r="E156" s="619">
        <f t="shared" ca="1" si="6"/>
        <v>6</v>
      </c>
      <c r="F156" s="30">
        <f t="shared" ca="1" si="7"/>
        <v>12</v>
      </c>
      <c r="H156" s="18">
        <f t="shared" ca="1" si="8"/>
        <v>0</v>
      </c>
    </row>
    <row r="157" spans="4:8" s="618" customFormat="1" x14ac:dyDescent="0.3">
      <c r="D157" s="619">
        <v>139</v>
      </c>
      <c r="E157" s="619">
        <f t="shared" ca="1" si="6"/>
        <v>7</v>
      </c>
      <c r="F157" s="30">
        <f t="shared" ca="1" si="7"/>
        <v>12</v>
      </c>
      <c r="H157" s="18">
        <f t="shared" ca="1" si="8"/>
        <v>0</v>
      </c>
    </row>
    <row r="158" spans="4:8" s="618" customFormat="1" x14ac:dyDescent="0.3">
      <c r="D158" s="619">
        <v>140</v>
      </c>
      <c r="E158" s="619">
        <f t="shared" ca="1" si="6"/>
        <v>8</v>
      </c>
      <c r="F158" s="30">
        <f t="shared" ca="1" si="7"/>
        <v>12</v>
      </c>
      <c r="H158" s="18">
        <f t="shared" ca="1" si="8"/>
        <v>0</v>
      </c>
    </row>
    <row r="159" spans="4:8" s="618" customFormat="1" x14ac:dyDescent="0.3">
      <c r="D159" s="619">
        <v>141</v>
      </c>
      <c r="E159" s="619">
        <f t="shared" ca="1" si="6"/>
        <v>9</v>
      </c>
      <c r="F159" s="30">
        <f t="shared" ca="1" si="7"/>
        <v>12</v>
      </c>
      <c r="H159" s="18">
        <f t="shared" ca="1" si="8"/>
        <v>0</v>
      </c>
    </row>
    <row r="160" spans="4:8" s="618" customFormat="1" x14ac:dyDescent="0.3">
      <c r="D160" s="619">
        <v>142</v>
      </c>
      <c r="E160" s="619">
        <f t="shared" ca="1" si="6"/>
        <v>10</v>
      </c>
      <c r="F160" s="30">
        <f t="shared" ca="1" si="7"/>
        <v>12</v>
      </c>
      <c r="H160" s="18">
        <f t="shared" ca="1" si="8"/>
        <v>0</v>
      </c>
    </row>
    <row r="161" spans="4:8" s="618" customFormat="1" x14ac:dyDescent="0.3">
      <c r="D161" s="619">
        <v>143</v>
      </c>
      <c r="E161" s="619">
        <f t="shared" ca="1" si="6"/>
        <v>11</v>
      </c>
      <c r="F161" s="30">
        <f t="shared" ca="1" si="7"/>
        <v>12</v>
      </c>
      <c r="H161" s="18">
        <f t="shared" ca="1" si="8"/>
        <v>0</v>
      </c>
    </row>
    <row r="162" spans="4:8" s="618" customFormat="1" x14ac:dyDescent="0.3">
      <c r="D162" s="619">
        <v>144</v>
      </c>
      <c r="E162" s="619">
        <f t="shared" ca="1" si="6"/>
        <v>12</v>
      </c>
      <c r="F162" s="30">
        <f t="shared" ca="1" si="7"/>
        <v>12</v>
      </c>
      <c r="H162" s="18">
        <f t="shared" ca="1" si="8"/>
        <v>0</v>
      </c>
    </row>
    <row r="163" spans="4:8" s="618" customFormat="1" x14ac:dyDescent="0.3">
      <c r="D163" s="619">
        <v>145</v>
      </c>
      <c r="E163" s="619">
        <f t="shared" ca="1" si="6"/>
        <v>1</v>
      </c>
      <c r="F163" s="30">
        <f t="shared" ca="1" si="7"/>
        <v>13</v>
      </c>
      <c r="H163" s="18">
        <f t="shared" ca="1" si="8"/>
        <v>0</v>
      </c>
    </row>
    <row r="164" spans="4:8" s="618" customFormat="1" x14ac:dyDescent="0.3">
      <c r="D164" s="619">
        <v>146</v>
      </c>
      <c r="E164" s="619">
        <f t="shared" ca="1" si="6"/>
        <v>2</v>
      </c>
      <c r="F164" s="30">
        <f t="shared" ca="1" si="7"/>
        <v>13</v>
      </c>
      <c r="H164" s="18">
        <f t="shared" ca="1" si="8"/>
        <v>0</v>
      </c>
    </row>
    <row r="165" spans="4:8" s="618" customFormat="1" x14ac:dyDescent="0.3">
      <c r="D165" s="619">
        <v>147</v>
      </c>
      <c r="E165" s="619">
        <f t="shared" ca="1" si="6"/>
        <v>3</v>
      </c>
      <c r="F165" s="30">
        <f t="shared" ca="1" si="7"/>
        <v>13</v>
      </c>
      <c r="H165" s="18">
        <f t="shared" ca="1" si="8"/>
        <v>0</v>
      </c>
    </row>
    <row r="166" spans="4:8" s="618" customFormat="1" x14ac:dyDescent="0.3">
      <c r="D166" s="619">
        <v>148</v>
      </c>
      <c r="E166" s="619">
        <f t="shared" ca="1" si="6"/>
        <v>4</v>
      </c>
      <c r="F166" s="30">
        <f t="shared" ca="1" si="7"/>
        <v>13</v>
      </c>
      <c r="H166" s="18">
        <f t="shared" ca="1" si="8"/>
        <v>0</v>
      </c>
    </row>
    <row r="167" spans="4:8" s="618" customFormat="1" x14ac:dyDescent="0.3">
      <c r="D167" s="619">
        <v>149</v>
      </c>
      <c r="E167" s="619">
        <f t="shared" ca="1" si="6"/>
        <v>5</v>
      </c>
      <c r="F167" s="30">
        <f t="shared" ca="1" si="7"/>
        <v>13</v>
      </c>
      <c r="H167" s="18">
        <f t="shared" ca="1" si="8"/>
        <v>0</v>
      </c>
    </row>
    <row r="168" spans="4:8" s="618" customFormat="1" x14ac:dyDescent="0.3">
      <c r="D168" s="619">
        <v>150</v>
      </c>
      <c r="E168" s="619">
        <f t="shared" ca="1" si="6"/>
        <v>6</v>
      </c>
      <c r="F168" s="30">
        <f t="shared" ca="1" si="7"/>
        <v>13</v>
      </c>
      <c r="H168" s="18">
        <f t="shared" ca="1" si="8"/>
        <v>0</v>
      </c>
    </row>
    <row r="169" spans="4:8" s="618" customFormat="1" x14ac:dyDescent="0.3">
      <c r="D169" s="619">
        <v>151</v>
      </c>
      <c r="E169" s="619">
        <f t="shared" ca="1" si="6"/>
        <v>7</v>
      </c>
      <c r="F169" s="30">
        <f t="shared" ca="1" si="7"/>
        <v>13</v>
      </c>
      <c r="H169" s="18">
        <f t="shared" ca="1" si="8"/>
        <v>0</v>
      </c>
    </row>
    <row r="170" spans="4:8" s="618" customFormat="1" x14ac:dyDescent="0.3">
      <c r="D170" s="619">
        <v>152</v>
      </c>
      <c r="E170" s="619">
        <f t="shared" ca="1" si="6"/>
        <v>8</v>
      </c>
      <c r="F170" s="30">
        <f t="shared" ca="1" si="7"/>
        <v>13</v>
      </c>
      <c r="H170" s="18">
        <f t="shared" ca="1" si="8"/>
        <v>0</v>
      </c>
    </row>
    <row r="171" spans="4:8" s="618" customFormat="1" x14ac:dyDescent="0.3">
      <c r="D171" s="619">
        <v>153</v>
      </c>
      <c r="E171" s="619">
        <f t="shared" ca="1" si="6"/>
        <v>9</v>
      </c>
      <c r="F171" s="30">
        <f t="shared" ca="1" si="7"/>
        <v>13</v>
      </c>
      <c r="H171" s="18">
        <f t="shared" ca="1" si="8"/>
        <v>0</v>
      </c>
    </row>
    <row r="172" spans="4:8" s="618" customFormat="1" x14ac:dyDescent="0.3">
      <c r="D172" s="619">
        <v>154</v>
      </c>
      <c r="E172" s="619">
        <f t="shared" ca="1" si="6"/>
        <v>10</v>
      </c>
      <c r="F172" s="30">
        <f t="shared" ca="1" si="7"/>
        <v>13</v>
      </c>
      <c r="H172" s="18">
        <f t="shared" ca="1" si="8"/>
        <v>0</v>
      </c>
    </row>
    <row r="173" spans="4:8" s="618" customFormat="1" x14ac:dyDescent="0.3">
      <c r="D173" s="619">
        <v>155</v>
      </c>
      <c r="E173" s="619">
        <f t="shared" ca="1" si="6"/>
        <v>11</v>
      </c>
      <c r="F173" s="30">
        <f t="shared" ca="1" si="7"/>
        <v>13</v>
      </c>
      <c r="H173" s="18">
        <f t="shared" ca="1" si="8"/>
        <v>0</v>
      </c>
    </row>
    <row r="174" spans="4:8" s="618" customFormat="1" x14ac:dyDescent="0.3">
      <c r="D174" s="619">
        <v>156</v>
      </c>
      <c r="E174" s="619">
        <f t="shared" ca="1" si="6"/>
        <v>12</v>
      </c>
      <c r="F174" s="30">
        <f t="shared" ca="1" si="7"/>
        <v>13</v>
      </c>
      <c r="H174" s="18">
        <f t="shared" ca="1" si="8"/>
        <v>0</v>
      </c>
    </row>
    <row r="175" spans="4:8" s="618" customFormat="1" x14ac:dyDescent="0.3">
      <c r="D175" s="619">
        <v>157</v>
      </c>
      <c r="E175" s="619">
        <f t="shared" ca="1" si="6"/>
        <v>1</v>
      </c>
      <c r="F175" s="30">
        <f t="shared" ca="1" si="7"/>
        <v>14</v>
      </c>
      <c r="H175" s="18">
        <f t="shared" ca="1" si="8"/>
        <v>0</v>
      </c>
    </row>
    <row r="176" spans="4:8" s="618" customFormat="1" x14ac:dyDescent="0.3">
      <c r="D176" s="619">
        <v>158</v>
      </c>
      <c r="E176" s="619">
        <f t="shared" ca="1" si="6"/>
        <v>2</v>
      </c>
      <c r="F176" s="30">
        <f t="shared" ca="1" si="7"/>
        <v>14</v>
      </c>
      <c r="H176" s="18">
        <f t="shared" ca="1" si="8"/>
        <v>0</v>
      </c>
    </row>
    <row r="177" spans="4:8" s="618" customFormat="1" x14ac:dyDescent="0.3">
      <c r="D177" s="619">
        <v>159</v>
      </c>
      <c r="E177" s="619">
        <f t="shared" ca="1" si="6"/>
        <v>3</v>
      </c>
      <c r="F177" s="30">
        <f t="shared" ca="1" si="7"/>
        <v>14</v>
      </c>
      <c r="H177" s="18">
        <f t="shared" ca="1" si="8"/>
        <v>0</v>
      </c>
    </row>
    <row r="178" spans="4:8" s="618" customFormat="1" x14ac:dyDescent="0.3">
      <c r="D178" s="619">
        <v>160</v>
      </c>
      <c r="E178" s="619">
        <f t="shared" ca="1" si="6"/>
        <v>4</v>
      </c>
      <c r="F178" s="30">
        <f t="shared" ca="1" si="7"/>
        <v>14</v>
      </c>
      <c r="H178" s="18">
        <f t="shared" ca="1" si="8"/>
        <v>0</v>
      </c>
    </row>
    <row r="179" spans="4:8" s="618" customFormat="1" x14ac:dyDescent="0.3">
      <c r="D179" s="619">
        <v>161</v>
      </c>
      <c r="E179" s="619">
        <f t="shared" ca="1" si="6"/>
        <v>5</v>
      </c>
      <c r="F179" s="30">
        <f t="shared" ca="1" si="7"/>
        <v>14</v>
      </c>
      <c r="H179" s="18">
        <f t="shared" ca="1" si="8"/>
        <v>0</v>
      </c>
    </row>
    <row r="180" spans="4:8" s="618" customFormat="1" x14ac:dyDescent="0.3">
      <c r="D180" s="619">
        <v>162</v>
      </c>
      <c r="E180" s="619">
        <f t="shared" ca="1" si="6"/>
        <v>6</v>
      </c>
      <c r="F180" s="30">
        <f t="shared" ca="1" si="7"/>
        <v>14</v>
      </c>
      <c r="H180" s="18">
        <f t="shared" ca="1" si="8"/>
        <v>0</v>
      </c>
    </row>
    <row r="181" spans="4:8" s="618" customFormat="1" x14ac:dyDescent="0.3">
      <c r="D181" s="619">
        <v>163</v>
      </c>
      <c r="E181" s="619">
        <f t="shared" ca="1" si="6"/>
        <v>7</v>
      </c>
      <c r="F181" s="30">
        <f t="shared" ca="1" si="7"/>
        <v>14</v>
      </c>
      <c r="H181" s="18">
        <f t="shared" ca="1" si="8"/>
        <v>0</v>
      </c>
    </row>
    <row r="182" spans="4:8" s="618" customFormat="1" x14ac:dyDescent="0.3">
      <c r="D182" s="619">
        <v>164</v>
      </c>
      <c r="E182" s="619">
        <f t="shared" ca="1" si="6"/>
        <v>8</v>
      </c>
      <c r="F182" s="30">
        <f t="shared" ca="1" si="7"/>
        <v>14</v>
      </c>
      <c r="H182" s="18">
        <f t="shared" ca="1" si="8"/>
        <v>0</v>
      </c>
    </row>
    <row r="183" spans="4:8" s="618" customFormat="1" x14ac:dyDescent="0.3">
      <c r="D183" s="619">
        <v>165</v>
      </c>
      <c r="E183" s="619">
        <f t="shared" ca="1" si="6"/>
        <v>9</v>
      </c>
      <c r="F183" s="30">
        <f t="shared" ca="1" si="7"/>
        <v>14</v>
      </c>
      <c r="H183" s="18">
        <f t="shared" ca="1" si="8"/>
        <v>0</v>
      </c>
    </row>
    <row r="184" spans="4:8" s="618" customFormat="1" x14ac:dyDescent="0.3">
      <c r="D184" s="619">
        <v>166</v>
      </c>
      <c r="E184" s="619">
        <f t="shared" ca="1" si="6"/>
        <v>10</v>
      </c>
      <c r="F184" s="30">
        <f t="shared" ca="1" si="7"/>
        <v>14</v>
      </c>
      <c r="H184" s="18">
        <f t="shared" ca="1" si="8"/>
        <v>0</v>
      </c>
    </row>
    <row r="185" spans="4:8" s="618" customFormat="1" x14ac:dyDescent="0.3">
      <c r="D185" s="619">
        <v>167</v>
      </c>
      <c r="E185" s="619">
        <f t="shared" ca="1" si="6"/>
        <v>11</v>
      </c>
      <c r="F185" s="30">
        <f t="shared" ca="1" si="7"/>
        <v>14</v>
      </c>
      <c r="H185" s="18">
        <f t="shared" ca="1" si="8"/>
        <v>0</v>
      </c>
    </row>
    <row r="186" spans="4:8" s="618" customFormat="1" x14ac:dyDescent="0.3">
      <c r="D186" s="619">
        <v>168</v>
      </c>
      <c r="E186" s="619">
        <f t="shared" ca="1" si="6"/>
        <v>12</v>
      </c>
      <c r="F186" s="30">
        <f t="shared" ca="1" si="7"/>
        <v>14</v>
      </c>
      <c r="H186" s="18">
        <f t="shared" ca="1" si="8"/>
        <v>0</v>
      </c>
    </row>
    <row r="187" spans="4:8" s="618" customFormat="1" x14ac:dyDescent="0.3">
      <c r="D187" s="619">
        <v>169</v>
      </c>
      <c r="E187" s="619">
        <f t="shared" ca="1" si="6"/>
        <v>1</v>
      </c>
      <c r="F187" s="30">
        <f t="shared" ca="1" si="7"/>
        <v>15</v>
      </c>
      <c r="H187" s="18">
        <f t="shared" ca="1" si="8"/>
        <v>0</v>
      </c>
    </row>
    <row r="188" spans="4:8" s="618" customFormat="1" x14ac:dyDescent="0.3">
      <c r="D188" s="619">
        <v>170</v>
      </c>
      <c r="E188" s="619">
        <f t="shared" ca="1" si="6"/>
        <v>2</v>
      </c>
      <c r="F188" s="30">
        <f t="shared" ca="1" si="7"/>
        <v>15</v>
      </c>
      <c r="H188" s="18">
        <f t="shared" ca="1" si="8"/>
        <v>0</v>
      </c>
    </row>
    <row r="189" spans="4:8" s="618" customFormat="1" x14ac:dyDescent="0.3">
      <c r="D189" s="619">
        <v>171</v>
      </c>
      <c r="E189" s="619">
        <f t="shared" ca="1" si="6"/>
        <v>3</v>
      </c>
      <c r="F189" s="30">
        <f t="shared" ca="1" si="7"/>
        <v>15</v>
      </c>
      <c r="H189" s="18">
        <f t="shared" ca="1" si="8"/>
        <v>0</v>
      </c>
    </row>
    <row r="190" spans="4:8" s="618" customFormat="1" x14ac:dyDescent="0.3">
      <c r="D190" s="619">
        <v>172</v>
      </c>
      <c r="E190" s="619">
        <f t="shared" ca="1" si="6"/>
        <v>4</v>
      </c>
      <c r="F190" s="30">
        <f t="shared" ca="1" si="7"/>
        <v>15</v>
      </c>
      <c r="H190" s="18">
        <f t="shared" ca="1" si="8"/>
        <v>0</v>
      </c>
    </row>
    <row r="191" spans="4:8" s="618" customFormat="1" x14ac:dyDescent="0.3">
      <c r="D191" s="619">
        <v>173</v>
      </c>
      <c r="E191" s="619">
        <f t="shared" ca="1" si="6"/>
        <v>5</v>
      </c>
      <c r="F191" s="30">
        <f t="shared" ca="1" si="7"/>
        <v>15</v>
      </c>
      <c r="H191" s="18">
        <f t="shared" ca="1" si="8"/>
        <v>0</v>
      </c>
    </row>
    <row r="192" spans="4:8" s="618" customFormat="1" x14ac:dyDescent="0.3">
      <c r="D192" s="619">
        <v>174</v>
      </c>
      <c r="E192" s="619">
        <f t="shared" ca="1" si="6"/>
        <v>6</v>
      </c>
      <c r="F192" s="30">
        <f t="shared" ca="1" si="7"/>
        <v>15</v>
      </c>
      <c r="H192" s="18">
        <f t="shared" ca="1" si="8"/>
        <v>0</v>
      </c>
    </row>
    <row r="193" spans="4:8" s="618" customFormat="1" x14ac:dyDescent="0.3">
      <c r="D193" s="619">
        <v>175</v>
      </c>
      <c r="E193" s="619">
        <f t="shared" ca="1" si="6"/>
        <v>7</v>
      </c>
      <c r="F193" s="30">
        <f t="shared" ca="1" si="7"/>
        <v>15</v>
      </c>
      <c r="H193" s="18">
        <f t="shared" ca="1" si="8"/>
        <v>0</v>
      </c>
    </row>
    <row r="194" spans="4:8" s="618" customFormat="1" x14ac:dyDescent="0.3">
      <c r="D194" s="619">
        <v>176</v>
      </c>
      <c r="E194" s="619">
        <f t="shared" ca="1" si="6"/>
        <v>8</v>
      </c>
      <c r="F194" s="30">
        <f t="shared" ca="1" si="7"/>
        <v>15</v>
      </c>
      <c r="H194" s="18">
        <f t="shared" ca="1" si="8"/>
        <v>0</v>
      </c>
    </row>
    <row r="195" spans="4:8" s="618" customFormat="1" x14ac:dyDescent="0.3">
      <c r="D195" s="619">
        <v>177</v>
      </c>
      <c r="E195" s="619">
        <f t="shared" ca="1" si="6"/>
        <v>9</v>
      </c>
      <c r="F195" s="30">
        <f t="shared" ca="1" si="7"/>
        <v>15</v>
      </c>
      <c r="H195" s="18">
        <f t="shared" ca="1" si="8"/>
        <v>0</v>
      </c>
    </row>
    <row r="196" spans="4:8" s="618" customFormat="1" x14ac:dyDescent="0.3">
      <c r="D196" s="619">
        <v>178</v>
      </c>
      <c r="E196" s="619">
        <f t="shared" ca="1" si="6"/>
        <v>10</v>
      </c>
      <c r="F196" s="30">
        <f t="shared" ca="1" si="7"/>
        <v>15</v>
      </c>
      <c r="H196" s="18">
        <f t="shared" ca="1" si="8"/>
        <v>0</v>
      </c>
    </row>
    <row r="197" spans="4:8" s="618" customFormat="1" x14ac:dyDescent="0.3">
      <c r="D197" s="619">
        <v>179</v>
      </c>
      <c r="E197" s="619">
        <f t="shared" ca="1" si="6"/>
        <v>11</v>
      </c>
      <c r="F197" s="30">
        <f t="shared" ca="1" si="7"/>
        <v>15</v>
      </c>
      <c r="H197" s="18">
        <f t="shared" ca="1" si="8"/>
        <v>0</v>
      </c>
    </row>
    <row r="198" spans="4:8" s="618" customFormat="1" x14ac:dyDescent="0.3">
      <c r="D198" s="619">
        <v>180</v>
      </c>
      <c r="E198" s="619">
        <f t="shared" ca="1" si="6"/>
        <v>12</v>
      </c>
      <c r="F198" s="30">
        <f t="shared" ca="1" si="7"/>
        <v>15</v>
      </c>
      <c r="H198" s="18">
        <f t="shared" ca="1" si="8"/>
        <v>0</v>
      </c>
    </row>
    <row r="199" spans="4:8" s="618" customFormat="1" x14ac:dyDescent="0.3">
      <c r="D199" s="619">
        <v>181</v>
      </c>
      <c r="E199" s="619">
        <f t="shared" ca="1" si="6"/>
        <v>1</v>
      </c>
      <c r="F199" s="30">
        <f t="shared" ca="1" si="7"/>
        <v>16</v>
      </c>
      <c r="H199" s="18">
        <f t="shared" ca="1" si="8"/>
        <v>0</v>
      </c>
    </row>
    <row r="200" spans="4:8" s="618" customFormat="1" x14ac:dyDescent="0.3">
      <c r="D200" s="619">
        <v>182</v>
      </c>
      <c r="E200" s="619">
        <f t="shared" ca="1" si="6"/>
        <v>2</v>
      </c>
      <c r="F200" s="30">
        <f t="shared" ca="1" si="7"/>
        <v>16</v>
      </c>
      <c r="H200" s="18">
        <f t="shared" ca="1" si="8"/>
        <v>0</v>
      </c>
    </row>
    <row r="201" spans="4:8" s="618" customFormat="1" x14ac:dyDescent="0.3">
      <c r="D201" s="619">
        <v>183</v>
      </c>
      <c r="E201" s="619">
        <f t="shared" ca="1" si="6"/>
        <v>3</v>
      </c>
      <c r="F201" s="30">
        <f t="shared" ca="1" si="7"/>
        <v>16</v>
      </c>
      <c r="H201" s="18">
        <f t="shared" ca="1" si="8"/>
        <v>0</v>
      </c>
    </row>
    <row r="202" spans="4:8" s="618" customFormat="1" x14ac:dyDescent="0.3">
      <c r="D202" s="619">
        <v>184</v>
      </c>
      <c r="E202" s="619">
        <f t="shared" ca="1" si="6"/>
        <v>4</v>
      </c>
      <c r="F202" s="30">
        <f t="shared" ca="1" si="7"/>
        <v>16</v>
      </c>
      <c r="H202" s="18">
        <f t="shared" ca="1" si="8"/>
        <v>0</v>
      </c>
    </row>
    <row r="203" spans="4:8" s="618" customFormat="1" x14ac:dyDescent="0.3">
      <c r="D203" s="619">
        <v>185</v>
      </c>
      <c r="E203" s="619">
        <f t="shared" ca="1" si="6"/>
        <v>5</v>
      </c>
      <c r="F203" s="30">
        <f t="shared" ca="1" si="7"/>
        <v>16</v>
      </c>
      <c r="H203" s="18">
        <f t="shared" ca="1" si="8"/>
        <v>0</v>
      </c>
    </row>
    <row r="204" spans="4:8" s="618" customFormat="1" x14ac:dyDescent="0.3">
      <c r="D204" s="619">
        <v>186</v>
      </c>
      <c r="E204" s="619">
        <f t="shared" ca="1" si="6"/>
        <v>6</v>
      </c>
      <c r="F204" s="30">
        <f t="shared" ca="1" si="7"/>
        <v>16</v>
      </c>
      <c r="H204" s="18">
        <f t="shared" ca="1" si="8"/>
        <v>0</v>
      </c>
    </row>
    <row r="205" spans="4:8" s="618" customFormat="1" x14ac:dyDescent="0.3">
      <c r="D205" s="619">
        <v>187</v>
      </c>
      <c r="E205" s="619">
        <f t="shared" ca="1" si="6"/>
        <v>7</v>
      </c>
      <c r="F205" s="30">
        <f t="shared" ca="1" si="7"/>
        <v>16</v>
      </c>
      <c r="H205" s="18">
        <f t="shared" ca="1" si="8"/>
        <v>0</v>
      </c>
    </row>
    <row r="206" spans="4:8" s="618" customFormat="1" x14ac:dyDescent="0.3">
      <c r="D206" s="619">
        <v>188</v>
      </c>
      <c r="E206" s="619">
        <f t="shared" ca="1" si="6"/>
        <v>8</v>
      </c>
      <c r="F206" s="30">
        <f t="shared" ca="1" si="7"/>
        <v>16</v>
      </c>
      <c r="H206" s="18">
        <f t="shared" ca="1" si="8"/>
        <v>0</v>
      </c>
    </row>
    <row r="207" spans="4:8" s="618" customFormat="1" x14ac:dyDescent="0.3">
      <c r="D207" s="619">
        <v>189</v>
      </c>
      <c r="E207" s="619">
        <f t="shared" ca="1" si="6"/>
        <v>9</v>
      </c>
      <c r="F207" s="30">
        <f t="shared" ca="1" si="7"/>
        <v>16</v>
      </c>
      <c r="H207" s="18">
        <f t="shared" ca="1" si="8"/>
        <v>0</v>
      </c>
    </row>
    <row r="208" spans="4:8" s="618" customFormat="1" x14ac:dyDescent="0.3">
      <c r="D208" s="619">
        <v>190</v>
      </c>
      <c r="E208" s="619">
        <f t="shared" ca="1" si="6"/>
        <v>10</v>
      </c>
      <c r="F208" s="30">
        <f t="shared" ca="1" si="7"/>
        <v>16</v>
      </c>
      <c r="H208" s="18">
        <f t="shared" ca="1" si="8"/>
        <v>0</v>
      </c>
    </row>
    <row r="209" spans="4:8" s="618" customFormat="1" x14ac:dyDescent="0.3">
      <c r="D209" s="619">
        <v>191</v>
      </c>
      <c r="E209" s="619">
        <f t="shared" ca="1" si="6"/>
        <v>11</v>
      </c>
      <c r="F209" s="30">
        <f t="shared" ca="1" si="7"/>
        <v>16</v>
      </c>
      <c r="H209" s="18">
        <f t="shared" ca="1" si="8"/>
        <v>0</v>
      </c>
    </row>
    <row r="210" spans="4:8" s="618" customFormat="1" x14ac:dyDescent="0.3">
      <c r="D210" s="619">
        <v>192</v>
      </c>
      <c r="E210" s="619">
        <f t="shared" ca="1" si="6"/>
        <v>12</v>
      </c>
      <c r="F210" s="30">
        <f t="shared" ca="1" si="7"/>
        <v>16</v>
      </c>
      <c r="H210" s="18">
        <f t="shared" ca="1" si="8"/>
        <v>0</v>
      </c>
    </row>
    <row r="211" spans="4:8" s="618" customFormat="1" x14ac:dyDescent="0.3">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x14ac:dyDescent="0.3">
      <c r="D212" s="619">
        <v>194</v>
      </c>
      <c r="E212" s="619">
        <f t="shared" ca="1" si="9"/>
        <v>2</v>
      </c>
      <c r="F212" s="30">
        <f t="shared" ca="1" si="10"/>
        <v>17</v>
      </c>
      <c r="H212" s="18">
        <f t="shared" ca="1" si="11"/>
        <v>0</v>
      </c>
    </row>
    <row r="213" spans="4:8" s="618" customFormat="1" x14ac:dyDescent="0.3">
      <c r="D213" s="619">
        <v>195</v>
      </c>
      <c r="E213" s="619">
        <f t="shared" ca="1" si="9"/>
        <v>3</v>
      </c>
      <c r="F213" s="30">
        <f t="shared" ca="1" si="10"/>
        <v>17</v>
      </c>
      <c r="H213" s="18">
        <f t="shared" ca="1" si="11"/>
        <v>0</v>
      </c>
    </row>
    <row r="214" spans="4:8" s="618" customFormat="1" x14ac:dyDescent="0.3">
      <c r="D214" s="619">
        <v>196</v>
      </c>
      <c r="E214" s="619">
        <f t="shared" ca="1" si="9"/>
        <v>4</v>
      </c>
      <c r="F214" s="30">
        <f t="shared" ca="1" si="10"/>
        <v>17</v>
      </c>
      <c r="H214" s="18">
        <f t="shared" ca="1" si="11"/>
        <v>0</v>
      </c>
    </row>
    <row r="215" spans="4:8" s="618" customFormat="1" x14ac:dyDescent="0.3">
      <c r="D215" s="619">
        <v>197</v>
      </c>
      <c r="E215" s="619">
        <f t="shared" ca="1" si="9"/>
        <v>5</v>
      </c>
      <c r="F215" s="30">
        <f t="shared" ca="1" si="10"/>
        <v>17</v>
      </c>
      <c r="H215" s="18">
        <f t="shared" ca="1" si="11"/>
        <v>0</v>
      </c>
    </row>
    <row r="216" spans="4:8" s="618" customFormat="1" x14ac:dyDescent="0.3">
      <c r="D216" s="619">
        <v>198</v>
      </c>
      <c r="E216" s="619">
        <f t="shared" ca="1" si="9"/>
        <v>6</v>
      </c>
      <c r="F216" s="30">
        <f t="shared" ca="1" si="10"/>
        <v>17</v>
      </c>
      <c r="H216" s="18">
        <f t="shared" ca="1" si="11"/>
        <v>0</v>
      </c>
    </row>
    <row r="217" spans="4:8" s="618" customFormat="1" x14ac:dyDescent="0.3">
      <c r="D217" s="619">
        <v>199</v>
      </c>
      <c r="E217" s="619">
        <f t="shared" ca="1" si="9"/>
        <v>7</v>
      </c>
      <c r="F217" s="30">
        <f t="shared" ca="1" si="10"/>
        <v>17</v>
      </c>
      <c r="H217" s="18">
        <f t="shared" ca="1" si="11"/>
        <v>0</v>
      </c>
    </row>
    <row r="218" spans="4:8" s="618" customFormat="1" x14ac:dyDescent="0.3">
      <c r="D218" s="619">
        <v>200</v>
      </c>
      <c r="E218" s="619">
        <f t="shared" ca="1" si="9"/>
        <v>8</v>
      </c>
      <c r="F218" s="30">
        <f t="shared" ca="1" si="10"/>
        <v>17</v>
      </c>
      <c r="H218" s="18">
        <f t="shared" ca="1" si="11"/>
        <v>0</v>
      </c>
    </row>
    <row r="219" spans="4:8" s="618" customFormat="1" x14ac:dyDescent="0.3">
      <c r="D219" s="619">
        <v>201</v>
      </c>
      <c r="E219" s="619">
        <f t="shared" ca="1" si="9"/>
        <v>9</v>
      </c>
      <c r="F219" s="30">
        <f t="shared" ca="1" si="10"/>
        <v>17</v>
      </c>
      <c r="H219" s="18">
        <f t="shared" ca="1" si="11"/>
        <v>0</v>
      </c>
    </row>
    <row r="220" spans="4:8" s="618" customFormat="1" x14ac:dyDescent="0.3">
      <c r="D220" s="619">
        <v>202</v>
      </c>
      <c r="E220" s="619">
        <f t="shared" ca="1" si="9"/>
        <v>10</v>
      </c>
      <c r="F220" s="30">
        <f t="shared" ca="1" si="10"/>
        <v>17</v>
      </c>
      <c r="H220" s="18">
        <f t="shared" ca="1" si="11"/>
        <v>0</v>
      </c>
    </row>
    <row r="221" spans="4:8" s="618" customFormat="1" x14ac:dyDescent="0.3">
      <c r="D221" s="619">
        <v>203</v>
      </c>
      <c r="E221" s="619">
        <f t="shared" ca="1" si="9"/>
        <v>11</v>
      </c>
      <c r="F221" s="30">
        <f t="shared" ca="1" si="10"/>
        <v>17</v>
      </c>
      <c r="H221" s="18">
        <f t="shared" ca="1" si="11"/>
        <v>0</v>
      </c>
    </row>
    <row r="222" spans="4:8" s="618" customFormat="1" x14ac:dyDescent="0.3">
      <c r="D222" s="619">
        <v>204</v>
      </c>
      <c r="E222" s="619">
        <f t="shared" ca="1" si="9"/>
        <v>12</v>
      </c>
      <c r="F222" s="30">
        <f t="shared" ca="1" si="10"/>
        <v>17</v>
      </c>
      <c r="H222" s="18">
        <f t="shared" ca="1" si="11"/>
        <v>0</v>
      </c>
    </row>
    <row r="223" spans="4:8" s="618" customFormat="1" x14ac:dyDescent="0.3">
      <c r="D223" s="619">
        <v>205</v>
      </c>
      <c r="E223" s="619">
        <f t="shared" ca="1" si="9"/>
        <v>1</v>
      </c>
      <c r="F223" s="30">
        <f t="shared" ca="1" si="10"/>
        <v>18</v>
      </c>
      <c r="H223" s="18">
        <f t="shared" ca="1" si="11"/>
        <v>0</v>
      </c>
    </row>
    <row r="224" spans="4:8" s="618" customFormat="1" x14ac:dyDescent="0.3">
      <c r="D224" s="619">
        <v>206</v>
      </c>
      <c r="E224" s="619">
        <f t="shared" ca="1" si="9"/>
        <v>2</v>
      </c>
      <c r="F224" s="30">
        <f t="shared" ca="1" si="10"/>
        <v>18</v>
      </c>
      <c r="H224" s="18">
        <f t="shared" ca="1" si="11"/>
        <v>0</v>
      </c>
    </row>
    <row r="225" spans="4:8" s="618" customFormat="1" x14ac:dyDescent="0.3">
      <c r="D225" s="619">
        <v>207</v>
      </c>
      <c r="E225" s="619">
        <f t="shared" ca="1" si="9"/>
        <v>3</v>
      </c>
      <c r="F225" s="30">
        <f t="shared" ca="1" si="10"/>
        <v>18</v>
      </c>
      <c r="H225" s="18">
        <f t="shared" ca="1" si="11"/>
        <v>0</v>
      </c>
    </row>
    <row r="226" spans="4:8" s="618" customFormat="1" x14ac:dyDescent="0.3">
      <c r="D226" s="619">
        <v>208</v>
      </c>
      <c r="E226" s="619">
        <f t="shared" ca="1" si="9"/>
        <v>4</v>
      </c>
      <c r="F226" s="30">
        <f t="shared" ca="1" si="10"/>
        <v>18</v>
      </c>
      <c r="H226" s="18">
        <f t="shared" ca="1" si="11"/>
        <v>0</v>
      </c>
    </row>
    <row r="227" spans="4:8" s="618" customFormat="1" x14ac:dyDescent="0.3">
      <c r="D227" s="619">
        <v>209</v>
      </c>
      <c r="E227" s="619">
        <f t="shared" ca="1" si="9"/>
        <v>5</v>
      </c>
      <c r="F227" s="30">
        <f t="shared" ca="1" si="10"/>
        <v>18</v>
      </c>
      <c r="H227" s="18">
        <f t="shared" ca="1" si="11"/>
        <v>0</v>
      </c>
    </row>
    <row r="228" spans="4:8" s="618" customFormat="1" x14ac:dyDescent="0.3">
      <c r="D228" s="619">
        <v>210</v>
      </c>
      <c r="E228" s="619">
        <f t="shared" ca="1" si="9"/>
        <v>6</v>
      </c>
      <c r="F228" s="30">
        <f t="shared" ca="1" si="10"/>
        <v>18</v>
      </c>
      <c r="H228" s="18">
        <f t="shared" ca="1" si="11"/>
        <v>0</v>
      </c>
    </row>
    <row r="229" spans="4:8" s="618" customFormat="1" x14ac:dyDescent="0.3">
      <c r="D229" s="619">
        <v>211</v>
      </c>
      <c r="E229" s="619">
        <f t="shared" ca="1" si="9"/>
        <v>7</v>
      </c>
      <c r="F229" s="30">
        <f t="shared" ca="1" si="10"/>
        <v>18</v>
      </c>
      <c r="H229" s="18">
        <f t="shared" ca="1" si="11"/>
        <v>0</v>
      </c>
    </row>
    <row r="230" spans="4:8" s="618" customFormat="1" x14ac:dyDescent="0.3">
      <c r="D230" s="619">
        <v>212</v>
      </c>
      <c r="E230" s="619">
        <f t="shared" ca="1" si="9"/>
        <v>8</v>
      </c>
      <c r="F230" s="30">
        <f t="shared" ca="1" si="10"/>
        <v>18</v>
      </c>
      <c r="H230" s="18">
        <f t="shared" ca="1" si="11"/>
        <v>0</v>
      </c>
    </row>
    <row r="231" spans="4:8" s="618" customFormat="1" x14ac:dyDescent="0.3">
      <c r="D231" s="619">
        <v>213</v>
      </c>
      <c r="E231" s="619">
        <f t="shared" ca="1" si="9"/>
        <v>9</v>
      </c>
      <c r="F231" s="30">
        <f t="shared" ca="1" si="10"/>
        <v>18</v>
      </c>
      <c r="H231" s="18">
        <f t="shared" ca="1" si="11"/>
        <v>0</v>
      </c>
    </row>
    <row r="232" spans="4:8" s="618" customFormat="1" x14ac:dyDescent="0.3">
      <c r="D232" s="619">
        <v>214</v>
      </c>
      <c r="E232" s="619">
        <f t="shared" ca="1" si="9"/>
        <v>10</v>
      </c>
      <c r="F232" s="30">
        <f t="shared" ca="1" si="10"/>
        <v>18</v>
      </c>
      <c r="H232" s="18">
        <f t="shared" ca="1" si="11"/>
        <v>0</v>
      </c>
    </row>
    <row r="233" spans="4:8" s="618" customFormat="1" x14ac:dyDescent="0.3">
      <c r="D233" s="619">
        <v>215</v>
      </c>
      <c r="E233" s="619">
        <f t="shared" ca="1" si="9"/>
        <v>11</v>
      </c>
      <c r="F233" s="30">
        <f t="shared" ca="1" si="10"/>
        <v>18</v>
      </c>
      <c r="H233" s="18">
        <f t="shared" ca="1" si="11"/>
        <v>0</v>
      </c>
    </row>
    <row r="234" spans="4:8" s="618" customFormat="1" x14ac:dyDescent="0.3">
      <c r="D234" s="619">
        <v>216</v>
      </c>
      <c r="E234" s="619">
        <f t="shared" ca="1" si="9"/>
        <v>12</v>
      </c>
      <c r="F234" s="30">
        <f t="shared" ca="1" si="10"/>
        <v>18</v>
      </c>
      <c r="H234" s="18">
        <f t="shared" ca="1" si="11"/>
        <v>0</v>
      </c>
    </row>
    <row r="235" spans="4:8" s="618" customFormat="1" x14ac:dyDescent="0.3">
      <c r="D235" s="619">
        <v>217</v>
      </c>
      <c r="E235" s="619">
        <f t="shared" ca="1" si="9"/>
        <v>1</v>
      </c>
      <c r="F235" s="30">
        <f t="shared" ca="1" si="10"/>
        <v>19</v>
      </c>
      <c r="H235" s="18">
        <f t="shared" ca="1" si="11"/>
        <v>0</v>
      </c>
    </row>
    <row r="236" spans="4:8" s="618" customFormat="1" x14ac:dyDescent="0.3">
      <c r="D236" s="619">
        <v>218</v>
      </c>
      <c r="E236" s="619">
        <f t="shared" ca="1" si="9"/>
        <v>2</v>
      </c>
      <c r="F236" s="30">
        <f t="shared" ca="1" si="10"/>
        <v>19</v>
      </c>
      <c r="H236" s="18">
        <f t="shared" ca="1" si="11"/>
        <v>0</v>
      </c>
    </row>
    <row r="237" spans="4:8" s="618" customFormat="1" x14ac:dyDescent="0.3">
      <c r="D237" s="619">
        <v>219</v>
      </c>
      <c r="E237" s="619">
        <f t="shared" ca="1" si="9"/>
        <v>3</v>
      </c>
      <c r="F237" s="30">
        <f t="shared" ca="1" si="10"/>
        <v>19</v>
      </c>
      <c r="H237" s="18">
        <f t="shared" ca="1" si="11"/>
        <v>0</v>
      </c>
    </row>
    <row r="238" spans="4:8" s="618" customFormat="1" x14ac:dyDescent="0.3">
      <c r="D238" s="619">
        <v>220</v>
      </c>
      <c r="E238" s="619">
        <f t="shared" ca="1" si="9"/>
        <v>4</v>
      </c>
      <c r="F238" s="30">
        <f t="shared" ca="1" si="10"/>
        <v>19</v>
      </c>
      <c r="H238" s="18">
        <f t="shared" ca="1" si="11"/>
        <v>0</v>
      </c>
    </row>
    <row r="239" spans="4:8" s="618" customFormat="1" x14ac:dyDescent="0.3">
      <c r="D239" s="619">
        <v>221</v>
      </c>
      <c r="E239" s="619">
        <f t="shared" ca="1" si="9"/>
        <v>5</v>
      </c>
      <c r="F239" s="30">
        <f t="shared" ca="1" si="10"/>
        <v>19</v>
      </c>
      <c r="H239" s="18">
        <f t="shared" ca="1" si="11"/>
        <v>0</v>
      </c>
    </row>
    <row r="240" spans="4:8" s="618" customFormat="1" x14ac:dyDescent="0.3">
      <c r="D240" s="619">
        <v>222</v>
      </c>
      <c r="E240" s="619">
        <f t="shared" ca="1" si="9"/>
        <v>6</v>
      </c>
      <c r="F240" s="30">
        <f t="shared" ca="1" si="10"/>
        <v>19</v>
      </c>
      <c r="H240" s="18">
        <f t="shared" ca="1" si="11"/>
        <v>0</v>
      </c>
    </row>
    <row r="241" spans="4:8" s="618" customFormat="1" x14ac:dyDescent="0.3">
      <c r="D241" s="619">
        <v>223</v>
      </c>
      <c r="E241" s="619">
        <f t="shared" ca="1" si="9"/>
        <v>7</v>
      </c>
      <c r="F241" s="30">
        <f t="shared" ca="1" si="10"/>
        <v>19</v>
      </c>
      <c r="H241" s="18">
        <f t="shared" ca="1" si="11"/>
        <v>0</v>
      </c>
    </row>
    <row r="242" spans="4:8" s="618" customFormat="1" x14ac:dyDescent="0.3">
      <c r="D242" s="619">
        <v>224</v>
      </c>
      <c r="E242" s="619">
        <f t="shared" ca="1" si="9"/>
        <v>8</v>
      </c>
      <c r="F242" s="30">
        <f t="shared" ca="1" si="10"/>
        <v>19</v>
      </c>
      <c r="H242" s="18">
        <f t="shared" ca="1" si="11"/>
        <v>0</v>
      </c>
    </row>
    <row r="243" spans="4:8" s="618" customFormat="1" x14ac:dyDescent="0.3">
      <c r="D243" s="619">
        <v>225</v>
      </c>
      <c r="E243" s="619">
        <f t="shared" ca="1" si="9"/>
        <v>9</v>
      </c>
      <c r="F243" s="30">
        <f t="shared" ca="1" si="10"/>
        <v>19</v>
      </c>
      <c r="H243" s="18">
        <f t="shared" ca="1" si="11"/>
        <v>0</v>
      </c>
    </row>
    <row r="244" spans="4:8" s="618" customFormat="1" x14ac:dyDescent="0.3">
      <c r="D244" s="619">
        <v>226</v>
      </c>
      <c r="E244" s="619">
        <f t="shared" ca="1" si="9"/>
        <v>10</v>
      </c>
      <c r="F244" s="30">
        <f t="shared" ca="1" si="10"/>
        <v>19</v>
      </c>
      <c r="H244" s="18">
        <f t="shared" ca="1" si="11"/>
        <v>0</v>
      </c>
    </row>
    <row r="245" spans="4:8" s="618" customFormat="1" x14ac:dyDescent="0.3">
      <c r="D245" s="619">
        <v>227</v>
      </c>
      <c r="E245" s="619">
        <f t="shared" ca="1" si="9"/>
        <v>11</v>
      </c>
      <c r="F245" s="30">
        <f t="shared" ca="1" si="10"/>
        <v>19</v>
      </c>
      <c r="H245" s="18">
        <f t="shared" ca="1" si="11"/>
        <v>0</v>
      </c>
    </row>
    <row r="246" spans="4:8" s="618" customFormat="1" x14ac:dyDescent="0.3">
      <c r="D246" s="619">
        <v>228</v>
      </c>
      <c r="E246" s="619">
        <f t="shared" ca="1" si="9"/>
        <v>12</v>
      </c>
      <c r="F246" s="30">
        <f t="shared" ca="1" si="10"/>
        <v>19</v>
      </c>
      <c r="H246" s="18">
        <f t="shared" ca="1" si="11"/>
        <v>0</v>
      </c>
    </row>
    <row r="247" spans="4:8" s="618" customFormat="1" x14ac:dyDescent="0.3">
      <c r="D247" s="619">
        <v>229</v>
      </c>
      <c r="E247" s="619">
        <f t="shared" ca="1" si="9"/>
        <v>1</v>
      </c>
      <c r="F247" s="30">
        <f t="shared" ca="1" si="10"/>
        <v>20</v>
      </c>
      <c r="H247" s="18">
        <f t="shared" ca="1" si="11"/>
        <v>0</v>
      </c>
    </row>
    <row r="248" spans="4:8" s="618" customFormat="1" x14ac:dyDescent="0.3">
      <c r="D248" s="619">
        <v>230</v>
      </c>
      <c r="E248" s="619">
        <f t="shared" ca="1" si="9"/>
        <v>2</v>
      </c>
      <c r="F248" s="30">
        <f t="shared" ca="1" si="10"/>
        <v>20</v>
      </c>
      <c r="H248" s="18">
        <f t="shared" ca="1" si="11"/>
        <v>0</v>
      </c>
    </row>
    <row r="249" spans="4:8" s="618" customFormat="1" x14ac:dyDescent="0.3">
      <c r="D249" s="619">
        <v>231</v>
      </c>
      <c r="E249" s="619">
        <f t="shared" ca="1" si="9"/>
        <v>3</v>
      </c>
      <c r="F249" s="30">
        <f t="shared" ca="1" si="10"/>
        <v>20</v>
      </c>
      <c r="H249" s="18">
        <f t="shared" ca="1" si="11"/>
        <v>0</v>
      </c>
    </row>
    <row r="250" spans="4:8" s="618" customFormat="1" x14ac:dyDescent="0.3">
      <c r="D250" s="619">
        <v>232</v>
      </c>
      <c r="E250" s="619">
        <f t="shared" ca="1" si="9"/>
        <v>4</v>
      </c>
      <c r="F250" s="30">
        <f t="shared" ca="1" si="10"/>
        <v>20</v>
      </c>
      <c r="H250" s="18">
        <f t="shared" ca="1" si="11"/>
        <v>0</v>
      </c>
    </row>
    <row r="251" spans="4:8" s="618" customFormat="1" x14ac:dyDescent="0.3">
      <c r="D251" s="619">
        <v>233</v>
      </c>
      <c r="E251" s="619">
        <f t="shared" ca="1" si="9"/>
        <v>5</v>
      </c>
      <c r="F251" s="30">
        <f t="shared" ca="1" si="10"/>
        <v>20</v>
      </c>
      <c r="H251" s="18">
        <f t="shared" ca="1" si="11"/>
        <v>0</v>
      </c>
    </row>
    <row r="252" spans="4:8" s="618" customFormat="1" x14ac:dyDescent="0.3">
      <c r="D252" s="619">
        <v>234</v>
      </c>
      <c r="E252" s="619">
        <f t="shared" ca="1" si="9"/>
        <v>6</v>
      </c>
      <c r="F252" s="30">
        <f t="shared" ca="1" si="10"/>
        <v>20</v>
      </c>
      <c r="H252" s="18">
        <f t="shared" ca="1" si="11"/>
        <v>0</v>
      </c>
    </row>
    <row r="253" spans="4:8" s="618" customFormat="1" x14ac:dyDescent="0.3">
      <c r="D253" s="619">
        <v>235</v>
      </c>
      <c r="E253" s="619">
        <f t="shared" ca="1" si="9"/>
        <v>7</v>
      </c>
      <c r="F253" s="30">
        <f t="shared" ca="1" si="10"/>
        <v>20</v>
      </c>
      <c r="H253" s="18">
        <f t="shared" ca="1" si="11"/>
        <v>0</v>
      </c>
    </row>
    <row r="254" spans="4:8" s="618" customFormat="1" x14ac:dyDescent="0.3">
      <c r="D254" s="619">
        <v>236</v>
      </c>
      <c r="E254" s="619">
        <f t="shared" ca="1" si="9"/>
        <v>8</v>
      </c>
      <c r="F254" s="30">
        <f t="shared" ca="1" si="10"/>
        <v>20</v>
      </c>
      <c r="H254" s="18">
        <f t="shared" ca="1" si="11"/>
        <v>0</v>
      </c>
    </row>
    <row r="255" spans="4:8" s="618" customFormat="1" x14ac:dyDescent="0.3">
      <c r="D255" s="619">
        <v>237</v>
      </c>
      <c r="E255" s="619">
        <f t="shared" ca="1" si="9"/>
        <v>9</v>
      </c>
      <c r="F255" s="30">
        <f t="shared" ca="1" si="10"/>
        <v>20</v>
      </c>
      <c r="H255" s="18">
        <f t="shared" ca="1" si="11"/>
        <v>0</v>
      </c>
    </row>
    <row r="256" spans="4:8" s="618" customFormat="1" x14ac:dyDescent="0.3">
      <c r="D256" s="619">
        <v>238</v>
      </c>
      <c r="E256" s="619">
        <f t="shared" ca="1" si="9"/>
        <v>10</v>
      </c>
      <c r="F256" s="30">
        <f t="shared" ca="1" si="10"/>
        <v>20</v>
      </c>
      <c r="H256" s="18">
        <f t="shared" ca="1" si="11"/>
        <v>0</v>
      </c>
    </row>
    <row r="257" spans="4:8" s="618" customFormat="1" x14ac:dyDescent="0.3">
      <c r="D257" s="619">
        <v>239</v>
      </c>
      <c r="E257" s="619">
        <f t="shared" ca="1" si="9"/>
        <v>11</v>
      </c>
      <c r="F257" s="30">
        <f t="shared" ca="1" si="10"/>
        <v>20</v>
      </c>
      <c r="H257" s="18">
        <f t="shared" ca="1" si="11"/>
        <v>0</v>
      </c>
    </row>
    <row r="258" spans="4:8" s="618" customFormat="1" x14ac:dyDescent="0.3">
      <c r="D258" s="619">
        <v>240</v>
      </c>
      <c r="E258" s="619">
        <f t="shared" ca="1" si="9"/>
        <v>12</v>
      </c>
      <c r="F258" s="30">
        <f t="shared" ca="1" si="10"/>
        <v>20</v>
      </c>
      <c r="H258" s="18">
        <f t="shared" ca="1" si="11"/>
        <v>0</v>
      </c>
    </row>
    <row r="259" spans="4:8" s="618" customFormat="1" x14ac:dyDescent="0.3">
      <c r="D259" s="619">
        <v>241</v>
      </c>
      <c r="E259" s="619">
        <f t="shared" ca="1" si="9"/>
        <v>1</v>
      </c>
      <c r="F259" s="30">
        <f t="shared" ca="1" si="10"/>
        <v>21</v>
      </c>
      <c r="H259" s="18">
        <f t="shared" ca="1" si="11"/>
        <v>0</v>
      </c>
    </row>
    <row r="260" spans="4:8" s="618" customFormat="1" x14ac:dyDescent="0.3">
      <c r="D260" s="619">
        <v>242</v>
      </c>
      <c r="E260" s="619">
        <f t="shared" ca="1" si="9"/>
        <v>2</v>
      </c>
      <c r="F260" s="30">
        <f t="shared" ca="1" si="10"/>
        <v>21</v>
      </c>
      <c r="H260" s="18">
        <f t="shared" ca="1" si="11"/>
        <v>0</v>
      </c>
    </row>
    <row r="261" spans="4:8" s="618" customFormat="1" x14ac:dyDescent="0.3">
      <c r="D261" s="619">
        <v>243</v>
      </c>
      <c r="E261" s="619">
        <f t="shared" ca="1" si="9"/>
        <v>3</v>
      </c>
      <c r="F261" s="30">
        <f t="shared" ca="1" si="10"/>
        <v>21</v>
      </c>
      <c r="H261" s="18">
        <f t="shared" ca="1" si="11"/>
        <v>0</v>
      </c>
    </row>
    <row r="262" spans="4:8" s="618" customFormat="1" x14ac:dyDescent="0.3">
      <c r="D262" s="619">
        <v>244</v>
      </c>
      <c r="E262" s="619">
        <f t="shared" ca="1" si="9"/>
        <v>4</v>
      </c>
      <c r="F262" s="30">
        <f t="shared" ca="1" si="10"/>
        <v>21</v>
      </c>
      <c r="H262" s="18">
        <f t="shared" ca="1" si="11"/>
        <v>0</v>
      </c>
    </row>
    <row r="263" spans="4:8" s="618" customFormat="1" x14ac:dyDescent="0.3">
      <c r="D263" s="619">
        <v>245</v>
      </c>
      <c r="E263" s="619">
        <f t="shared" ca="1" si="9"/>
        <v>5</v>
      </c>
      <c r="F263" s="30">
        <f t="shared" ca="1" si="10"/>
        <v>21</v>
      </c>
      <c r="H263" s="18">
        <f t="shared" ca="1" si="11"/>
        <v>0</v>
      </c>
    </row>
    <row r="264" spans="4:8" s="618" customFormat="1" x14ac:dyDescent="0.3">
      <c r="D264" s="619">
        <v>246</v>
      </c>
      <c r="E264" s="619">
        <f t="shared" ca="1" si="9"/>
        <v>6</v>
      </c>
      <c r="F264" s="30">
        <f t="shared" ca="1" si="10"/>
        <v>21</v>
      </c>
      <c r="H264" s="18">
        <f t="shared" ca="1" si="11"/>
        <v>0</v>
      </c>
    </row>
    <row r="265" spans="4:8" s="618" customFormat="1" x14ac:dyDescent="0.3">
      <c r="D265" s="619">
        <v>247</v>
      </c>
      <c r="E265" s="619">
        <f t="shared" ca="1" si="9"/>
        <v>7</v>
      </c>
      <c r="F265" s="30">
        <f t="shared" ca="1" si="10"/>
        <v>21</v>
      </c>
      <c r="H265" s="18">
        <f t="shared" ca="1" si="11"/>
        <v>0</v>
      </c>
    </row>
    <row r="266" spans="4:8" s="618" customFormat="1" x14ac:dyDescent="0.3">
      <c r="D266" s="619">
        <v>248</v>
      </c>
      <c r="E266" s="619">
        <f t="shared" ca="1" si="9"/>
        <v>8</v>
      </c>
      <c r="F266" s="30">
        <f t="shared" ca="1" si="10"/>
        <v>21</v>
      </c>
      <c r="H266" s="18">
        <f t="shared" ca="1" si="11"/>
        <v>0</v>
      </c>
    </row>
    <row r="267" spans="4:8" s="618" customFormat="1" x14ac:dyDescent="0.3">
      <c r="D267" s="619">
        <v>249</v>
      </c>
      <c r="E267" s="619">
        <f t="shared" ca="1" si="9"/>
        <v>9</v>
      </c>
      <c r="F267" s="30">
        <f t="shared" ca="1" si="10"/>
        <v>21</v>
      </c>
      <c r="H267" s="18">
        <f t="shared" ca="1" si="11"/>
        <v>0</v>
      </c>
    </row>
    <row r="268" spans="4:8" s="618" customFormat="1" x14ac:dyDescent="0.3">
      <c r="D268" s="619">
        <v>250</v>
      </c>
      <c r="E268" s="619">
        <f t="shared" ca="1" si="9"/>
        <v>10</v>
      </c>
      <c r="F268" s="30">
        <f t="shared" ca="1" si="10"/>
        <v>21</v>
      </c>
      <c r="H268" s="18">
        <f t="shared" ca="1" si="11"/>
        <v>0</v>
      </c>
    </row>
    <row r="269" spans="4:8" s="618" customFormat="1" x14ac:dyDescent="0.3">
      <c r="D269" s="619">
        <v>251</v>
      </c>
      <c r="E269" s="619">
        <f t="shared" ca="1" si="9"/>
        <v>11</v>
      </c>
      <c r="F269" s="30">
        <f t="shared" ca="1" si="10"/>
        <v>21</v>
      </c>
      <c r="H269" s="18">
        <f t="shared" ca="1" si="11"/>
        <v>0</v>
      </c>
    </row>
    <row r="270" spans="4:8" s="618" customFormat="1" x14ac:dyDescent="0.3">
      <c r="D270" s="619">
        <v>252</v>
      </c>
      <c r="E270" s="619">
        <f t="shared" ca="1" si="9"/>
        <v>12</v>
      </c>
      <c r="F270" s="30">
        <f t="shared" ca="1" si="10"/>
        <v>21</v>
      </c>
      <c r="H270" s="18">
        <f t="shared" ca="1" si="11"/>
        <v>0</v>
      </c>
    </row>
    <row r="271" spans="4:8" s="618" customFormat="1" x14ac:dyDescent="0.3">
      <c r="D271" s="619">
        <v>253</v>
      </c>
      <c r="E271" s="619">
        <f t="shared" ca="1" si="9"/>
        <v>1</v>
      </c>
      <c r="F271" s="30">
        <f t="shared" ca="1" si="10"/>
        <v>22</v>
      </c>
      <c r="H271" s="18">
        <f t="shared" ca="1" si="11"/>
        <v>0</v>
      </c>
    </row>
    <row r="272" spans="4:8" s="618" customFormat="1" x14ac:dyDescent="0.3">
      <c r="D272" s="619">
        <v>254</v>
      </c>
      <c r="E272" s="619">
        <f t="shared" ca="1" si="9"/>
        <v>2</v>
      </c>
      <c r="F272" s="30">
        <f t="shared" ca="1" si="10"/>
        <v>22</v>
      </c>
      <c r="H272" s="18">
        <f t="shared" ca="1" si="11"/>
        <v>0</v>
      </c>
    </row>
    <row r="273" spans="4:8" s="618" customFormat="1" x14ac:dyDescent="0.3">
      <c r="D273" s="619">
        <v>255</v>
      </c>
      <c r="E273" s="619">
        <f t="shared" ca="1" si="9"/>
        <v>3</v>
      </c>
      <c r="F273" s="30">
        <f t="shared" ca="1" si="10"/>
        <v>22</v>
      </c>
      <c r="H273" s="18">
        <f t="shared" ca="1" si="11"/>
        <v>0</v>
      </c>
    </row>
    <row r="274" spans="4:8" s="618" customFormat="1" x14ac:dyDescent="0.3">
      <c r="D274" s="619">
        <v>256</v>
      </c>
      <c r="E274" s="619">
        <f t="shared" ca="1" si="9"/>
        <v>4</v>
      </c>
      <c r="F274" s="30">
        <f t="shared" ca="1" si="10"/>
        <v>22</v>
      </c>
      <c r="H274" s="18">
        <f t="shared" ca="1" si="11"/>
        <v>0</v>
      </c>
    </row>
    <row r="275" spans="4:8" s="618" customFormat="1" x14ac:dyDescent="0.3">
      <c r="D275" s="619">
        <v>257</v>
      </c>
      <c r="E275" s="619">
        <f t="shared" ca="1" si="9"/>
        <v>5</v>
      </c>
      <c r="F275" s="30">
        <f t="shared" ca="1" si="10"/>
        <v>22</v>
      </c>
      <c r="H275" s="18">
        <f t="shared" ca="1" si="11"/>
        <v>0</v>
      </c>
    </row>
    <row r="276" spans="4:8" s="618" customFormat="1" x14ac:dyDescent="0.3">
      <c r="D276" s="619">
        <v>258</v>
      </c>
      <c r="E276" s="619">
        <f t="shared" ca="1" si="9"/>
        <v>6</v>
      </c>
      <c r="F276" s="30">
        <f t="shared" ca="1" si="10"/>
        <v>22</v>
      </c>
      <c r="H276" s="18">
        <f t="shared" ca="1" si="11"/>
        <v>0</v>
      </c>
    </row>
    <row r="277" spans="4:8" s="618" customFormat="1" x14ac:dyDescent="0.3">
      <c r="D277" s="619">
        <v>259</v>
      </c>
      <c r="E277" s="619">
        <f t="shared" ca="1" si="9"/>
        <v>7</v>
      </c>
      <c r="F277" s="30">
        <f t="shared" ca="1" si="10"/>
        <v>22</v>
      </c>
      <c r="H277" s="18">
        <f t="shared" ca="1" si="11"/>
        <v>0</v>
      </c>
    </row>
    <row r="278" spans="4:8" s="618" customFormat="1" x14ac:dyDescent="0.3">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defaultColWidth="9.109375" defaultRowHeight="14.4" x14ac:dyDescent="0.3"/>
  <cols>
    <col min="1" max="1" width="1.6640625" customWidth="1"/>
    <col min="2" max="2" width="28.44140625" customWidth="1"/>
    <col min="3" max="3" width="16" style="97"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0"/>
      <c r="B2" s="102" t="s">
        <v>1664</v>
      </c>
      <c r="C2" s="279"/>
      <c r="D2" s="10"/>
      <c r="E2" s="10"/>
      <c r="F2" s="10"/>
      <c r="G2" s="10"/>
      <c r="H2" s="10"/>
      <c r="I2" s="10"/>
      <c r="J2" s="10"/>
      <c r="K2" s="10"/>
      <c r="L2" s="10"/>
      <c r="M2" s="10"/>
      <c r="N2" s="10"/>
    </row>
    <row r="3" spans="1:43" ht="15" thickTop="1" x14ac:dyDescent="0.3">
      <c r="AP3" s="401" t="s">
        <v>4094</v>
      </c>
    </row>
    <row r="4" spans="1:43" x14ac:dyDescent="0.3">
      <c r="A4" t="s">
        <v>488</v>
      </c>
      <c r="B4" s="283" t="s">
        <v>2409</v>
      </c>
      <c r="C4" s="280"/>
      <c r="D4" t="s">
        <v>488</v>
      </c>
      <c r="E4" s="111" t="s">
        <v>82</v>
      </c>
      <c r="F4" s="111"/>
      <c r="G4" s="111"/>
      <c r="H4" s="111"/>
      <c r="J4" s="111" t="s">
        <v>1681</v>
      </c>
      <c r="K4" s="111"/>
      <c r="L4" s="111"/>
      <c r="M4" s="111"/>
      <c r="N4" s="111"/>
    </row>
    <row r="5" spans="1:43" x14ac:dyDescent="0.3">
      <c r="AP5" s="400" t="s">
        <v>4093</v>
      </c>
      <c r="AQ5" s="400" t="s">
        <v>4097</v>
      </c>
    </row>
    <row r="6" spans="1:43" x14ac:dyDescent="0.3">
      <c r="B6" s="278" t="s">
        <v>5574</v>
      </c>
      <c r="C6" s="281"/>
      <c r="G6" s="972" t="s">
        <v>2400</v>
      </c>
      <c r="H6" s="972"/>
      <c r="AP6" s="400" t="s">
        <v>4095</v>
      </c>
      <c r="AQ6" s="400" t="s">
        <v>4098</v>
      </c>
    </row>
    <row r="7" spans="1:43" x14ac:dyDescent="0.3">
      <c r="B7" s="668" t="s">
        <v>5062</v>
      </c>
      <c r="C7" s="97">
        <f ca="1">MontoFinanciarAutoYGtiaExt</f>
        <v>141000</v>
      </c>
      <c r="G7" s="269" t="s">
        <v>2401</v>
      </c>
      <c r="H7" s="115">
        <v>1</v>
      </c>
      <c r="AP7" s="400" t="s">
        <v>4096</v>
      </c>
      <c r="AQ7" s="400" t="s">
        <v>4099</v>
      </c>
    </row>
    <row r="8" spans="1:43" x14ac:dyDescent="0.3">
      <c r="B8" s="732" t="s">
        <v>5575</v>
      </c>
      <c r="C8" s="97">
        <f ca="1">MontoFinanciarVida</f>
        <v>1002.0500000000001</v>
      </c>
      <c r="G8" s="270" t="s">
        <v>2402</v>
      </c>
      <c r="H8" s="72">
        <v>0</v>
      </c>
    </row>
    <row r="9" spans="1:43" x14ac:dyDescent="0.3">
      <c r="B9" s="501" t="s">
        <v>4939</v>
      </c>
      <c r="C9" s="722">
        <f ca="1">MontoFinanciarSeguros - MontoFinanciarVida</f>
        <v>7039.7068599999993</v>
      </c>
      <c r="G9" s="271" t="s">
        <v>2403</v>
      </c>
      <c r="H9" s="272">
        <f ca="1">IF(Seguro.EsFinanciado?,FactorRenovacionAnualFinanciado,FactorRenovacionAnualContado)</f>
        <v>0</v>
      </c>
    </row>
    <row r="10" spans="1:43" x14ac:dyDescent="0.3">
      <c r="H10" s="276" t="str">
        <f>CONCATENATE("[",SELECCION_CALCULO_SEGURO,"]")</f>
        <v>[Anual Financiado]</v>
      </c>
      <c r="M10" s="2" t="s">
        <v>1665</v>
      </c>
      <c r="N10" s="105">
        <f ca="1" xml:space="preserve"> IF(SUM(_Flujos.CAT)=0, 0, IRR(_Flujos.CAT,0))</f>
        <v>2.4012394850376095E-2</v>
      </c>
    </row>
    <row r="11" spans="1:43" x14ac:dyDescent="0.3">
      <c r="B11" s="277" t="s">
        <v>2407</v>
      </c>
      <c r="C11" s="282">
        <f ca="1">SUM(C7:C10)</f>
        <v>149041.75685999999</v>
      </c>
      <c r="M11" s="2" t="s">
        <v>1666</v>
      </c>
      <c r="N11" s="284">
        <f ca="1">EFFECT( TIR.Flujos*PeriodosPorAño, PeriodosPorAño )</f>
        <v>0.32942108186708352</v>
      </c>
    </row>
    <row r="12" spans="1:43" ht="15" customHeight="1" x14ac:dyDescent="0.3">
      <c r="N12" s="237"/>
    </row>
    <row r="13" spans="1:43" x14ac:dyDescent="0.3">
      <c r="B13" s="278" t="s">
        <v>4938</v>
      </c>
      <c r="C13" s="281"/>
    </row>
    <row r="14" spans="1:43" x14ac:dyDescent="0.3">
      <c r="B14" s="668" t="s">
        <v>5063</v>
      </c>
      <c r="C14" s="97">
        <f ca="1">Total.Egresos.CAT * CapturaPorcentajeComisionApertura</f>
        <v>3726.0439215000001</v>
      </c>
      <c r="E14" s="972" t="s">
        <v>5007</v>
      </c>
      <c r="F14" s="972"/>
      <c r="G14" s="972"/>
      <c r="H14" s="972"/>
    </row>
    <row r="15" spans="1:43" ht="15" customHeight="1" x14ac:dyDescent="0.3">
      <c r="B15" s="732" t="s">
        <v>5573</v>
      </c>
      <c r="C15" s="722">
        <f ca="1">PrimaVida</f>
        <v>1002.0500000000001</v>
      </c>
      <c r="E15" s="625" t="s">
        <v>5018</v>
      </c>
      <c r="F15" s="625" t="s">
        <v>5017</v>
      </c>
      <c r="G15" s="625" t="s">
        <v>5016</v>
      </c>
      <c r="H15" s="625" t="s">
        <v>5015</v>
      </c>
      <c r="M15" s="1000" t="s">
        <v>2410</v>
      </c>
      <c r="N15" s="1000"/>
    </row>
    <row r="16" spans="1:43" x14ac:dyDescent="0.3">
      <c r="B16" s="501" t="s">
        <v>4939</v>
      </c>
      <c r="C16" s="722">
        <f ca="1">PrimaDaños</f>
        <v>7039.7068599999993</v>
      </c>
    </row>
    <row r="17" spans="2:14" x14ac:dyDescent="0.3">
      <c r="E17" s="29" t="s">
        <v>79</v>
      </c>
      <c r="F17" s="273" t="s">
        <v>5031</v>
      </c>
      <c r="G17" s="274" t="s">
        <v>5031</v>
      </c>
      <c r="H17" s="274" t="s">
        <v>5032</v>
      </c>
      <c r="I17" t="s">
        <v>488</v>
      </c>
      <c r="J17" s="2" t="s">
        <v>1669</v>
      </c>
      <c r="K17" s="2" t="s">
        <v>1668</v>
      </c>
      <c r="L17" t="s">
        <v>488</v>
      </c>
      <c r="M17" s="106" t="s">
        <v>1667</v>
      </c>
      <c r="N17" s="113">
        <f ca="1">SUM(M19:M279)</f>
        <v>3.1341187423095107E-9</v>
      </c>
    </row>
    <row r="18" spans="2:14" ht="15" customHeight="1" x14ac:dyDescent="0.3">
      <c r="B18" s="277" t="s">
        <v>2408</v>
      </c>
      <c r="C18" s="282">
        <f ca="1">SUM(C14:C17)</f>
        <v>11767.800781499998</v>
      </c>
      <c r="E18" s="221"/>
      <c r="F18" s="275" t="s">
        <v>2404</v>
      </c>
      <c r="G18" s="275" t="s">
        <v>2405</v>
      </c>
      <c r="H18" s="275" t="s">
        <v>2405</v>
      </c>
    </row>
    <row r="19" spans="2:14" x14ac:dyDescent="0.3">
      <c r="J19" s="110">
        <v>0</v>
      </c>
      <c r="K19" s="103">
        <f ca="1">Total.Flujo.Cero.CAT</f>
        <v>-137273.95607849999</v>
      </c>
      <c r="L19" s="103"/>
      <c r="M19" s="103">
        <f ca="1">+_Flujos.CAT/(1+CAT)^(_Num.Flujo/PeriodosPorAño)</f>
        <v>-137273.95607849999</v>
      </c>
    </row>
    <row r="20" spans="2:14" x14ac:dyDescent="0.3">
      <c r="B20" s="278" t="s">
        <v>2406</v>
      </c>
      <c r="C20" s="281">
        <f ca="1">Total.Ingresos.CAT - Total.Egresos.CAT</f>
        <v>-137273.95607849999</v>
      </c>
      <c r="E20" s="109">
        <f ca="1">INDEX(T_SoloAuto!__Pago_CAT,_Num.Flujo)</f>
        <v>12507.83444355547</v>
      </c>
      <c r="F20" s="109">
        <f ca="1">INDEX(T_VidaMulti!__Pago_CAT,_Num.Flujo)</f>
        <v>0</v>
      </c>
      <c r="G20" s="109">
        <f ca="1">INDEX(T_VidaAnual!__Pago_CAT,_Num.Flujo)</f>
        <v>713.36853503692555</v>
      </c>
      <c r="H20" s="109">
        <f ca="1">INDEX(T_RenovVidaAnual!__Saldo_Renov_Anual,_Num.Flujo) * FactorRenovacionAnual</f>
        <v>0</v>
      </c>
      <c r="J20" s="110">
        <v>1</v>
      </c>
      <c r="K20" s="104">
        <f ca="1">SUM(_Componentes_CAT _Actual)</f>
        <v>13221.202978592395</v>
      </c>
      <c r="L20" s="103"/>
      <c r="M20" s="103">
        <f t="shared" ref="M20:M50" ca="1" si="0">+_Flujos.CAT/(1+CAT)^(_Num.Flujo/PeriodosPorAño)</f>
        <v>12911.174752454257</v>
      </c>
    </row>
    <row r="21" spans="2:14" x14ac:dyDescent="0.3">
      <c r="E21" s="109">
        <f ca="1">INDEX(T_SoloAuto!__Pago_CAT,_Num.Flujo)</f>
        <v>12522.014232487656</v>
      </c>
      <c r="F21" s="109">
        <f ca="1">INDEX(T_VidaMulti!__Pago_CAT,_Num.Flujo)</f>
        <v>0</v>
      </c>
      <c r="G21" s="109">
        <f ca="1">INDEX(T_VidaAnual!__Pago_CAT,_Num.Flujo)</f>
        <v>714.17726138386706</v>
      </c>
      <c r="H21" s="109">
        <f ca="1">INDEX(T_RenovVidaAnual!__Saldo_Renov_Anual,_Num.Flujo) * FactorRenovacionAnual</f>
        <v>0</v>
      </c>
      <c r="J21" s="110">
        <v>2</v>
      </c>
      <c r="K21" s="104">
        <f ca="1">SUM(_Componentes_CAT _Actual)</f>
        <v>13236.191493871524</v>
      </c>
      <c r="L21" s="103"/>
      <c r="M21" s="103">
        <f t="shared" ca="1" si="0"/>
        <v>12622.710293583246</v>
      </c>
    </row>
    <row r="22" spans="2:14" x14ac:dyDescent="0.3">
      <c r="E22" s="109">
        <f ca="1">INDEX(T_SoloAuto!__Pago_CAT,_Num.Flujo)</f>
        <v>12536.364746078587</v>
      </c>
      <c r="F22" s="109">
        <f ca="1">INDEX(T_VidaMulti!__Pago_CAT,_Num.Flujo)</f>
        <v>0</v>
      </c>
      <c r="G22" s="109">
        <f ca="1">INDEX(T_VidaAnual!__Pago_CAT,_Num.Flujo)</f>
        <v>714.9957247960258</v>
      </c>
      <c r="H22" s="109">
        <f ca="1">INDEX(T_RenovVidaAnual!__Saldo_Renov_Anual,_Num.Flujo) * FactorRenovacionAnual</f>
        <v>0</v>
      </c>
      <c r="J22" s="110">
        <v>3</v>
      </c>
      <c r="K22" s="104">
        <f ca="1">SUM(_Componentes_CAT _Actual)</f>
        <v>13251.360470874613</v>
      </c>
      <c r="L22" s="103"/>
      <c r="M22" s="103">
        <f t="shared" ca="1" si="0"/>
        <v>12340.843011964485</v>
      </c>
    </row>
    <row r="23" spans="2:14" x14ac:dyDescent="0.3">
      <c r="E23" s="109">
        <f ca="1">INDEX(T_SoloAuto!__Pago_CAT,_Num.Flujo)</f>
        <v>12550.888039853151</v>
      </c>
      <c r="F23" s="109">
        <f ca="1">INDEX(T_VidaMulti!__Pago_CAT,_Num.Flujo)</f>
        <v>0</v>
      </c>
      <c r="G23" s="109">
        <f ca="1">INDEX(T_VidaAnual!__Pago_CAT,_Num.Flujo)</f>
        <v>715.82404250766695</v>
      </c>
      <c r="H23" s="109">
        <f ca="1">INDEX(T_RenovVidaAnual!__Saldo_Renov_Anual,_Num.Flujo) * FactorRenovacionAnual</f>
        <v>0</v>
      </c>
      <c r="J23" s="110">
        <v>4</v>
      </c>
      <c r="K23" s="104">
        <f ca="1">SUM(_Componentes_CAT _Actual)</f>
        <v>13266.712082360818</v>
      </c>
      <c r="L23" s="103"/>
      <c r="M23" s="103">
        <f t="shared" ca="1" si="0"/>
        <v>12065.420162162853</v>
      </c>
    </row>
    <row r="24" spans="2:14" x14ac:dyDescent="0.3">
      <c r="E24" s="109">
        <f ca="1">INDEX(T_SoloAuto!__Pago_CAT,_Num.Flujo)</f>
        <v>12565.586194084763</v>
      </c>
      <c r="F24" s="109">
        <f ca="1">INDEX(T_VidaMulti!__Pago_CAT,_Num.Flujo)</f>
        <v>0</v>
      </c>
      <c r="G24" s="109">
        <f ca="1">INDEX(T_VidaAnual!__Pago_CAT,_Num.Flujo)</f>
        <v>716.66233316455623</v>
      </c>
      <c r="H24" s="109">
        <f ca="1">INDEX(T_RenovVidaAnual!__Saldo_Renov_Anual,_Num.Flujo) * FactorRenovacionAnual</f>
        <v>0</v>
      </c>
      <c r="J24" s="110">
        <v>5</v>
      </c>
      <c r="K24" s="104">
        <f ca="1">SUM(_Componentes_CAT _Actual)</f>
        <v>13282.24852724932</v>
      </c>
      <c r="L24" s="103"/>
      <c r="M24" s="103">
        <f t="shared" ca="1" si="0"/>
        <v>11796.292557675712</v>
      </c>
    </row>
    <row r="25" spans="2:14" x14ac:dyDescent="0.3">
      <c r="E25" s="109">
        <f ca="1">INDEX(T_SoloAuto!__Pago_CAT,_Num.Flujo)</f>
        <v>12580.461314093322</v>
      </c>
      <c r="F25" s="109">
        <f ca="1">INDEX(T_VidaMulti!__Pago_CAT,_Num.Flujo)</f>
        <v>0</v>
      </c>
      <c r="G25" s="109">
        <f ca="1">INDEX(T_VidaAnual!__Pago_CAT,_Num.Flujo)</f>
        <v>717.5107168409545</v>
      </c>
      <c r="H25" s="109">
        <f ca="1">INDEX(T_RenovVidaAnual!__Saldo_Renov_Anual,_Num.Flujo) * FactorRenovacionAnual</f>
        <v>0</v>
      </c>
      <c r="J25" s="110">
        <v>6</v>
      </c>
      <c r="K25" s="104">
        <f ca="1">SUM(_Componentes_CAT _Actual)</f>
        <v>13297.972030934276</v>
      </c>
      <c r="L25" s="103"/>
      <c r="M25" s="103">
        <f t="shared" ca="1" si="0"/>
        <v>11533.314487745442</v>
      </c>
    </row>
    <row r="26" spans="2:14" x14ac:dyDescent="0.3">
      <c r="E26" s="109">
        <f ca="1">INDEX(T_SoloAuto!__Pago_CAT,_Num.Flujo)</f>
        <v>12595.515530546783</v>
      </c>
      <c r="F26" s="109">
        <f ca="1">INDEX(T_VidaMulti!__Pago_CAT,_Num.Flujo)</f>
        <v>0</v>
      </c>
      <c r="G26" s="109">
        <f ca="1">INDEX(T_VidaAnual!__Pago_CAT,_Num.Flujo)</f>
        <v>718.36931505681673</v>
      </c>
      <c r="H26" s="109">
        <f ca="1">INDEX(T_RenovVidaAnual!__Saldo_Renov_Anual,_Num.Flujo) * FactorRenovacionAnual</f>
        <v>0</v>
      </c>
      <c r="J26" s="110">
        <v>7</v>
      </c>
      <c r="K26" s="104">
        <f ca="1">SUM(_Componentes_CAT _Actual)</f>
        <v>13313.884845603599</v>
      </c>
      <c r="L26" s="103"/>
      <c r="M26" s="103">
        <f t="shared" ca="1" si="0"/>
        <v>11276.343636119545</v>
      </c>
    </row>
    <row r="27" spans="2:14" x14ac:dyDescent="0.3">
      <c r="E27" s="109">
        <f ca="1">INDEX(T_SoloAuto!__Pago_CAT,_Num.Flujo)</f>
        <v>12610.750999766346</v>
      </c>
      <c r="F27" s="109">
        <f ca="1">INDEX(T_VidaMulti!__Pago_CAT,_Num.Flujo)</f>
        <v>0</v>
      </c>
      <c r="G27" s="109">
        <f ca="1">INDEX(T_VidaAnual!__Pago_CAT,_Num.Flujo)</f>
        <v>719.2382507951977</v>
      </c>
      <c r="H27" s="109">
        <f ca="1">INDEX(T_RenovVidaAnual!__Saldo_Renov_Anual,_Num.Flujo) * FactorRenovacionAnual</f>
        <v>0</v>
      </c>
      <c r="J27" s="110">
        <v>8</v>
      </c>
      <c r="K27" s="104">
        <f ca="1">SUM(_Componentes_CAT _Actual)</f>
        <v>13329.989250561543</v>
      </c>
      <c r="L27" s="103"/>
      <c r="M27" s="103">
        <f t="shared" ca="1" si="0"/>
        <v>11025.241001712686</v>
      </c>
    </row>
    <row r="28" spans="2:14" x14ac:dyDescent="0.3">
      <c r="E28" s="109">
        <f ca="1">INDEX(T_SoloAuto!__Pago_CAT,_Num.Flujo)</f>
        <v>12626.169904035311</v>
      </c>
      <c r="F28" s="109">
        <f ca="1">INDEX(T_VidaMulti!__Pago_CAT,_Num.Flujo)</f>
        <v>0</v>
      </c>
      <c r="G28" s="109">
        <f ca="1">INDEX(T_VidaAnual!__Pago_CAT,_Num.Flujo)</f>
        <v>720.11764851986891</v>
      </c>
      <c r="H28" s="109">
        <f ca="1">INDEX(T_RenovVidaAnual!__Saldo_Renov_Anual,_Num.Flujo) * FactorRenovacionAnual</f>
        <v>0</v>
      </c>
      <c r="J28" s="110">
        <v>9</v>
      </c>
      <c r="K28" s="104">
        <f ca="1">SUM(_Componentes_CAT _Actual)</f>
        <v>13346.287552555179</v>
      </c>
      <c r="L28" s="103"/>
      <c r="M28" s="103">
        <f t="shared" ca="1" si="0"/>
        <v>10779.8708211261</v>
      </c>
    </row>
    <row r="29" spans="2:14" x14ac:dyDescent="0.3">
      <c r="E29" s="109">
        <f ca="1">INDEX(T_SoloAuto!__Pago_CAT,_Num.Flujo)</f>
        <v>12641.774451911675</v>
      </c>
      <c r="F29" s="109">
        <f ca="1">INDEX(T_VidaMulti!__Pago_CAT,_Num.Flujo)</f>
        <v>0</v>
      </c>
      <c r="G29" s="109">
        <f ca="1">INDEX(T_VidaAnual!__Pago_CAT,_Num.Flujo)</f>
        <v>721.00763419314512</v>
      </c>
      <c r="H29" s="109">
        <f ca="1">INDEX(T_RenovVidaAnual!__Saldo_Renov_Anual,_Num.Flujo) * FactorRenovacionAnual</f>
        <v>0</v>
      </c>
      <c r="J29" s="110">
        <v>10</v>
      </c>
      <c r="K29" s="104">
        <f ca="1">SUM(_Componentes_CAT _Actual)</f>
        <v>13362.78208610482</v>
      </c>
      <c r="L29" s="103"/>
      <c r="M29" s="103">
        <f t="shared" ca="1" si="0"/>
        <v>10540.100492980861</v>
      </c>
    </row>
    <row r="30" spans="2:14" x14ac:dyDescent="0.3">
      <c r="E30" s="109">
        <f ca="1">INDEX(T_SoloAuto!__Pago_CAT,_Num.Flujo)</f>
        <v>12657.56687854447</v>
      </c>
      <c r="F30" s="109">
        <f ca="1">INDEX(T_VidaMulti!__Pago_CAT,_Num.Flujo)</f>
        <v>0</v>
      </c>
      <c r="G30" s="109">
        <f ca="1">INDEX(T_VidaAnual!__Pago_CAT,_Num.Flujo)</f>
        <v>721.90833529392762</v>
      </c>
      <c r="H30" s="109">
        <f ca="1">INDEX(T_RenovVidaAnual!__Saldo_Renov_Anual,_Num.Flujo) * FactorRenovacionAnual</f>
        <v>0</v>
      </c>
      <c r="J30" s="110">
        <v>11</v>
      </c>
      <c r="K30" s="104">
        <f ca="1">SUM(_Componentes_CAT _Actual)</f>
        <v>13379.475213838397</v>
      </c>
      <c r="L30" s="103"/>
      <c r="M30" s="103">
        <f t="shared" ca="1" si="0"/>
        <v>10305.800504022483</v>
      </c>
    </row>
    <row r="31" spans="2:14" x14ac:dyDescent="0.3">
      <c r="E31" s="109">
        <f ca="1">INDEX(T_SoloAuto!__Pago_CAT,_Num.Flujo)</f>
        <v>12673.549445993978</v>
      </c>
      <c r="F31" s="109">
        <f ca="1">INDEX(T_VidaMulti!__Pago_CAT,_Num.Flujo)</f>
        <v>0</v>
      </c>
      <c r="G31" s="109">
        <f ca="1">INDEX(T_VidaAnual!__Pago_CAT,_Num.Flujo)</f>
        <v>722.81988083596605</v>
      </c>
      <c r="H31" s="109">
        <f ca="1">INDEX(T_RenovVidaAnual!__Saldo_Renov_Anual,_Num.Flujo) * FactorRenovacionAnual</f>
        <v>0</v>
      </c>
      <c r="J31" s="110">
        <v>12</v>
      </c>
      <c r="K31" s="104">
        <f ca="1">SUM(_Componentes_CAT _Actual)</f>
        <v>13396.369326829945</v>
      </c>
      <c r="L31" s="103"/>
      <c r="M31" s="103">
        <f t="shared" ca="1" si="0"/>
        <v>10076.844356955462</v>
      </c>
    </row>
    <row r="32" spans="2:14" x14ac:dyDescent="0.3">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x14ac:dyDescent="0.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x14ac:dyDescent="0.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x14ac:dyDescent="0.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x14ac:dyDescent="0.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x14ac:dyDescent="0.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x14ac:dyDescent="0.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x14ac:dyDescent="0.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x14ac:dyDescent="0.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x14ac:dyDescent="0.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x14ac:dyDescent="0.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x14ac:dyDescent="0.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x14ac:dyDescent="0.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x14ac:dyDescent="0.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x14ac:dyDescent="0.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x14ac:dyDescent="0.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x14ac:dyDescent="0.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x14ac:dyDescent="0.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x14ac:dyDescent="0.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x14ac:dyDescent="0.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x14ac:dyDescent="0.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x14ac:dyDescent="0.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x14ac:dyDescent="0.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x14ac:dyDescent="0.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x14ac:dyDescent="0.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x14ac:dyDescent="0.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x14ac:dyDescent="0.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x14ac:dyDescent="0.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x14ac:dyDescent="0.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x14ac:dyDescent="0.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x14ac:dyDescent="0.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x14ac:dyDescent="0.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x14ac:dyDescent="0.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x14ac:dyDescent="0.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x14ac:dyDescent="0.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x14ac:dyDescent="0.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x14ac:dyDescent="0.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x14ac:dyDescent="0.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x14ac:dyDescent="0.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x14ac:dyDescent="0.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x14ac:dyDescent="0.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x14ac:dyDescent="0.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x14ac:dyDescent="0.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x14ac:dyDescent="0.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x14ac:dyDescent="0.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x14ac:dyDescent="0.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x14ac:dyDescent="0.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x14ac:dyDescent="0.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x14ac:dyDescent="0.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x14ac:dyDescent="0.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x14ac:dyDescent="0.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x14ac:dyDescent="0.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x14ac:dyDescent="0.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x14ac:dyDescent="0.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x14ac:dyDescent="0.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x14ac:dyDescent="0.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x14ac:dyDescent="0.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x14ac:dyDescent="0.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x14ac:dyDescent="0.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x14ac:dyDescent="0.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x14ac:dyDescent="0.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x14ac:dyDescent="0.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x14ac:dyDescent="0.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x14ac:dyDescent="0.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x14ac:dyDescent="0.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x14ac:dyDescent="0.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x14ac:dyDescent="0.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x14ac:dyDescent="0.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x14ac:dyDescent="0.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x14ac:dyDescent="0.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x14ac:dyDescent="0.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x14ac:dyDescent="0.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x14ac:dyDescent="0.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x14ac:dyDescent="0.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x14ac:dyDescent="0.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x14ac:dyDescent="0.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x14ac:dyDescent="0.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x14ac:dyDescent="0.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x14ac:dyDescent="0.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x14ac:dyDescent="0.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x14ac:dyDescent="0.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x14ac:dyDescent="0.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x14ac:dyDescent="0.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x14ac:dyDescent="0.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x14ac:dyDescent="0.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x14ac:dyDescent="0.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x14ac:dyDescent="0.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x14ac:dyDescent="0.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x14ac:dyDescent="0.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x14ac:dyDescent="0.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x14ac:dyDescent="0.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x14ac:dyDescent="0.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x14ac:dyDescent="0.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x14ac:dyDescent="0.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x14ac:dyDescent="0.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x14ac:dyDescent="0.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x14ac:dyDescent="0.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x14ac:dyDescent="0.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x14ac:dyDescent="0.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x14ac:dyDescent="0.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x14ac:dyDescent="0.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x14ac:dyDescent="0.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x14ac:dyDescent="0.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x14ac:dyDescent="0.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x14ac:dyDescent="0.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x14ac:dyDescent="0.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x14ac:dyDescent="0.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x14ac:dyDescent="0.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x14ac:dyDescent="0.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x14ac:dyDescent="0.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x14ac:dyDescent="0.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x14ac:dyDescent="0.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x14ac:dyDescent="0.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x14ac:dyDescent="0.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x14ac:dyDescent="0.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x14ac:dyDescent="0.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x14ac:dyDescent="0.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x14ac:dyDescent="0.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x14ac:dyDescent="0.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x14ac:dyDescent="0.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x14ac:dyDescent="0.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x14ac:dyDescent="0.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x14ac:dyDescent="0.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x14ac:dyDescent="0.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x14ac:dyDescent="0.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x14ac:dyDescent="0.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x14ac:dyDescent="0.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x14ac:dyDescent="0.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x14ac:dyDescent="0.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x14ac:dyDescent="0.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x14ac:dyDescent="0.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x14ac:dyDescent="0.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x14ac:dyDescent="0.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x14ac:dyDescent="0.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x14ac:dyDescent="0.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x14ac:dyDescent="0.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x14ac:dyDescent="0.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x14ac:dyDescent="0.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x14ac:dyDescent="0.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x14ac:dyDescent="0.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x14ac:dyDescent="0.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x14ac:dyDescent="0.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x14ac:dyDescent="0.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x14ac:dyDescent="0.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x14ac:dyDescent="0.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x14ac:dyDescent="0.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x14ac:dyDescent="0.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x14ac:dyDescent="0.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x14ac:dyDescent="0.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x14ac:dyDescent="0.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x14ac:dyDescent="0.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x14ac:dyDescent="0.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x14ac:dyDescent="0.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x14ac:dyDescent="0.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x14ac:dyDescent="0.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x14ac:dyDescent="0.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x14ac:dyDescent="0.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x14ac:dyDescent="0.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x14ac:dyDescent="0.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x14ac:dyDescent="0.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x14ac:dyDescent="0.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x14ac:dyDescent="0.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x14ac:dyDescent="0.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x14ac:dyDescent="0.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x14ac:dyDescent="0.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x14ac:dyDescent="0.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x14ac:dyDescent="0.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x14ac:dyDescent="0.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x14ac:dyDescent="0.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x14ac:dyDescent="0.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x14ac:dyDescent="0.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x14ac:dyDescent="0.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x14ac:dyDescent="0.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x14ac:dyDescent="0.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x14ac:dyDescent="0.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x14ac:dyDescent="0.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x14ac:dyDescent="0.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x14ac:dyDescent="0.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x14ac:dyDescent="0.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x14ac:dyDescent="0.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x14ac:dyDescent="0.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x14ac:dyDescent="0.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x14ac:dyDescent="0.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x14ac:dyDescent="0.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x14ac:dyDescent="0.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x14ac:dyDescent="0.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x14ac:dyDescent="0.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x14ac:dyDescent="0.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x14ac:dyDescent="0.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x14ac:dyDescent="0.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x14ac:dyDescent="0.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x14ac:dyDescent="0.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x14ac:dyDescent="0.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x14ac:dyDescent="0.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x14ac:dyDescent="0.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x14ac:dyDescent="0.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x14ac:dyDescent="0.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x14ac:dyDescent="0.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x14ac:dyDescent="0.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x14ac:dyDescent="0.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x14ac:dyDescent="0.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x14ac:dyDescent="0.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x14ac:dyDescent="0.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x14ac:dyDescent="0.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x14ac:dyDescent="0.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x14ac:dyDescent="0.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x14ac:dyDescent="0.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x14ac:dyDescent="0.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x14ac:dyDescent="0.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x14ac:dyDescent="0.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x14ac:dyDescent="0.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x14ac:dyDescent="0.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x14ac:dyDescent="0.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zoomScale="70" zoomScaleNormal="70"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0" t="s">
        <v>11028</v>
      </c>
      <c r="B1" s="10"/>
      <c r="C1" s="10"/>
      <c r="D1" s="10"/>
      <c r="E1" s="10"/>
    </row>
    <row r="2" spans="1:6" ht="15" thickTop="1" x14ac:dyDescent="0.3"/>
    <row r="3" spans="1:6" x14ac:dyDescent="0.3">
      <c r="B3" s="11" t="s">
        <v>1598</v>
      </c>
    </row>
    <row r="4" spans="1:6" x14ac:dyDescent="0.3">
      <c r="A4" s="2" t="s">
        <v>429</v>
      </c>
      <c r="B4" s="2" t="s">
        <v>430</v>
      </c>
      <c r="C4" s="3" t="s">
        <v>431</v>
      </c>
      <c r="D4" s="2" t="s">
        <v>1599</v>
      </c>
      <c r="E4" s="2" t="s">
        <v>1600</v>
      </c>
    </row>
    <row r="5" spans="1:6" x14ac:dyDescent="0.3">
      <c r="A5" s="44">
        <v>1</v>
      </c>
      <c r="B5" s="45" t="s">
        <v>1601</v>
      </c>
      <c r="C5" s="46">
        <f>A5</f>
        <v>1</v>
      </c>
      <c r="D5" s="4">
        <v>30</v>
      </c>
      <c r="E5" s="6">
        <v>12</v>
      </c>
    </row>
    <row r="6" spans="1:6" x14ac:dyDescent="0.3">
      <c r="A6" s="47">
        <v>2</v>
      </c>
      <c r="B6" s="48" t="s">
        <v>1602</v>
      </c>
      <c r="C6" s="49">
        <f>A6</f>
        <v>2</v>
      </c>
      <c r="D6" s="50">
        <v>15</v>
      </c>
      <c r="E6" s="51">
        <v>24</v>
      </c>
    </row>
    <row r="7" spans="1:6" x14ac:dyDescent="0.3">
      <c r="A7" s="47">
        <v>3</v>
      </c>
      <c r="B7" s="48" t="s">
        <v>1603</v>
      </c>
      <c r="C7" s="49">
        <f>A7</f>
        <v>3</v>
      </c>
      <c r="D7" s="50">
        <v>14</v>
      </c>
      <c r="E7" s="51">
        <v>26</v>
      </c>
    </row>
    <row r="8" spans="1:6" x14ac:dyDescent="0.3">
      <c r="A8" s="47">
        <v>4</v>
      </c>
      <c r="B8" s="48" t="s">
        <v>1604</v>
      </c>
      <c r="C8" s="49">
        <f>A8</f>
        <v>4</v>
      </c>
      <c r="D8" s="50">
        <v>10</v>
      </c>
      <c r="E8" s="51">
        <v>36</v>
      </c>
    </row>
    <row r="9" spans="1:6" x14ac:dyDescent="0.3">
      <c r="A9" s="52">
        <v>5</v>
      </c>
      <c r="B9" s="53" t="s">
        <v>1605</v>
      </c>
      <c r="C9" s="54">
        <f>A9</f>
        <v>5</v>
      </c>
      <c r="D9" s="7">
        <v>7</v>
      </c>
      <c r="E9" s="9">
        <v>52</v>
      </c>
    </row>
    <row r="12" spans="1:6" x14ac:dyDescent="0.3">
      <c r="B12" s="11" t="s">
        <v>1558</v>
      </c>
    </row>
    <row r="13" spans="1:6" x14ac:dyDescent="0.3">
      <c r="A13" s="2" t="s">
        <v>429</v>
      </c>
      <c r="B13" s="2" t="s">
        <v>430</v>
      </c>
      <c r="C13" s="3" t="s">
        <v>431</v>
      </c>
      <c r="D13" s="2" t="s">
        <v>1560</v>
      </c>
      <c r="E13" s="29" t="s">
        <v>1559</v>
      </c>
      <c r="F13" s="29" t="s">
        <v>1613</v>
      </c>
    </row>
    <row r="14" spans="1:6" x14ac:dyDescent="0.3">
      <c r="A14" s="22">
        <v>1</v>
      </c>
      <c r="B14" s="4" t="s">
        <v>1550</v>
      </c>
      <c r="C14" s="5">
        <f>A14</f>
        <v>1</v>
      </c>
      <c r="D14" s="25">
        <v>2</v>
      </c>
      <c r="E14" s="25">
        <v>0</v>
      </c>
      <c r="F14" s="25"/>
    </row>
    <row r="15" spans="1:6" x14ac:dyDescent="0.3">
      <c r="A15" s="22">
        <v>2</v>
      </c>
      <c r="B15" s="20" t="s">
        <v>1551</v>
      </c>
      <c r="C15" s="23">
        <f t="shared" ref="C15:C21" si="0">A15</f>
        <v>2</v>
      </c>
      <c r="D15" s="22">
        <v>6</v>
      </c>
      <c r="E15" s="27">
        <v>0</v>
      </c>
      <c r="F15" s="27"/>
    </row>
    <row r="16" spans="1:6" x14ac:dyDescent="0.3">
      <c r="A16" s="22">
        <v>3</v>
      </c>
      <c r="B16" s="20" t="s">
        <v>1552</v>
      </c>
      <c r="C16" s="23">
        <f t="shared" si="0"/>
        <v>3</v>
      </c>
      <c r="D16" s="22">
        <v>12</v>
      </c>
      <c r="E16" s="27">
        <v>1</v>
      </c>
      <c r="F16" s="27">
        <v>1</v>
      </c>
    </row>
    <row r="17" spans="1:6" x14ac:dyDescent="0.3">
      <c r="A17" s="22">
        <v>4</v>
      </c>
      <c r="B17" s="20" t="s">
        <v>1553</v>
      </c>
      <c r="C17" s="23">
        <f t="shared" si="0"/>
        <v>4</v>
      </c>
      <c r="D17" s="22">
        <v>18</v>
      </c>
      <c r="E17" s="27">
        <v>2</v>
      </c>
      <c r="F17" s="27"/>
    </row>
    <row r="18" spans="1:6" x14ac:dyDescent="0.3">
      <c r="A18" s="22">
        <v>5</v>
      </c>
      <c r="B18" s="20" t="s">
        <v>1554</v>
      </c>
      <c r="C18" s="23">
        <f t="shared" si="0"/>
        <v>5</v>
      </c>
      <c r="D18" s="22">
        <v>24</v>
      </c>
      <c r="E18" s="27">
        <v>3</v>
      </c>
      <c r="F18" s="27">
        <v>2</v>
      </c>
    </row>
    <row r="19" spans="1:6" x14ac:dyDescent="0.3">
      <c r="A19" s="22">
        <v>6</v>
      </c>
      <c r="B19" s="20" t="s">
        <v>1555</v>
      </c>
      <c r="C19" s="23">
        <f t="shared" si="0"/>
        <v>6</v>
      </c>
      <c r="D19" s="22">
        <v>36</v>
      </c>
      <c r="E19" s="27">
        <v>4</v>
      </c>
      <c r="F19" s="27">
        <v>3</v>
      </c>
    </row>
    <row r="20" spans="1:6" x14ac:dyDescent="0.3">
      <c r="A20" s="22">
        <v>7</v>
      </c>
      <c r="B20" s="20" t="s">
        <v>1556</v>
      </c>
      <c r="C20" s="23">
        <f t="shared" si="0"/>
        <v>7</v>
      </c>
      <c r="D20" s="22">
        <v>48</v>
      </c>
      <c r="E20" s="27">
        <v>5</v>
      </c>
      <c r="F20" s="27">
        <v>4</v>
      </c>
    </row>
    <row r="21" spans="1:6" x14ac:dyDescent="0.3">
      <c r="A21" s="22">
        <v>8</v>
      </c>
      <c r="B21" s="21" t="s">
        <v>1557</v>
      </c>
      <c r="C21" s="24">
        <f t="shared" si="0"/>
        <v>8</v>
      </c>
      <c r="D21" s="26">
        <v>60</v>
      </c>
      <c r="E21" s="28">
        <v>6</v>
      </c>
      <c r="F21" s="28">
        <v>5</v>
      </c>
    </row>
    <row r="24" spans="1:6" x14ac:dyDescent="0.3">
      <c r="B24" s="241" t="s">
        <v>4783</v>
      </c>
    </row>
    <row r="25" spans="1:6" x14ac:dyDescent="0.3">
      <c r="A25" s="2" t="s">
        <v>429</v>
      </c>
      <c r="B25" s="2" t="s">
        <v>430</v>
      </c>
      <c r="C25" s="3" t="s">
        <v>431</v>
      </c>
      <c r="D25" s="2" t="s">
        <v>1571</v>
      </c>
    </row>
    <row r="26" spans="1:6" x14ac:dyDescent="0.3">
      <c r="A26" s="477">
        <v>1</v>
      </c>
      <c r="B26" s="477" t="s">
        <v>4784</v>
      </c>
      <c r="C26" s="5">
        <f>A26</f>
        <v>1</v>
      </c>
      <c r="D26" t="b">
        <v>1</v>
      </c>
    </row>
    <row r="27" spans="1:6" x14ac:dyDescent="0.3">
      <c r="A27" s="477">
        <v>2</v>
      </c>
      <c r="B27" s="477" t="s">
        <v>4785</v>
      </c>
      <c r="C27" s="8">
        <f>A27</f>
        <v>2</v>
      </c>
      <c r="D27" t="b">
        <v>0</v>
      </c>
    </row>
    <row r="30" spans="1:6" x14ac:dyDescent="0.3">
      <c r="B30" s="11" t="s">
        <v>1570</v>
      </c>
    </row>
    <row r="31" spans="1:6" x14ac:dyDescent="0.3">
      <c r="A31" s="2" t="s">
        <v>429</v>
      </c>
      <c r="B31" s="2" t="s">
        <v>430</v>
      </c>
      <c r="C31" s="3" t="s">
        <v>431</v>
      </c>
      <c r="D31" s="2" t="s">
        <v>1571</v>
      </c>
      <c r="E31" s="2" t="s">
        <v>3165</v>
      </c>
    </row>
    <row r="32" spans="1:6" x14ac:dyDescent="0.3">
      <c r="A32" s="12">
        <v>1</v>
      </c>
      <c r="B32" s="12" t="s">
        <v>1569</v>
      </c>
      <c r="C32" s="23">
        <f>A32</f>
        <v>1</v>
      </c>
      <c r="D32" t="b">
        <v>1</v>
      </c>
      <c r="E32" s="289" t="str">
        <f ca="1">IF(ID_AUTO_SUST=1,"","")</f>
        <v/>
      </c>
    </row>
    <row r="33" spans="1:4" x14ac:dyDescent="0.3">
      <c r="A33" s="12">
        <v>2</v>
      </c>
      <c r="B33" s="12" t="s">
        <v>1568</v>
      </c>
      <c r="C33" s="23">
        <f>A33</f>
        <v>2</v>
      </c>
      <c r="D33" t="b">
        <v>0</v>
      </c>
    </row>
    <row r="35" spans="1:4" x14ac:dyDescent="0.3">
      <c r="B35" s="11" t="s">
        <v>1642</v>
      </c>
    </row>
    <row r="36" spans="1:4" x14ac:dyDescent="0.3">
      <c r="A36" s="2" t="s">
        <v>429</v>
      </c>
      <c r="B36" s="2" t="s">
        <v>430</v>
      </c>
      <c r="C36" s="3" t="s">
        <v>431</v>
      </c>
    </row>
    <row r="37" spans="1:4" x14ac:dyDescent="0.3">
      <c r="A37" s="44">
        <v>1</v>
      </c>
      <c r="B37" s="45" t="s">
        <v>1639</v>
      </c>
      <c r="C37" s="46">
        <f>A37</f>
        <v>1</v>
      </c>
    </row>
    <row r="38" spans="1:4" x14ac:dyDescent="0.3">
      <c r="A38" s="47">
        <v>2</v>
      </c>
      <c r="B38" s="48" t="s">
        <v>1640</v>
      </c>
      <c r="C38" s="49">
        <f>A38</f>
        <v>2</v>
      </c>
    </row>
    <row r="39" spans="1:4" x14ac:dyDescent="0.3">
      <c r="A39" s="52">
        <v>3</v>
      </c>
      <c r="B39" s="53" t="s">
        <v>1641</v>
      </c>
      <c r="C39" s="54">
        <f>A39</f>
        <v>3</v>
      </c>
    </row>
    <row r="41" spans="1:4" x14ac:dyDescent="0.3">
      <c r="B41" s="16"/>
      <c r="C41" s="16"/>
    </row>
    <row r="42" spans="1:4" x14ac:dyDescent="0.3">
      <c r="B42" s="1" t="s">
        <v>434</v>
      </c>
    </row>
    <row r="43" spans="1:4" x14ac:dyDescent="0.3">
      <c r="B43" s="14" t="s">
        <v>1617</v>
      </c>
      <c r="C43" s="15">
        <v>0.04</v>
      </c>
    </row>
    <row r="44" spans="1:4" x14ac:dyDescent="0.3">
      <c r="B44" s="55" t="s">
        <v>1606</v>
      </c>
      <c r="C44" s="51">
        <v>30</v>
      </c>
    </row>
    <row r="45" spans="1:4" x14ac:dyDescent="0.3">
      <c r="B45" s="43" t="s">
        <v>1607</v>
      </c>
      <c r="C45" s="9">
        <v>360</v>
      </c>
    </row>
    <row r="46" spans="1:4" x14ac:dyDescent="0.3">
      <c r="B46" s="43" t="s">
        <v>1608</v>
      </c>
      <c r="C46" s="9">
        <v>12</v>
      </c>
    </row>
    <row r="47" spans="1:4" x14ac:dyDescent="0.3">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13.6640625" customWidth="1"/>
    <col min="10" max="10" width="11.109375" style="818" customWidth="1"/>
    <col min="12" max="12" width="10.33203125" bestFit="1" customWidth="1"/>
    <col min="13" max="13" width="11" bestFit="1" customWidth="1"/>
  </cols>
  <sheetData>
    <row r="1" spans="1:13" ht="20.399999999999999" thickBot="1" x14ac:dyDescent="0.45">
      <c r="A1" s="10" t="s">
        <v>480</v>
      </c>
      <c r="B1" s="10"/>
      <c r="C1" s="10"/>
      <c r="D1" s="10"/>
      <c r="E1" s="10"/>
      <c r="F1" s="10"/>
      <c r="G1" s="10"/>
      <c r="H1" s="10"/>
      <c r="I1" s="10"/>
      <c r="J1" s="10"/>
      <c r="K1" s="39"/>
      <c r="L1" s="39"/>
      <c r="M1" s="39"/>
    </row>
    <row r="2" spans="1:13" ht="15" thickTop="1" x14ac:dyDescent="0.3">
      <c r="J2" s="98"/>
      <c r="K2" s="39"/>
      <c r="L2" s="39"/>
      <c r="M2" s="39"/>
    </row>
    <row r="3" spans="1:13" x14ac:dyDescent="0.3">
      <c r="B3" s="11" t="s">
        <v>439</v>
      </c>
      <c r="J3" s="98"/>
      <c r="K3" s="39"/>
      <c r="L3" s="824" t="s">
        <v>4948</v>
      </c>
      <c r="M3" s="39"/>
    </row>
    <row r="4" spans="1:13" x14ac:dyDescent="0.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x14ac:dyDescent="0.3">
      <c r="A5" s="12">
        <v>1</v>
      </c>
      <c r="B5" s="12" t="s">
        <v>442</v>
      </c>
      <c r="C5" s="12">
        <f>A5</f>
        <v>1</v>
      </c>
      <c r="D5" s="17">
        <v>0.65</v>
      </c>
      <c r="E5" s="403">
        <v>0.61</v>
      </c>
      <c r="F5" s="12" t="s">
        <v>443</v>
      </c>
      <c r="G5" s="12" t="b">
        <v>0</v>
      </c>
      <c r="H5" s="12" t="b">
        <v>0</v>
      </c>
      <c r="I5" s="297">
        <v>318</v>
      </c>
      <c r="J5" s="98">
        <v>1</v>
      </c>
      <c r="K5" s="39"/>
      <c r="L5" s="820">
        <v>1</v>
      </c>
      <c r="M5" s="821" t="s">
        <v>10930</v>
      </c>
    </row>
    <row r="6" spans="1:13" x14ac:dyDescent="0.3">
      <c r="A6" s="12">
        <v>2</v>
      </c>
      <c r="B6" s="12" t="s">
        <v>444</v>
      </c>
      <c r="C6" s="12">
        <f t="shared" ref="C6:C36" si="0">A6</f>
        <v>2</v>
      </c>
      <c r="D6" s="17">
        <v>0.7</v>
      </c>
      <c r="E6" s="403">
        <v>0.7</v>
      </c>
      <c r="F6" s="12" t="s">
        <v>445</v>
      </c>
      <c r="G6" s="12" t="b">
        <v>1</v>
      </c>
      <c r="H6" s="12" t="b">
        <v>1</v>
      </c>
      <c r="I6" s="297">
        <v>318</v>
      </c>
      <c r="J6" s="98">
        <v>1</v>
      </c>
      <c r="L6" s="822">
        <v>2</v>
      </c>
      <c r="M6" s="82" t="s">
        <v>10926</v>
      </c>
    </row>
    <row r="7" spans="1:13" x14ac:dyDescent="0.3">
      <c r="A7" s="12">
        <v>3</v>
      </c>
      <c r="B7" s="12" t="s">
        <v>446</v>
      </c>
      <c r="C7" s="12">
        <f t="shared" si="0"/>
        <v>3</v>
      </c>
      <c r="D7" s="17">
        <v>0.5</v>
      </c>
      <c r="E7" s="403">
        <v>0.5</v>
      </c>
      <c r="F7" s="12" t="s">
        <v>447</v>
      </c>
      <c r="G7" s="12" t="b">
        <v>1</v>
      </c>
      <c r="H7" s="12" t="b">
        <v>0</v>
      </c>
      <c r="I7" s="297">
        <v>318</v>
      </c>
      <c r="J7" s="98">
        <v>1</v>
      </c>
      <c r="L7" s="823">
        <v>3</v>
      </c>
      <c r="M7" s="107" t="s">
        <v>10927</v>
      </c>
    </row>
    <row r="8" spans="1:13" x14ac:dyDescent="0.3">
      <c r="A8" s="12">
        <v>4</v>
      </c>
      <c r="B8" s="12" t="s">
        <v>448</v>
      </c>
      <c r="C8" s="12">
        <f t="shared" si="0"/>
        <v>4</v>
      </c>
      <c r="D8" s="17">
        <v>0.7</v>
      </c>
      <c r="E8" s="403">
        <v>0.7</v>
      </c>
      <c r="F8" s="12" t="s">
        <v>449</v>
      </c>
      <c r="G8" s="12" t="b">
        <v>0</v>
      </c>
      <c r="H8" s="12" t="b">
        <v>1</v>
      </c>
      <c r="I8" s="297">
        <v>318</v>
      </c>
      <c r="J8" s="98">
        <v>1</v>
      </c>
      <c r="M8" s="246"/>
    </row>
    <row r="9" spans="1:13" x14ac:dyDescent="0.3">
      <c r="A9" s="12">
        <v>5</v>
      </c>
      <c r="B9" s="12" t="s">
        <v>450</v>
      </c>
      <c r="C9" s="12">
        <f t="shared" si="0"/>
        <v>5</v>
      </c>
      <c r="D9" s="17">
        <v>0.57999999999999996</v>
      </c>
      <c r="E9" s="403">
        <v>0.65</v>
      </c>
      <c r="F9" s="12" t="s">
        <v>443</v>
      </c>
      <c r="G9" s="12" t="b">
        <v>1</v>
      </c>
      <c r="H9" s="12" t="b">
        <v>1</v>
      </c>
      <c r="I9" s="297">
        <v>318</v>
      </c>
      <c r="J9" s="98">
        <v>1</v>
      </c>
      <c r="M9" s="246"/>
    </row>
    <row r="10" spans="1:13" x14ac:dyDescent="0.3">
      <c r="A10" s="12">
        <v>6</v>
      </c>
      <c r="B10" s="12" t="s">
        <v>451</v>
      </c>
      <c r="C10" s="12">
        <f t="shared" si="0"/>
        <v>6</v>
      </c>
      <c r="D10" s="17">
        <v>0.65</v>
      </c>
      <c r="E10" s="403">
        <v>0.65</v>
      </c>
      <c r="F10" s="12" t="s">
        <v>452</v>
      </c>
      <c r="G10" s="12" t="b">
        <v>0</v>
      </c>
      <c r="H10" s="12" t="b">
        <v>0</v>
      </c>
      <c r="I10" s="297">
        <v>318</v>
      </c>
      <c r="J10" s="98">
        <v>1</v>
      </c>
      <c r="M10" s="246"/>
    </row>
    <row r="11" spans="1:13" x14ac:dyDescent="0.3">
      <c r="A11" s="12">
        <v>7</v>
      </c>
      <c r="B11" s="12" t="s">
        <v>453</v>
      </c>
      <c r="C11" s="12">
        <f t="shared" si="0"/>
        <v>7</v>
      </c>
      <c r="D11" s="17">
        <v>0.7</v>
      </c>
      <c r="E11" s="403">
        <v>0.76</v>
      </c>
      <c r="F11" s="12" t="s">
        <v>447</v>
      </c>
      <c r="G11" s="12" t="b">
        <v>0</v>
      </c>
      <c r="H11" s="12" t="b">
        <v>1</v>
      </c>
      <c r="I11" s="297">
        <v>318</v>
      </c>
      <c r="J11" s="98">
        <v>1</v>
      </c>
      <c r="L11" s="815"/>
      <c r="M11" s="246"/>
    </row>
    <row r="12" spans="1:13" x14ac:dyDescent="0.3">
      <c r="A12" s="12">
        <v>8</v>
      </c>
      <c r="B12" s="12" t="s">
        <v>454</v>
      </c>
      <c r="C12" s="12">
        <f t="shared" si="0"/>
        <v>8</v>
      </c>
      <c r="D12" s="17">
        <v>0.7</v>
      </c>
      <c r="E12" s="403">
        <v>0.75</v>
      </c>
      <c r="F12" s="12" t="s">
        <v>449</v>
      </c>
      <c r="G12" s="12" t="b">
        <v>1</v>
      </c>
      <c r="H12" s="12" t="b">
        <v>1</v>
      </c>
      <c r="I12" s="297">
        <v>318</v>
      </c>
      <c r="J12" s="98">
        <v>1</v>
      </c>
      <c r="L12" s="815"/>
      <c r="M12" s="246"/>
    </row>
    <row r="13" spans="1:13" x14ac:dyDescent="0.3">
      <c r="A13" s="12">
        <v>9</v>
      </c>
      <c r="B13" s="12" t="s">
        <v>455</v>
      </c>
      <c r="C13" s="12">
        <f t="shared" si="0"/>
        <v>9</v>
      </c>
      <c r="D13" s="17">
        <v>0.9</v>
      </c>
      <c r="E13" s="403">
        <v>0.85</v>
      </c>
      <c r="F13" s="12" t="s">
        <v>456</v>
      </c>
      <c r="G13" s="12" t="b">
        <v>0</v>
      </c>
      <c r="H13" s="12" t="b">
        <v>0</v>
      </c>
      <c r="I13" s="297">
        <v>318</v>
      </c>
      <c r="J13" s="818">
        <v>2</v>
      </c>
      <c r="L13" s="815"/>
      <c r="M13" s="246"/>
    </row>
    <row r="14" spans="1:13" x14ac:dyDescent="0.3">
      <c r="A14" s="12">
        <v>10</v>
      </c>
      <c r="B14" s="12" t="s">
        <v>457</v>
      </c>
      <c r="C14" s="12">
        <f t="shared" si="0"/>
        <v>10</v>
      </c>
      <c r="D14" s="17">
        <v>0.57999999999999996</v>
      </c>
      <c r="E14" s="403">
        <v>0.65</v>
      </c>
      <c r="F14" s="12" t="s">
        <v>443</v>
      </c>
      <c r="G14" s="12" t="b">
        <v>1</v>
      </c>
      <c r="H14" s="12" t="b">
        <v>0</v>
      </c>
      <c r="I14" s="297">
        <v>318</v>
      </c>
      <c r="J14" s="98">
        <v>1</v>
      </c>
      <c r="L14" s="815"/>
      <c r="M14" s="246"/>
    </row>
    <row r="15" spans="1:13" x14ac:dyDescent="0.3">
      <c r="A15" s="12">
        <v>11</v>
      </c>
      <c r="B15" s="12" t="s">
        <v>458</v>
      </c>
      <c r="C15" s="12">
        <f t="shared" si="0"/>
        <v>11</v>
      </c>
      <c r="D15" s="17">
        <v>0.9</v>
      </c>
      <c r="E15" s="403">
        <v>0.85</v>
      </c>
      <c r="F15" s="12" t="s">
        <v>456</v>
      </c>
      <c r="G15" s="12" t="b">
        <v>0</v>
      </c>
      <c r="H15" s="12" t="b">
        <v>0</v>
      </c>
      <c r="I15" s="297">
        <v>318</v>
      </c>
      <c r="J15" s="818">
        <v>2</v>
      </c>
      <c r="L15" s="815"/>
      <c r="M15" s="246"/>
    </row>
    <row r="16" spans="1:13" x14ac:dyDescent="0.3">
      <c r="A16" s="12">
        <v>12</v>
      </c>
      <c r="B16" s="12" t="s">
        <v>459</v>
      </c>
      <c r="C16" s="12">
        <f t="shared" si="0"/>
        <v>12</v>
      </c>
      <c r="D16" s="17">
        <v>0.6</v>
      </c>
      <c r="E16" s="403">
        <v>0.5</v>
      </c>
      <c r="F16" s="12" t="s">
        <v>443</v>
      </c>
      <c r="G16" s="12" t="b">
        <v>0</v>
      </c>
      <c r="H16" s="12" t="b">
        <v>0</v>
      </c>
      <c r="I16" s="297">
        <v>318</v>
      </c>
      <c r="J16" s="98">
        <v>1</v>
      </c>
      <c r="L16" s="815"/>
      <c r="M16" s="246"/>
    </row>
    <row r="17" spans="1:13" x14ac:dyDescent="0.3">
      <c r="A17" s="12">
        <v>13</v>
      </c>
      <c r="B17" s="12" t="s">
        <v>460</v>
      </c>
      <c r="C17" s="12">
        <f t="shared" si="0"/>
        <v>13</v>
      </c>
      <c r="D17" s="17">
        <v>0.93</v>
      </c>
      <c r="E17" s="403">
        <v>0.85</v>
      </c>
      <c r="F17" s="12" t="s">
        <v>445</v>
      </c>
      <c r="G17" s="12" t="b">
        <v>0</v>
      </c>
      <c r="H17" s="12" t="b">
        <v>0</v>
      </c>
      <c r="I17" s="297">
        <v>318</v>
      </c>
      <c r="J17" s="98">
        <v>1</v>
      </c>
      <c r="L17" s="815"/>
      <c r="M17" s="246"/>
    </row>
    <row r="18" spans="1:13" x14ac:dyDescent="0.3">
      <c r="A18" s="12">
        <v>14</v>
      </c>
      <c r="B18" s="12" t="s">
        <v>461</v>
      </c>
      <c r="C18" s="12">
        <f t="shared" si="0"/>
        <v>14</v>
      </c>
      <c r="D18" s="17">
        <v>0.8</v>
      </c>
      <c r="E18" s="403">
        <v>0.65</v>
      </c>
      <c r="F18" s="12" t="s">
        <v>452</v>
      </c>
      <c r="G18" s="12" t="b">
        <v>0</v>
      </c>
      <c r="H18" s="12" t="b">
        <v>0</v>
      </c>
      <c r="I18" s="297">
        <v>318</v>
      </c>
      <c r="J18" s="98">
        <v>1</v>
      </c>
      <c r="L18" s="815"/>
      <c r="M18" s="246"/>
    </row>
    <row r="19" spans="1:13" x14ac:dyDescent="0.3">
      <c r="A19" s="12">
        <v>15</v>
      </c>
      <c r="B19" s="12" t="s">
        <v>462</v>
      </c>
      <c r="C19" s="12">
        <f t="shared" si="0"/>
        <v>15</v>
      </c>
      <c r="D19" s="17">
        <v>0.7</v>
      </c>
      <c r="E19" s="403">
        <v>0.65</v>
      </c>
      <c r="F19" s="12" t="s">
        <v>447</v>
      </c>
      <c r="G19" s="12" t="b">
        <v>0</v>
      </c>
      <c r="H19" s="12" t="b">
        <v>0</v>
      </c>
      <c r="I19" s="298">
        <v>465.86</v>
      </c>
      <c r="J19" s="818">
        <v>3</v>
      </c>
      <c r="K19" s="815"/>
      <c r="L19" s="815"/>
      <c r="M19" s="246"/>
    </row>
    <row r="20" spans="1:13" x14ac:dyDescent="0.3">
      <c r="A20" s="12">
        <v>16</v>
      </c>
      <c r="B20" s="12" t="s">
        <v>463</v>
      </c>
      <c r="C20" s="12">
        <f t="shared" si="0"/>
        <v>16</v>
      </c>
      <c r="D20" s="17">
        <v>0.7</v>
      </c>
      <c r="E20" s="403">
        <v>0.7</v>
      </c>
      <c r="F20" s="12" t="s">
        <v>449</v>
      </c>
      <c r="G20" s="12" t="b">
        <v>0</v>
      </c>
      <c r="H20" s="12" t="b">
        <v>0</v>
      </c>
      <c r="I20" s="297">
        <v>318</v>
      </c>
      <c r="J20" s="98">
        <v>1</v>
      </c>
      <c r="K20" s="815"/>
      <c r="M20" s="246"/>
    </row>
    <row r="21" spans="1:13" x14ac:dyDescent="0.3">
      <c r="A21" s="12">
        <v>17</v>
      </c>
      <c r="B21" s="12" t="s">
        <v>464</v>
      </c>
      <c r="C21" s="12">
        <f t="shared" si="0"/>
        <v>17</v>
      </c>
      <c r="D21" s="17">
        <v>0.75</v>
      </c>
      <c r="E21" s="403">
        <v>0.7</v>
      </c>
      <c r="F21" s="12" t="s">
        <v>465</v>
      </c>
      <c r="G21" s="12" t="b">
        <v>0</v>
      </c>
      <c r="H21" s="12" t="b">
        <v>0</v>
      </c>
      <c r="I21" s="297">
        <v>318</v>
      </c>
      <c r="J21" s="98">
        <v>1</v>
      </c>
      <c r="K21" s="815"/>
      <c r="M21" s="246"/>
    </row>
    <row r="22" spans="1:13" x14ac:dyDescent="0.3">
      <c r="A22" s="12">
        <v>18</v>
      </c>
      <c r="B22" s="12" t="s">
        <v>466</v>
      </c>
      <c r="C22" s="12">
        <f t="shared" si="0"/>
        <v>18</v>
      </c>
      <c r="D22" s="17">
        <v>0.7</v>
      </c>
      <c r="E22" s="403">
        <v>0.67999999999999994</v>
      </c>
      <c r="F22" s="12" t="s">
        <v>465</v>
      </c>
      <c r="G22" s="12" t="b">
        <v>0</v>
      </c>
      <c r="H22" s="12" t="b">
        <v>0</v>
      </c>
      <c r="I22" s="297">
        <v>318</v>
      </c>
      <c r="J22" s="98">
        <v>1</v>
      </c>
      <c r="K22" s="815"/>
      <c r="M22" s="246"/>
    </row>
    <row r="23" spans="1:13" x14ac:dyDescent="0.3">
      <c r="A23" s="12">
        <v>19</v>
      </c>
      <c r="B23" s="12" t="s">
        <v>467</v>
      </c>
      <c r="C23" s="12">
        <f t="shared" si="0"/>
        <v>19</v>
      </c>
      <c r="D23" s="17">
        <v>0.62</v>
      </c>
      <c r="E23" s="403">
        <v>0.7</v>
      </c>
      <c r="F23" s="12" t="s">
        <v>449</v>
      </c>
      <c r="G23" s="12" t="b">
        <v>1</v>
      </c>
      <c r="H23" s="12" t="b">
        <v>1</v>
      </c>
      <c r="I23" s="298">
        <v>465.86</v>
      </c>
      <c r="J23" s="98">
        <v>1</v>
      </c>
      <c r="K23" s="815"/>
      <c r="M23" s="246"/>
    </row>
    <row r="24" spans="1:13" x14ac:dyDescent="0.3">
      <c r="A24" s="12">
        <v>20</v>
      </c>
      <c r="B24" s="12" t="s">
        <v>468</v>
      </c>
      <c r="C24" s="12">
        <f t="shared" si="0"/>
        <v>20</v>
      </c>
      <c r="D24" s="17">
        <v>0.7</v>
      </c>
      <c r="E24" s="403">
        <v>0.65</v>
      </c>
      <c r="F24" s="12" t="s">
        <v>447</v>
      </c>
      <c r="G24" s="12" t="b">
        <v>0</v>
      </c>
      <c r="H24" s="12" t="b">
        <v>0</v>
      </c>
      <c r="I24" s="297">
        <v>318</v>
      </c>
      <c r="J24" s="98">
        <v>1</v>
      </c>
      <c r="K24" s="815"/>
      <c r="M24" s="246"/>
    </row>
    <row r="25" spans="1:13" x14ac:dyDescent="0.3">
      <c r="A25" s="12">
        <v>21</v>
      </c>
      <c r="B25" s="12" t="s">
        <v>469</v>
      </c>
      <c r="C25" s="12">
        <f t="shared" si="0"/>
        <v>21</v>
      </c>
      <c r="D25" s="17">
        <v>0.65</v>
      </c>
      <c r="E25" s="403">
        <v>0.6</v>
      </c>
      <c r="F25" s="12" t="s">
        <v>449</v>
      </c>
      <c r="G25" s="12" t="b">
        <v>0</v>
      </c>
      <c r="H25" s="12" t="b">
        <v>0</v>
      </c>
      <c r="I25" s="297">
        <v>318</v>
      </c>
      <c r="J25" s="98">
        <v>1</v>
      </c>
      <c r="K25" s="815"/>
      <c r="M25" s="246"/>
    </row>
    <row r="26" spans="1:13" x14ac:dyDescent="0.3">
      <c r="A26" s="12">
        <v>22</v>
      </c>
      <c r="B26" s="294" t="s">
        <v>3618</v>
      </c>
      <c r="C26" s="12">
        <f t="shared" si="0"/>
        <v>22</v>
      </c>
      <c r="D26" s="17">
        <v>0.65</v>
      </c>
      <c r="E26" s="403">
        <v>0.56000000000000005</v>
      </c>
      <c r="F26" s="12" t="s">
        <v>443</v>
      </c>
      <c r="G26" s="12" t="b">
        <v>0</v>
      </c>
      <c r="H26" s="12" t="b">
        <v>0</v>
      </c>
      <c r="I26" s="297">
        <v>318</v>
      </c>
      <c r="J26" s="98">
        <v>1</v>
      </c>
      <c r="K26" s="815"/>
      <c r="M26" s="246"/>
    </row>
    <row r="27" spans="1:13" x14ac:dyDescent="0.3">
      <c r="A27" s="12">
        <v>23</v>
      </c>
      <c r="B27" s="12" t="s">
        <v>470</v>
      </c>
      <c r="C27" s="12">
        <f t="shared" si="0"/>
        <v>23</v>
      </c>
      <c r="D27" s="17">
        <v>0.55000000000000004</v>
      </c>
      <c r="E27" s="403">
        <v>0.58000000000000007</v>
      </c>
      <c r="F27" s="12" t="s">
        <v>443</v>
      </c>
      <c r="G27" s="12" t="b">
        <v>0</v>
      </c>
      <c r="H27" s="12" t="b">
        <v>1</v>
      </c>
      <c r="I27" s="297">
        <v>318</v>
      </c>
      <c r="J27" s="98">
        <v>1</v>
      </c>
      <c r="M27" s="246"/>
    </row>
    <row r="28" spans="1:13" x14ac:dyDescent="0.3">
      <c r="A28" s="12">
        <v>24</v>
      </c>
      <c r="B28" s="12" t="s">
        <v>471</v>
      </c>
      <c r="C28" s="12">
        <f t="shared" si="0"/>
        <v>24</v>
      </c>
      <c r="D28" s="17">
        <v>0.6</v>
      </c>
      <c r="E28" s="403">
        <v>0.5</v>
      </c>
      <c r="F28" s="12" t="s">
        <v>443</v>
      </c>
      <c r="G28" s="12" t="b">
        <v>1</v>
      </c>
      <c r="H28" s="12" t="b">
        <v>0</v>
      </c>
      <c r="I28" s="297">
        <v>318</v>
      </c>
      <c r="J28" s="98">
        <v>1</v>
      </c>
      <c r="M28" s="246"/>
    </row>
    <row r="29" spans="1:13" x14ac:dyDescent="0.3">
      <c r="A29" s="12">
        <v>25</v>
      </c>
      <c r="B29" s="12" t="s">
        <v>472</v>
      </c>
      <c r="C29" s="12">
        <f t="shared" si="0"/>
        <v>25</v>
      </c>
      <c r="D29" s="17">
        <v>0.8</v>
      </c>
      <c r="E29" s="403">
        <v>0.85</v>
      </c>
      <c r="F29" s="12" t="s">
        <v>452</v>
      </c>
      <c r="G29" s="12" t="b">
        <v>1</v>
      </c>
      <c r="H29" s="12" t="b">
        <v>0</v>
      </c>
      <c r="I29" s="297">
        <v>318</v>
      </c>
      <c r="J29" s="98">
        <v>1</v>
      </c>
      <c r="M29" s="246"/>
    </row>
    <row r="30" spans="1:13" x14ac:dyDescent="0.3">
      <c r="A30" s="12">
        <v>26</v>
      </c>
      <c r="B30" s="12" t="s">
        <v>473</v>
      </c>
      <c r="C30" s="12">
        <f t="shared" si="0"/>
        <v>26</v>
      </c>
      <c r="D30" s="17">
        <v>0.7</v>
      </c>
      <c r="E30" s="403">
        <v>0.7</v>
      </c>
      <c r="F30" s="12" t="s">
        <v>449</v>
      </c>
      <c r="G30" s="12" t="b">
        <v>1</v>
      </c>
      <c r="H30" s="12" t="b">
        <v>1</v>
      </c>
      <c r="I30" s="297">
        <v>318</v>
      </c>
      <c r="J30" s="98">
        <v>1</v>
      </c>
      <c r="M30" s="246"/>
    </row>
    <row r="31" spans="1:13" x14ac:dyDescent="0.3">
      <c r="A31" s="12">
        <v>27</v>
      </c>
      <c r="B31" s="12" t="s">
        <v>474</v>
      </c>
      <c r="C31" s="12">
        <f t="shared" si="0"/>
        <v>27</v>
      </c>
      <c r="D31" s="17">
        <v>0.93</v>
      </c>
      <c r="E31" s="403">
        <v>0.9</v>
      </c>
      <c r="F31" s="12" t="s">
        <v>445</v>
      </c>
      <c r="G31" s="12" t="b">
        <v>0</v>
      </c>
      <c r="H31" s="12" t="b">
        <v>1</v>
      </c>
      <c r="I31" s="297">
        <v>318</v>
      </c>
      <c r="J31" s="98">
        <v>1</v>
      </c>
      <c r="M31" s="246"/>
    </row>
    <row r="32" spans="1:13" x14ac:dyDescent="0.3">
      <c r="A32" s="12">
        <v>28</v>
      </c>
      <c r="B32" s="12" t="s">
        <v>475</v>
      </c>
      <c r="C32" s="12">
        <f t="shared" si="0"/>
        <v>28</v>
      </c>
      <c r="D32" s="17">
        <v>0.7</v>
      </c>
      <c r="E32" s="403">
        <v>0.72</v>
      </c>
      <c r="F32" s="12" t="s">
        <v>449</v>
      </c>
      <c r="G32" s="12" t="b">
        <v>1</v>
      </c>
      <c r="H32" s="12" t="b">
        <v>1</v>
      </c>
      <c r="I32" s="297">
        <v>318</v>
      </c>
      <c r="J32" s="98">
        <v>1</v>
      </c>
      <c r="M32" s="246"/>
    </row>
    <row r="33" spans="1:13" x14ac:dyDescent="0.3">
      <c r="A33" s="12">
        <v>29</v>
      </c>
      <c r="B33" s="12" t="s">
        <v>476</v>
      </c>
      <c r="C33" s="12">
        <f t="shared" si="0"/>
        <v>29</v>
      </c>
      <c r="D33" s="17">
        <v>0.77</v>
      </c>
      <c r="E33" s="403">
        <v>0.65</v>
      </c>
      <c r="F33" s="12" t="s">
        <v>447</v>
      </c>
      <c r="G33" s="12" t="b">
        <v>0</v>
      </c>
      <c r="H33" s="12" t="b">
        <v>0</v>
      </c>
      <c r="I33" s="297">
        <v>318</v>
      </c>
      <c r="J33" s="98">
        <v>1</v>
      </c>
      <c r="M33" s="246"/>
    </row>
    <row r="34" spans="1:13" x14ac:dyDescent="0.3">
      <c r="A34" s="12">
        <v>30</v>
      </c>
      <c r="B34" s="12" t="s">
        <v>477</v>
      </c>
      <c r="C34" s="12">
        <f t="shared" si="0"/>
        <v>30</v>
      </c>
      <c r="D34" s="17">
        <v>0.77</v>
      </c>
      <c r="E34" s="403">
        <v>0.7</v>
      </c>
      <c r="F34" s="12" t="s">
        <v>447</v>
      </c>
      <c r="G34" s="12" t="b">
        <v>0</v>
      </c>
      <c r="H34" s="12" t="b">
        <v>0</v>
      </c>
      <c r="I34" s="297">
        <v>318</v>
      </c>
      <c r="J34" s="98">
        <v>1</v>
      </c>
      <c r="M34" s="246"/>
    </row>
    <row r="35" spans="1:13" x14ac:dyDescent="0.3">
      <c r="A35" s="12">
        <v>31</v>
      </c>
      <c r="B35" s="12" t="s">
        <v>478</v>
      </c>
      <c r="C35" s="12">
        <f t="shared" si="0"/>
        <v>31</v>
      </c>
      <c r="D35" s="17">
        <v>0.65</v>
      </c>
      <c r="E35" s="403">
        <v>0.46799999999999997</v>
      </c>
      <c r="F35" s="12" t="s">
        <v>443</v>
      </c>
      <c r="G35" s="12" t="b">
        <v>0</v>
      </c>
      <c r="H35" s="12" t="b">
        <v>0</v>
      </c>
      <c r="I35" s="297">
        <v>318</v>
      </c>
      <c r="J35" s="98">
        <v>1</v>
      </c>
      <c r="M35" s="246"/>
    </row>
    <row r="36" spans="1:13" x14ac:dyDescent="0.3">
      <c r="A36" s="12">
        <v>32</v>
      </c>
      <c r="B36" s="12" t="s">
        <v>479</v>
      </c>
      <c r="C36" s="12">
        <f t="shared" si="0"/>
        <v>32</v>
      </c>
      <c r="D36" s="17">
        <v>0.65</v>
      </c>
      <c r="E36" s="403">
        <v>0.6</v>
      </c>
      <c r="F36" s="12" t="s">
        <v>443</v>
      </c>
      <c r="G36" s="12" t="b">
        <v>1</v>
      </c>
      <c r="H36" s="12" t="b">
        <v>0</v>
      </c>
      <c r="I36" s="297">
        <v>318</v>
      </c>
      <c r="J36" s="98">
        <v>1</v>
      </c>
      <c r="M36" s="246"/>
    </row>
    <row r="38" spans="1:13" x14ac:dyDescent="0.3">
      <c r="A38" s="405"/>
      <c r="E38" s="403"/>
      <c r="F38" s="468"/>
    </row>
    <row r="39" spans="1:13" x14ac:dyDescent="0.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70" zoomScaleNormal="70" workbookViewId="0"/>
  </sheetViews>
  <sheetFormatPr defaultColWidth="9.109375" defaultRowHeight="14.4" x14ac:dyDescent="0.3"/>
  <cols>
    <col min="1" max="1" width="5" style="462" customWidth="1"/>
    <col min="2" max="2" width="51.44140625" style="417" customWidth="1"/>
    <col min="3" max="3" width="10.5546875" style="417" customWidth="1"/>
    <col min="4" max="4" width="12" style="418" customWidth="1"/>
    <col min="5" max="5" width="43" style="417" bestFit="1" customWidth="1"/>
    <col min="6" max="6" width="16.33203125" style="441" customWidth="1"/>
    <col min="7" max="7" width="19.88671875" style="417" customWidth="1"/>
    <col min="8" max="8" width="28.109375" style="417" bestFit="1" customWidth="1"/>
    <col min="9" max="9" width="8.88671875" style="417" bestFit="1" customWidth="1"/>
    <col min="10" max="10" width="18" style="439" bestFit="1" customWidth="1"/>
    <col min="11" max="11" width="8.44140625" style="439" bestFit="1" customWidth="1"/>
    <col min="12" max="12" width="11.88671875" style="417" bestFit="1" customWidth="1"/>
    <col min="13" max="13" width="27.44140625" style="417" bestFit="1" customWidth="1"/>
    <col min="14" max="14" width="19.33203125" style="417" bestFit="1" customWidth="1"/>
    <col min="15" max="15" width="15.5546875" style="417" customWidth="1"/>
    <col min="16" max="16" width="23.44140625" style="417" bestFit="1" customWidth="1"/>
    <col min="17" max="17" width="18.88671875" style="417" bestFit="1" customWidth="1"/>
    <col min="18" max="18" width="6.33203125" style="417" bestFit="1" customWidth="1"/>
    <col min="19" max="16384" width="9.109375" style="417"/>
  </cols>
  <sheetData>
    <row r="1" spans="1:18" ht="15" thickBot="1" x14ac:dyDescent="0.35">
      <c r="A1" s="835" t="s">
        <v>481</v>
      </c>
      <c r="B1" s="442"/>
      <c r="C1" s="442"/>
      <c r="D1" s="443"/>
      <c r="E1" s="442"/>
      <c r="F1" s="442"/>
      <c r="G1" s="442"/>
      <c r="H1" s="442"/>
      <c r="I1" s="442"/>
      <c r="J1" s="464"/>
      <c r="K1" s="464"/>
      <c r="L1" s="442"/>
      <c r="M1" s="442"/>
      <c r="N1" s="442"/>
      <c r="O1" s="442"/>
    </row>
    <row r="2" spans="1:18" ht="15" thickTop="1" x14ac:dyDescent="0.3">
      <c r="F2" s="417"/>
    </row>
    <row r="3" spans="1:18" x14ac:dyDescent="0.3">
      <c r="B3" s="419" t="s">
        <v>1596</v>
      </c>
      <c r="F3" s="417"/>
      <c r="J3" s="419" t="s">
        <v>1626</v>
      </c>
      <c r="P3" s="709"/>
      <c r="Q3" s="710"/>
      <c r="R3" s="711"/>
    </row>
    <row r="4" spans="1:18" x14ac:dyDescent="0.3">
      <c r="A4" s="836" t="s">
        <v>429</v>
      </c>
      <c r="B4" s="317" t="s">
        <v>430</v>
      </c>
      <c r="C4" s="420" t="s">
        <v>431</v>
      </c>
      <c r="D4" s="421" t="s">
        <v>2100</v>
      </c>
      <c r="E4" s="317" t="s">
        <v>1694</v>
      </c>
      <c r="F4" s="317" t="s">
        <v>2222</v>
      </c>
      <c r="I4" s="317" t="s">
        <v>429</v>
      </c>
      <c r="J4" s="317" t="s">
        <v>430</v>
      </c>
      <c r="K4" s="420" t="s">
        <v>431</v>
      </c>
      <c r="L4" s="317" t="s">
        <v>1629</v>
      </c>
      <c r="M4" s="317" t="s">
        <v>11011</v>
      </c>
      <c r="N4"/>
      <c r="O4"/>
    </row>
    <row r="5" spans="1:18" x14ac:dyDescent="0.3">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x14ac:dyDescent="0.3">
      <c r="A6" s="838">
        <v>2</v>
      </c>
      <c r="B6" s="425">
        <f ca="1">B5-1</f>
        <v>2016</v>
      </c>
      <c r="C6" s="428">
        <f t="shared" si="0"/>
        <v>2</v>
      </c>
      <c r="D6" s="429"/>
      <c r="E6" s="425">
        <f t="shared" ca="1" si="1"/>
        <v>0</v>
      </c>
      <c r="F6" s="425">
        <v>1</v>
      </c>
      <c r="I6" s="430">
        <v>2</v>
      </c>
      <c r="J6" s="431" t="s">
        <v>1628</v>
      </c>
      <c r="K6" s="432">
        <f>I6</f>
        <v>2</v>
      </c>
      <c r="L6" s="431" t="b">
        <v>0</v>
      </c>
      <c r="M6" s="886">
        <v>0.3</v>
      </c>
      <c r="N6"/>
      <c r="O6"/>
    </row>
    <row r="7" spans="1:18" x14ac:dyDescent="0.3">
      <c r="A7" s="838">
        <v>3</v>
      </c>
      <c r="B7" s="425">
        <f ca="1">B6-1</f>
        <v>2015</v>
      </c>
      <c r="C7" s="428">
        <f t="shared" si="0"/>
        <v>3</v>
      </c>
      <c r="D7" s="433" t="str">
        <f ca="1">TEXT(B7,"0")</f>
        <v>2015</v>
      </c>
      <c r="E7" s="425">
        <f t="shared" ca="1" si="1"/>
        <v>1</v>
      </c>
      <c r="F7" s="425">
        <v>2</v>
      </c>
    </row>
    <row r="8" spans="1:18" x14ac:dyDescent="0.3">
      <c r="A8" s="838">
        <v>4</v>
      </c>
      <c r="B8" s="425">
        <f ca="1">B7-1</f>
        <v>2014</v>
      </c>
      <c r="C8" s="428">
        <f t="shared" si="0"/>
        <v>4</v>
      </c>
      <c r="D8" s="433" t="str">
        <f ca="1">TEXT(B8,"0")</f>
        <v>2014</v>
      </c>
      <c r="E8" s="425">
        <f t="shared" ca="1" si="1"/>
        <v>2</v>
      </c>
      <c r="F8" s="425">
        <v>2</v>
      </c>
      <c r="J8" s="419" t="s">
        <v>2223</v>
      </c>
    </row>
    <row r="9" spans="1:18" x14ac:dyDescent="0.3">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x14ac:dyDescent="0.3">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x14ac:dyDescent="0.3">
      <c r="F11" s="417"/>
      <c r="I11" s="430">
        <v>2</v>
      </c>
      <c r="J11" s="431" t="s">
        <v>2225</v>
      </c>
      <c r="K11" s="432">
        <f>I11</f>
        <v>2</v>
      </c>
      <c r="L11" s="431" t="b">
        <v>0</v>
      </c>
    </row>
    <row r="12" spans="1:18" x14ac:dyDescent="0.3">
      <c r="B12" s="419" t="s">
        <v>482</v>
      </c>
      <c r="F12" s="417"/>
      <c r="L12" s="388"/>
      <c r="M12" s="388"/>
      <c r="N12" s="388"/>
      <c r="O12" s="388"/>
      <c r="P12" s="388"/>
      <c r="Q12" s="388"/>
      <c r="R12" s="388"/>
    </row>
    <row r="13" spans="1:18" x14ac:dyDescent="0.3">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x14ac:dyDescent="0.3">
      <c r="A14" s="233">
        <v>0</v>
      </c>
      <c r="B14" s="435" t="s">
        <v>2853</v>
      </c>
      <c r="C14" s="242"/>
      <c r="D14" s="444"/>
      <c r="E14" s="435"/>
      <c r="F14" s="436"/>
      <c r="G14" s="243"/>
      <c r="H14" s="243"/>
      <c r="I14" s="243"/>
      <c r="J14" s="243"/>
      <c r="K14" s="243"/>
      <c r="L14" s="243"/>
      <c r="M14" s="437"/>
      <c r="N14" s="243"/>
      <c r="O14" s="243"/>
      <c r="P14" s="243"/>
      <c r="Q14" s="243"/>
      <c r="R14" s="244"/>
    </row>
    <row r="15" spans="1:18" ht="15" customHeight="1" x14ac:dyDescent="0.3">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x14ac:dyDescent="0.3">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x14ac:dyDescent="0.3">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x14ac:dyDescent="0.3">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x14ac:dyDescent="0.3">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x14ac:dyDescent="0.3">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x14ac:dyDescent="0.3">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x14ac:dyDescent="0.3">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x14ac:dyDescent="0.3">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x14ac:dyDescent="0.3">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x14ac:dyDescent="0.3">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x14ac:dyDescent="0.3">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x14ac:dyDescent="0.3">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x14ac:dyDescent="0.3">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x14ac:dyDescent="0.3">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x14ac:dyDescent="0.3">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x14ac:dyDescent="0.3">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x14ac:dyDescent="0.3">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x14ac:dyDescent="0.3">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x14ac:dyDescent="0.3">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x14ac:dyDescent="0.3">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x14ac:dyDescent="0.3">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x14ac:dyDescent="0.3">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x14ac:dyDescent="0.3">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x14ac:dyDescent="0.3">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x14ac:dyDescent="0.3">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x14ac:dyDescent="0.3">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x14ac:dyDescent="0.3">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x14ac:dyDescent="0.3">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x14ac:dyDescent="0.3">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x14ac:dyDescent="0.3">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x14ac:dyDescent="0.3">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x14ac:dyDescent="0.3">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x14ac:dyDescent="0.3">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x14ac:dyDescent="0.3">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x14ac:dyDescent="0.3">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x14ac:dyDescent="0.3">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x14ac:dyDescent="0.3">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x14ac:dyDescent="0.3">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x14ac:dyDescent="0.3">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x14ac:dyDescent="0.3">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x14ac:dyDescent="0.3">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x14ac:dyDescent="0.3">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x14ac:dyDescent="0.3">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x14ac:dyDescent="0.3">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x14ac:dyDescent="0.3">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x14ac:dyDescent="0.3">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x14ac:dyDescent="0.3">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x14ac:dyDescent="0.3">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x14ac:dyDescent="0.3">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x14ac:dyDescent="0.3">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x14ac:dyDescent="0.3">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x14ac:dyDescent="0.3">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x14ac:dyDescent="0.3">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x14ac:dyDescent="0.3">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x14ac:dyDescent="0.3">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x14ac:dyDescent="0.3">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x14ac:dyDescent="0.3">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x14ac:dyDescent="0.3">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x14ac:dyDescent="0.3">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x14ac:dyDescent="0.3">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x14ac:dyDescent="0.3">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x14ac:dyDescent="0.3">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x14ac:dyDescent="0.3">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x14ac:dyDescent="0.3">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x14ac:dyDescent="0.3">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x14ac:dyDescent="0.3">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x14ac:dyDescent="0.3">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x14ac:dyDescent="0.3">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x14ac:dyDescent="0.3">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x14ac:dyDescent="0.3">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x14ac:dyDescent="0.3">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x14ac:dyDescent="0.3">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x14ac:dyDescent="0.3">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x14ac:dyDescent="0.3">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x14ac:dyDescent="0.3">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x14ac:dyDescent="0.3">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x14ac:dyDescent="0.3">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x14ac:dyDescent="0.3">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x14ac:dyDescent="0.3">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x14ac:dyDescent="0.3">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x14ac:dyDescent="0.3">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x14ac:dyDescent="0.3">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x14ac:dyDescent="0.3">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x14ac:dyDescent="0.3">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x14ac:dyDescent="0.3">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x14ac:dyDescent="0.3">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x14ac:dyDescent="0.3">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x14ac:dyDescent="0.3">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x14ac:dyDescent="0.3">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x14ac:dyDescent="0.3">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x14ac:dyDescent="0.3">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x14ac:dyDescent="0.3">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x14ac:dyDescent="0.3">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x14ac:dyDescent="0.3">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x14ac:dyDescent="0.3">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x14ac:dyDescent="0.3">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x14ac:dyDescent="0.3">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x14ac:dyDescent="0.3">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x14ac:dyDescent="0.3">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x14ac:dyDescent="0.3">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x14ac:dyDescent="0.3">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x14ac:dyDescent="0.3">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x14ac:dyDescent="0.3">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x14ac:dyDescent="0.3">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x14ac:dyDescent="0.3">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x14ac:dyDescent="0.3">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x14ac:dyDescent="0.3">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x14ac:dyDescent="0.3">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x14ac:dyDescent="0.3">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x14ac:dyDescent="0.3">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x14ac:dyDescent="0.3">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x14ac:dyDescent="0.3">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x14ac:dyDescent="0.3">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x14ac:dyDescent="0.3">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x14ac:dyDescent="0.3">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x14ac:dyDescent="0.3">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x14ac:dyDescent="0.3">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x14ac:dyDescent="0.3">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x14ac:dyDescent="0.3">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x14ac:dyDescent="0.3">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x14ac:dyDescent="0.3">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x14ac:dyDescent="0.3">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x14ac:dyDescent="0.3">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x14ac:dyDescent="0.3">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x14ac:dyDescent="0.3">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x14ac:dyDescent="0.3">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x14ac:dyDescent="0.3">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x14ac:dyDescent="0.3">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x14ac:dyDescent="0.3">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x14ac:dyDescent="0.3">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x14ac:dyDescent="0.3">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x14ac:dyDescent="0.3">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x14ac:dyDescent="0.3">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x14ac:dyDescent="0.3">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x14ac:dyDescent="0.3">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x14ac:dyDescent="0.3">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x14ac:dyDescent="0.3">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x14ac:dyDescent="0.3">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x14ac:dyDescent="0.3">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x14ac:dyDescent="0.3">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x14ac:dyDescent="0.3">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x14ac:dyDescent="0.3">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x14ac:dyDescent="0.3">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x14ac:dyDescent="0.3">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x14ac:dyDescent="0.3">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x14ac:dyDescent="0.3">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x14ac:dyDescent="0.3">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x14ac:dyDescent="0.3">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x14ac:dyDescent="0.3">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x14ac:dyDescent="0.3">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x14ac:dyDescent="0.3">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x14ac:dyDescent="0.3">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x14ac:dyDescent="0.3">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x14ac:dyDescent="0.3">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x14ac:dyDescent="0.3">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x14ac:dyDescent="0.3">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x14ac:dyDescent="0.3">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x14ac:dyDescent="0.3">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x14ac:dyDescent="0.3">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x14ac:dyDescent="0.3">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x14ac:dyDescent="0.3">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x14ac:dyDescent="0.3">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x14ac:dyDescent="0.3">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x14ac:dyDescent="0.3">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x14ac:dyDescent="0.3">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x14ac:dyDescent="0.3">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x14ac:dyDescent="0.3">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x14ac:dyDescent="0.3">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x14ac:dyDescent="0.3">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x14ac:dyDescent="0.3">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x14ac:dyDescent="0.3">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x14ac:dyDescent="0.3">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x14ac:dyDescent="0.3">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x14ac:dyDescent="0.3">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x14ac:dyDescent="0.3">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x14ac:dyDescent="0.3">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x14ac:dyDescent="0.3">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x14ac:dyDescent="0.3">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x14ac:dyDescent="0.3">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x14ac:dyDescent="0.3">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x14ac:dyDescent="0.3">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x14ac:dyDescent="0.3">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x14ac:dyDescent="0.3">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x14ac:dyDescent="0.3">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x14ac:dyDescent="0.3">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x14ac:dyDescent="0.3">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x14ac:dyDescent="0.3">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x14ac:dyDescent="0.3">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x14ac:dyDescent="0.3">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x14ac:dyDescent="0.3">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x14ac:dyDescent="0.3">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x14ac:dyDescent="0.3">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x14ac:dyDescent="0.3">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x14ac:dyDescent="0.3">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x14ac:dyDescent="0.3">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x14ac:dyDescent="0.3">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x14ac:dyDescent="0.3">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x14ac:dyDescent="0.3">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x14ac:dyDescent="0.3">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x14ac:dyDescent="0.3">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x14ac:dyDescent="0.3">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x14ac:dyDescent="0.3">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x14ac:dyDescent="0.3">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x14ac:dyDescent="0.3">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x14ac:dyDescent="0.3">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x14ac:dyDescent="0.3">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x14ac:dyDescent="0.3">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x14ac:dyDescent="0.3">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x14ac:dyDescent="0.3">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x14ac:dyDescent="0.3">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x14ac:dyDescent="0.3">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x14ac:dyDescent="0.3">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x14ac:dyDescent="0.3">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x14ac:dyDescent="0.3">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x14ac:dyDescent="0.3">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x14ac:dyDescent="0.3">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x14ac:dyDescent="0.3">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x14ac:dyDescent="0.3">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x14ac:dyDescent="0.3">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x14ac:dyDescent="0.3">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x14ac:dyDescent="0.3">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x14ac:dyDescent="0.3">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x14ac:dyDescent="0.3">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x14ac:dyDescent="0.3">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x14ac:dyDescent="0.3">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x14ac:dyDescent="0.3">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x14ac:dyDescent="0.3">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x14ac:dyDescent="0.3">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x14ac:dyDescent="0.3">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x14ac:dyDescent="0.3">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x14ac:dyDescent="0.3">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x14ac:dyDescent="0.3">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x14ac:dyDescent="0.3">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x14ac:dyDescent="0.3">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x14ac:dyDescent="0.3">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x14ac:dyDescent="0.3">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x14ac:dyDescent="0.3">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x14ac:dyDescent="0.3">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x14ac:dyDescent="0.3">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x14ac:dyDescent="0.3">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x14ac:dyDescent="0.3">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x14ac:dyDescent="0.3">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x14ac:dyDescent="0.3">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x14ac:dyDescent="0.3">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x14ac:dyDescent="0.3">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x14ac:dyDescent="0.3">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x14ac:dyDescent="0.3">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x14ac:dyDescent="0.3">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x14ac:dyDescent="0.3">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x14ac:dyDescent="0.3">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x14ac:dyDescent="0.3">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x14ac:dyDescent="0.3">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x14ac:dyDescent="0.3">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x14ac:dyDescent="0.3">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x14ac:dyDescent="0.3">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x14ac:dyDescent="0.3">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x14ac:dyDescent="0.3">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x14ac:dyDescent="0.3">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x14ac:dyDescent="0.3">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x14ac:dyDescent="0.3">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x14ac:dyDescent="0.3">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x14ac:dyDescent="0.3">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x14ac:dyDescent="0.3">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x14ac:dyDescent="0.3">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x14ac:dyDescent="0.3">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x14ac:dyDescent="0.3">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x14ac:dyDescent="0.3">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x14ac:dyDescent="0.3">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x14ac:dyDescent="0.3">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x14ac:dyDescent="0.3">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x14ac:dyDescent="0.3">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x14ac:dyDescent="0.3">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x14ac:dyDescent="0.3">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x14ac:dyDescent="0.3">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x14ac:dyDescent="0.3">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x14ac:dyDescent="0.3">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x14ac:dyDescent="0.3">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x14ac:dyDescent="0.3">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x14ac:dyDescent="0.3">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x14ac:dyDescent="0.3">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x14ac:dyDescent="0.3">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x14ac:dyDescent="0.3">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x14ac:dyDescent="0.3">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x14ac:dyDescent="0.3">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x14ac:dyDescent="0.3">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x14ac:dyDescent="0.3">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x14ac:dyDescent="0.3">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x14ac:dyDescent="0.3">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x14ac:dyDescent="0.3">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x14ac:dyDescent="0.3">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x14ac:dyDescent="0.3">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x14ac:dyDescent="0.3">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x14ac:dyDescent="0.3">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x14ac:dyDescent="0.3">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x14ac:dyDescent="0.3">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x14ac:dyDescent="0.3">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x14ac:dyDescent="0.3">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x14ac:dyDescent="0.3">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x14ac:dyDescent="0.3">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x14ac:dyDescent="0.3">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x14ac:dyDescent="0.3">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x14ac:dyDescent="0.3">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x14ac:dyDescent="0.3">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x14ac:dyDescent="0.3">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x14ac:dyDescent="0.3">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x14ac:dyDescent="0.3">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x14ac:dyDescent="0.3">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x14ac:dyDescent="0.3">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x14ac:dyDescent="0.3">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x14ac:dyDescent="0.3">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x14ac:dyDescent="0.3">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x14ac:dyDescent="0.3">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x14ac:dyDescent="0.3">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x14ac:dyDescent="0.3">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x14ac:dyDescent="0.3">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x14ac:dyDescent="0.3">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x14ac:dyDescent="0.3">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x14ac:dyDescent="0.3">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x14ac:dyDescent="0.3">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x14ac:dyDescent="0.3">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x14ac:dyDescent="0.3">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x14ac:dyDescent="0.3">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x14ac:dyDescent="0.3">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x14ac:dyDescent="0.3">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x14ac:dyDescent="0.3">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x14ac:dyDescent="0.3">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x14ac:dyDescent="0.3">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x14ac:dyDescent="0.3">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x14ac:dyDescent="0.3">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x14ac:dyDescent="0.3">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x14ac:dyDescent="0.3">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x14ac:dyDescent="0.3">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x14ac:dyDescent="0.3">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x14ac:dyDescent="0.3">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x14ac:dyDescent="0.3">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x14ac:dyDescent="0.3">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x14ac:dyDescent="0.3">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x14ac:dyDescent="0.3">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x14ac:dyDescent="0.3">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x14ac:dyDescent="0.3">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x14ac:dyDescent="0.3">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x14ac:dyDescent="0.3">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x14ac:dyDescent="0.3">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x14ac:dyDescent="0.3">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x14ac:dyDescent="0.3">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x14ac:dyDescent="0.3">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x14ac:dyDescent="0.3">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x14ac:dyDescent="0.3">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x14ac:dyDescent="0.3">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x14ac:dyDescent="0.3">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x14ac:dyDescent="0.3">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x14ac:dyDescent="0.3">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x14ac:dyDescent="0.3">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x14ac:dyDescent="0.3">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x14ac:dyDescent="0.3">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x14ac:dyDescent="0.3">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x14ac:dyDescent="0.3">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x14ac:dyDescent="0.3">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x14ac:dyDescent="0.3">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x14ac:dyDescent="0.3">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x14ac:dyDescent="0.3">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x14ac:dyDescent="0.3">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x14ac:dyDescent="0.3">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x14ac:dyDescent="0.3">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x14ac:dyDescent="0.3">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x14ac:dyDescent="0.3">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x14ac:dyDescent="0.3">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x14ac:dyDescent="0.3">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x14ac:dyDescent="0.3">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x14ac:dyDescent="0.3">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x14ac:dyDescent="0.3">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x14ac:dyDescent="0.3">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x14ac:dyDescent="0.3">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x14ac:dyDescent="0.3">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x14ac:dyDescent="0.3">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x14ac:dyDescent="0.3">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x14ac:dyDescent="0.3">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x14ac:dyDescent="0.3">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x14ac:dyDescent="0.3">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x14ac:dyDescent="0.3">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x14ac:dyDescent="0.3">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x14ac:dyDescent="0.3">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x14ac:dyDescent="0.3">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x14ac:dyDescent="0.3">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x14ac:dyDescent="0.3">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x14ac:dyDescent="0.3">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x14ac:dyDescent="0.3">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x14ac:dyDescent="0.3">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x14ac:dyDescent="0.3">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x14ac:dyDescent="0.3">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x14ac:dyDescent="0.3">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x14ac:dyDescent="0.3">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x14ac:dyDescent="0.3">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x14ac:dyDescent="0.3">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x14ac:dyDescent="0.3">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x14ac:dyDescent="0.3">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x14ac:dyDescent="0.3">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x14ac:dyDescent="0.3">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x14ac:dyDescent="0.3">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x14ac:dyDescent="0.3">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x14ac:dyDescent="0.3">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x14ac:dyDescent="0.3">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x14ac:dyDescent="0.3">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x14ac:dyDescent="0.3">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x14ac:dyDescent="0.3">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x14ac:dyDescent="0.3">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x14ac:dyDescent="0.3">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x14ac:dyDescent="0.3">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x14ac:dyDescent="0.3">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x14ac:dyDescent="0.3">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x14ac:dyDescent="0.3">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x14ac:dyDescent="0.3">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x14ac:dyDescent="0.3">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x14ac:dyDescent="0.3">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x14ac:dyDescent="0.3">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x14ac:dyDescent="0.3">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x14ac:dyDescent="0.3">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x14ac:dyDescent="0.3">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x14ac:dyDescent="0.3">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x14ac:dyDescent="0.3">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x14ac:dyDescent="0.3">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x14ac:dyDescent="0.3">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x14ac:dyDescent="0.3">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x14ac:dyDescent="0.3">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x14ac:dyDescent="0.3">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x14ac:dyDescent="0.3">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x14ac:dyDescent="0.3">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x14ac:dyDescent="0.3">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x14ac:dyDescent="0.3">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x14ac:dyDescent="0.3">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x14ac:dyDescent="0.3">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x14ac:dyDescent="0.3">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x14ac:dyDescent="0.3">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x14ac:dyDescent="0.3">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x14ac:dyDescent="0.3">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x14ac:dyDescent="0.3">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x14ac:dyDescent="0.3">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x14ac:dyDescent="0.3">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x14ac:dyDescent="0.3">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x14ac:dyDescent="0.3">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x14ac:dyDescent="0.3">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x14ac:dyDescent="0.3">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x14ac:dyDescent="0.3">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x14ac:dyDescent="0.3">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x14ac:dyDescent="0.3">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x14ac:dyDescent="0.3">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x14ac:dyDescent="0.3">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x14ac:dyDescent="0.3">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x14ac:dyDescent="0.3">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x14ac:dyDescent="0.3">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x14ac:dyDescent="0.3">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x14ac:dyDescent="0.3">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x14ac:dyDescent="0.3">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x14ac:dyDescent="0.3">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x14ac:dyDescent="0.3">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x14ac:dyDescent="0.3">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x14ac:dyDescent="0.3">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x14ac:dyDescent="0.3">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x14ac:dyDescent="0.3">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x14ac:dyDescent="0.3">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x14ac:dyDescent="0.3">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x14ac:dyDescent="0.3">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x14ac:dyDescent="0.3">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x14ac:dyDescent="0.3">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x14ac:dyDescent="0.3">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x14ac:dyDescent="0.3">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x14ac:dyDescent="0.3">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x14ac:dyDescent="0.3">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x14ac:dyDescent="0.3">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x14ac:dyDescent="0.3">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x14ac:dyDescent="0.3">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x14ac:dyDescent="0.3">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x14ac:dyDescent="0.3">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x14ac:dyDescent="0.3">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x14ac:dyDescent="0.3">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x14ac:dyDescent="0.3">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x14ac:dyDescent="0.3">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x14ac:dyDescent="0.3">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x14ac:dyDescent="0.3">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x14ac:dyDescent="0.3">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x14ac:dyDescent="0.3">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x14ac:dyDescent="0.3">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x14ac:dyDescent="0.3">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x14ac:dyDescent="0.3">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x14ac:dyDescent="0.3">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x14ac:dyDescent="0.3">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x14ac:dyDescent="0.3">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x14ac:dyDescent="0.3">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x14ac:dyDescent="0.3">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x14ac:dyDescent="0.3">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x14ac:dyDescent="0.3">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x14ac:dyDescent="0.3">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x14ac:dyDescent="0.3">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x14ac:dyDescent="0.3">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x14ac:dyDescent="0.3">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x14ac:dyDescent="0.3">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x14ac:dyDescent="0.3">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x14ac:dyDescent="0.3">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x14ac:dyDescent="0.3">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x14ac:dyDescent="0.3">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x14ac:dyDescent="0.3">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x14ac:dyDescent="0.3">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x14ac:dyDescent="0.3">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x14ac:dyDescent="0.3">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x14ac:dyDescent="0.3">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x14ac:dyDescent="0.3">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x14ac:dyDescent="0.3">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x14ac:dyDescent="0.3">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x14ac:dyDescent="0.3">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x14ac:dyDescent="0.3">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x14ac:dyDescent="0.3">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x14ac:dyDescent="0.3">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x14ac:dyDescent="0.3">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x14ac:dyDescent="0.3">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x14ac:dyDescent="0.3">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x14ac:dyDescent="0.3">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x14ac:dyDescent="0.3">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x14ac:dyDescent="0.3">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x14ac:dyDescent="0.3">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x14ac:dyDescent="0.3">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x14ac:dyDescent="0.3">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x14ac:dyDescent="0.3">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x14ac:dyDescent="0.3">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x14ac:dyDescent="0.3">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x14ac:dyDescent="0.3">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x14ac:dyDescent="0.3">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x14ac:dyDescent="0.3">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x14ac:dyDescent="0.3">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x14ac:dyDescent="0.3">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x14ac:dyDescent="0.3">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x14ac:dyDescent="0.3">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x14ac:dyDescent="0.3">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x14ac:dyDescent="0.3">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x14ac:dyDescent="0.3">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x14ac:dyDescent="0.3">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x14ac:dyDescent="0.3">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x14ac:dyDescent="0.3">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x14ac:dyDescent="0.3">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x14ac:dyDescent="0.3">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x14ac:dyDescent="0.3">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x14ac:dyDescent="0.3">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x14ac:dyDescent="0.3">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x14ac:dyDescent="0.3">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x14ac:dyDescent="0.3">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x14ac:dyDescent="0.3">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x14ac:dyDescent="0.3">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x14ac:dyDescent="0.3">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x14ac:dyDescent="0.3">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x14ac:dyDescent="0.3">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x14ac:dyDescent="0.3">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x14ac:dyDescent="0.3">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x14ac:dyDescent="0.3">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x14ac:dyDescent="0.3">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x14ac:dyDescent="0.3">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x14ac:dyDescent="0.3">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x14ac:dyDescent="0.3">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x14ac:dyDescent="0.3">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x14ac:dyDescent="0.3">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x14ac:dyDescent="0.3">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x14ac:dyDescent="0.3">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x14ac:dyDescent="0.3">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x14ac:dyDescent="0.3">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x14ac:dyDescent="0.3">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x14ac:dyDescent="0.3">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x14ac:dyDescent="0.3">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x14ac:dyDescent="0.3">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x14ac:dyDescent="0.3">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x14ac:dyDescent="0.3">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x14ac:dyDescent="0.3">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x14ac:dyDescent="0.3">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x14ac:dyDescent="0.3">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x14ac:dyDescent="0.3">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x14ac:dyDescent="0.3">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x14ac:dyDescent="0.3">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x14ac:dyDescent="0.3">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x14ac:dyDescent="0.3">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x14ac:dyDescent="0.3">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x14ac:dyDescent="0.3">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x14ac:dyDescent="0.3">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x14ac:dyDescent="0.3">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x14ac:dyDescent="0.3">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x14ac:dyDescent="0.3">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x14ac:dyDescent="0.3">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x14ac:dyDescent="0.3">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x14ac:dyDescent="0.3">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x14ac:dyDescent="0.3">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x14ac:dyDescent="0.3">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x14ac:dyDescent="0.3">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x14ac:dyDescent="0.3">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x14ac:dyDescent="0.3">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x14ac:dyDescent="0.3">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x14ac:dyDescent="0.3">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x14ac:dyDescent="0.3">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x14ac:dyDescent="0.3">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x14ac:dyDescent="0.3">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x14ac:dyDescent="0.3">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x14ac:dyDescent="0.3">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x14ac:dyDescent="0.3">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x14ac:dyDescent="0.3">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x14ac:dyDescent="0.3">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x14ac:dyDescent="0.3">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x14ac:dyDescent="0.3">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x14ac:dyDescent="0.3">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x14ac:dyDescent="0.3">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x14ac:dyDescent="0.3">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x14ac:dyDescent="0.3">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x14ac:dyDescent="0.3">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x14ac:dyDescent="0.3">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x14ac:dyDescent="0.3">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x14ac:dyDescent="0.3">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x14ac:dyDescent="0.3">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x14ac:dyDescent="0.3">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x14ac:dyDescent="0.3">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x14ac:dyDescent="0.3">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x14ac:dyDescent="0.3">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x14ac:dyDescent="0.3">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x14ac:dyDescent="0.3">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x14ac:dyDescent="0.3">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x14ac:dyDescent="0.3">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x14ac:dyDescent="0.3">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x14ac:dyDescent="0.3">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x14ac:dyDescent="0.3">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x14ac:dyDescent="0.3">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x14ac:dyDescent="0.3">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x14ac:dyDescent="0.3">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x14ac:dyDescent="0.3">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x14ac:dyDescent="0.3">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x14ac:dyDescent="0.3">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x14ac:dyDescent="0.3">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x14ac:dyDescent="0.3">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x14ac:dyDescent="0.3">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x14ac:dyDescent="0.3">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x14ac:dyDescent="0.3">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x14ac:dyDescent="0.3">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x14ac:dyDescent="0.3">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x14ac:dyDescent="0.3">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x14ac:dyDescent="0.3">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x14ac:dyDescent="0.3">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x14ac:dyDescent="0.3">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x14ac:dyDescent="0.3">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x14ac:dyDescent="0.3">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x14ac:dyDescent="0.3">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x14ac:dyDescent="0.3">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x14ac:dyDescent="0.3">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x14ac:dyDescent="0.3">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x14ac:dyDescent="0.3">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x14ac:dyDescent="0.3">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x14ac:dyDescent="0.3">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x14ac:dyDescent="0.3">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x14ac:dyDescent="0.3">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x14ac:dyDescent="0.3">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x14ac:dyDescent="0.3">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x14ac:dyDescent="0.3">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x14ac:dyDescent="0.3">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x14ac:dyDescent="0.3">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x14ac:dyDescent="0.3">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x14ac:dyDescent="0.3">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x14ac:dyDescent="0.3">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x14ac:dyDescent="0.3">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x14ac:dyDescent="0.3">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x14ac:dyDescent="0.3">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x14ac:dyDescent="0.3">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x14ac:dyDescent="0.3">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x14ac:dyDescent="0.3">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x14ac:dyDescent="0.3">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x14ac:dyDescent="0.3">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x14ac:dyDescent="0.3">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x14ac:dyDescent="0.3">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x14ac:dyDescent="0.3">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x14ac:dyDescent="0.3">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x14ac:dyDescent="0.3">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x14ac:dyDescent="0.3">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x14ac:dyDescent="0.3">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x14ac:dyDescent="0.3">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x14ac:dyDescent="0.3">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x14ac:dyDescent="0.3">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x14ac:dyDescent="0.3">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x14ac:dyDescent="0.3">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x14ac:dyDescent="0.3">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x14ac:dyDescent="0.3">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x14ac:dyDescent="0.3">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x14ac:dyDescent="0.3">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x14ac:dyDescent="0.3">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x14ac:dyDescent="0.3">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x14ac:dyDescent="0.3">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x14ac:dyDescent="0.3">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x14ac:dyDescent="0.3">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x14ac:dyDescent="0.3">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x14ac:dyDescent="0.3">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x14ac:dyDescent="0.3">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x14ac:dyDescent="0.3">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x14ac:dyDescent="0.3">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x14ac:dyDescent="0.3">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x14ac:dyDescent="0.3">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x14ac:dyDescent="0.3">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x14ac:dyDescent="0.3">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x14ac:dyDescent="0.3">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x14ac:dyDescent="0.3">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x14ac:dyDescent="0.3">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x14ac:dyDescent="0.3">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x14ac:dyDescent="0.3">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x14ac:dyDescent="0.3">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x14ac:dyDescent="0.3">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x14ac:dyDescent="0.3">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x14ac:dyDescent="0.3">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x14ac:dyDescent="0.3">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x14ac:dyDescent="0.3">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x14ac:dyDescent="0.3">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x14ac:dyDescent="0.3">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x14ac:dyDescent="0.3">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x14ac:dyDescent="0.3">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x14ac:dyDescent="0.3">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x14ac:dyDescent="0.3">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x14ac:dyDescent="0.3">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x14ac:dyDescent="0.3">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x14ac:dyDescent="0.3">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x14ac:dyDescent="0.3">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x14ac:dyDescent="0.3">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x14ac:dyDescent="0.3">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x14ac:dyDescent="0.3">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x14ac:dyDescent="0.3">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x14ac:dyDescent="0.3">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x14ac:dyDescent="0.3">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x14ac:dyDescent="0.3">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x14ac:dyDescent="0.3">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x14ac:dyDescent="0.3">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x14ac:dyDescent="0.3">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x14ac:dyDescent="0.3">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x14ac:dyDescent="0.3">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x14ac:dyDescent="0.3">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x14ac:dyDescent="0.3">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x14ac:dyDescent="0.3">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x14ac:dyDescent="0.3">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x14ac:dyDescent="0.3">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x14ac:dyDescent="0.3">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x14ac:dyDescent="0.3">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x14ac:dyDescent="0.3">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x14ac:dyDescent="0.3">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x14ac:dyDescent="0.3">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x14ac:dyDescent="0.3">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x14ac:dyDescent="0.3">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x14ac:dyDescent="0.3">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x14ac:dyDescent="0.3">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x14ac:dyDescent="0.3">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x14ac:dyDescent="0.3">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x14ac:dyDescent="0.3">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x14ac:dyDescent="0.3">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x14ac:dyDescent="0.3">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x14ac:dyDescent="0.3">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x14ac:dyDescent="0.3">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x14ac:dyDescent="0.3">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x14ac:dyDescent="0.3">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x14ac:dyDescent="0.3">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x14ac:dyDescent="0.3">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x14ac:dyDescent="0.3">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x14ac:dyDescent="0.3">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x14ac:dyDescent="0.3">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x14ac:dyDescent="0.3">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x14ac:dyDescent="0.3">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x14ac:dyDescent="0.3">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x14ac:dyDescent="0.3">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x14ac:dyDescent="0.3">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x14ac:dyDescent="0.3">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819"/>
  <sheetViews>
    <sheetView zoomScale="70" zoomScaleNormal="70"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387" bestFit="1" customWidth="1"/>
    <col min="7" max="9" width="12.88671875" style="470" customWidth="1"/>
    <col min="10" max="10" width="12.88671875" style="841" customWidth="1"/>
    <col min="11" max="11" width="12.88671875" style="470" customWidth="1"/>
    <col min="12" max="12" width="12.109375" style="467" customWidth="1"/>
    <col min="13" max="13" width="11.88671875" style="319" customWidth="1"/>
    <col min="14" max="14" width="27.88671875" style="12" bestFit="1" customWidth="1"/>
    <col min="15" max="15" width="1.6640625" customWidth="1"/>
    <col min="16" max="16" width="65.88671875" style="12"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0" t="s">
        <v>423</v>
      </c>
      <c r="B1" s="10"/>
      <c r="C1" s="10"/>
      <c r="D1" s="10"/>
      <c r="E1" s="10"/>
      <c r="F1" s="78"/>
      <c r="G1" s="102"/>
      <c r="H1" s="102"/>
      <c r="I1" s="102"/>
      <c r="M1"/>
      <c r="N1" s="376"/>
      <c r="P1" s="376"/>
    </row>
    <row r="2" spans="1:24" ht="15" thickTop="1" x14ac:dyDescent="0.3">
      <c r="M2"/>
      <c r="N2" s="378" t="s">
        <v>412</v>
      </c>
      <c r="P2"/>
    </row>
    <row r="3" spans="1:24" x14ac:dyDescent="0.3">
      <c r="B3" s="379" t="s">
        <v>2175</v>
      </c>
      <c r="C3" s="154" t="s">
        <v>2147</v>
      </c>
      <c r="M3"/>
      <c r="N3"/>
      <c r="P3"/>
    </row>
    <row r="4" spans="1:24" x14ac:dyDescent="0.3">
      <c r="M4"/>
      <c r="N4" s="2" t="s">
        <v>2148</v>
      </c>
      <c r="O4" t="s">
        <v>488</v>
      </c>
      <c r="P4" s="2" t="s">
        <v>2149</v>
      </c>
    </row>
    <row r="5" spans="1:24" x14ac:dyDescent="0.3">
      <c r="B5" s="241" t="s">
        <v>413</v>
      </c>
      <c r="G5" s="1001" t="s">
        <v>2097</v>
      </c>
      <c r="H5" s="1001"/>
      <c r="I5" s="1001"/>
      <c r="J5" s="1001"/>
      <c r="K5" s="1001"/>
      <c r="M5"/>
      <c r="N5" s="380">
        <v>54</v>
      </c>
      <c r="P5" s="380">
        <v>9</v>
      </c>
      <c r="T5">
        <v>1</v>
      </c>
      <c r="U5">
        <v>2</v>
      </c>
      <c r="V5">
        <v>3</v>
      </c>
      <c r="W5">
        <v>4</v>
      </c>
      <c r="X5">
        <v>5</v>
      </c>
    </row>
    <row r="6" spans="1:24" x14ac:dyDescent="0.3">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x14ac:dyDescent="0.3">
      <c r="A7" s="63">
        <v>0</v>
      </c>
      <c r="B7" s="381" t="s">
        <v>2179</v>
      </c>
      <c r="C7" s="63"/>
      <c r="D7" s="157"/>
      <c r="E7" s="157"/>
      <c r="F7" s="63"/>
      <c r="G7" s="474"/>
      <c r="H7" s="474"/>
      <c r="I7" s="474"/>
      <c r="J7" s="843"/>
      <c r="K7" s="474"/>
      <c r="L7" s="63"/>
      <c r="M7"/>
      <c r="N7" s="915" t="s">
        <v>2147</v>
      </c>
      <c r="P7" s="915" t="s">
        <v>2147</v>
      </c>
      <c r="U7" s="382"/>
      <c r="V7" s="382"/>
      <c r="W7" s="382"/>
      <c r="X7" s="382"/>
    </row>
    <row r="8" spans="1:24" x14ac:dyDescent="0.3">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5" t="s">
        <v>2180</v>
      </c>
      <c r="P8" s="915" t="s">
        <v>2349</v>
      </c>
      <c r="T8" s="386"/>
      <c r="U8" s="383"/>
      <c r="V8" s="383"/>
      <c r="W8" s="383"/>
      <c r="X8" s="385"/>
    </row>
    <row r="9" spans="1:24" x14ac:dyDescent="0.3">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915" t="s">
        <v>2181</v>
      </c>
      <c r="P9" s="915" t="s">
        <v>2238</v>
      </c>
      <c r="T9" s="386"/>
      <c r="U9" s="383"/>
      <c r="V9" s="383"/>
      <c r="W9" s="383"/>
      <c r="X9" s="385"/>
    </row>
    <row r="10" spans="1:24" x14ac:dyDescent="0.3">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915" t="s">
        <v>5129</v>
      </c>
      <c r="P10" s="915" t="s">
        <v>2239</v>
      </c>
      <c r="T10" s="386"/>
      <c r="U10" s="383"/>
      <c r="V10" s="383"/>
      <c r="W10" s="383"/>
      <c r="X10" s="385"/>
    </row>
    <row r="11" spans="1:24" x14ac:dyDescent="0.3">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915" t="s">
        <v>2183</v>
      </c>
      <c r="P11" s="915" t="s">
        <v>2240</v>
      </c>
      <c r="T11" s="386"/>
      <c r="U11" s="383"/>
      <c r="V11" s="383"/>
      <c r="W11" s="383"/>
      <c r="X11" s="385"/>
    </row>
    <row r="12" spans="1:24" x14ac:dyDescent="0.3">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915" t="s">
        <v>10963</v>
      </c>
      <c r="P12" s="915" t="s">
        <v>2241</v>
      </c>
      <c r="T12" s="386"/>
      <c r="U12" s="383"/>
      <c r="V12" s="383"/>
      <c r="W12" s="383"/>
      <c r="X12" s="385"/>
    </row>
    <row r="13" spans="1:24" x14ac:dyDescent="0.3">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915" t="s">
        <v>2116</v>
      </c>
      <c r="P13" s="915" t="s">
        <v>4228</v>
      </c>
      <c r="T13" s="386"/>
      <c r="U13" s="383"/>
      <c r="V13" s="383"/>
      <c r="W13" s="383"/>
      <c r="X13" s="385"/>
    </row>
    <row r="14" spans="1:24" x14ac:dyDescent="0.3">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915" t="s">
        <v>2117</v>
      </c>
      <c r="P14" s="915" t="s">
        <v>2242</v>
      </c>
      <c r="T14" s="386"/>
      <c r="U14" s="383"/>
      <c r="V14" s="383"/>
      <c r="W14" s="383"/>
      <c r="X14" s="385"/>
    </row>
    <row r="15" spans="1:24" x14ac:dyDescent="0.3">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915" t="s">
        <v>2184</v>
      </c>
      <c r="P15" s="915" t="s">
        <v>2243</v>
      </c>
      <c r="T15" s="386"/>
      <c r="U15" s="383"/>
      <c r="V15" s="383"/>
      <c r="W15" s="383"/>
      <c r="X15" s="385"/>
    </row>
    <row r="16" spans="1:24" x14ac:dyDescent="0.3">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915" t="s">
        <v>4204</v>
      </c>
      <c r="P16" s="915"/>
      <c r="T16" s="386"/>
      <c r="U16" s="383"/>
      <c r="V16" s="383"/>
      <c r="W16" s="383"/>
      <c r="X16" s="385"/>
    </row>
    <row r="17" spans="1:24" x14ac:dyDescent="0.3">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915" t="s">
        <v>2185</v>
      </c>
      <c r="P17" s="915"/>
      <c r="T17" s="386"/>
      <c r="U17" s="383"/>
      <c r="V17" s="383"/>
      <c r="W17" s="383"/>
      <c r="X17" s="385"/>
    </row>
    <row r="18" spans="1:24" x14ac:dyDescent="0.3">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915" t="s">
        <v>2186</v>
      </c>
      <c r="P18" s="915"/>
      <c r="T18" s="386"/>
      <c r="U18" s="383"/>
      <c r="V18" s="383"/>
      <c r="W18" s="383"/>
      <c r="X18" s="385"/>
    </row>
    <row r="19" spans="1:24" x14ac:dyDescent="0.3">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915" t="s">
        <v>2187</v>
      </c>
      <c r="P19" s="915"/>
      <c r="T19" s="386"/>
      <c r="U19" s="383"/>
      <c r="V19" s="383"/>
      <c r="W19" s="383"/>
      <c r="X19" s="385"/>
    </row>
    <row r="20" spans="1:24" x14ac:dyDescent="0.3">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915" t="s">
        <v>3547</v>
      </c>
      <c r="P20" s="915"/>
      <c r="T20" s="386"/>
      <c r="U20" s="383"/>
      <c r="V20" s="383"/>
      <c r="W20" s="383"/>
      <c r="X20" s="385"/>
    </row>
    <row r="21" spans="1:24" x14ac:dyDescent="0.3">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915" t="s">
        <v>2188</v>
      </c>
      <c r="P21" s="915"/>
      <c r="T21" s="386"/>
      <c r="U21" s="383"/>
      <c r="V21" s="383"/>
      <c r="W21" s="383"/>
      <c r="X21" s="385"/>
    </row>
    <row r="22" spans="1:24" x14ac:dyDescent="0.3">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915" t="s">
        <v>3597</v>
      </c>
      <c r="P22" s="915"/>
      <c r="T22" s="386"/>
      <c r="U22" s="383"/>
      <c r="V22" s="383"/>
      <c r="W22" s="383"/>
      <c r="X22" s="385"/>
    </row>
    <row r="23" spans="1:24" x14ac:dyDescent="0.3">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915" t="s">
        <v>2189</v>
      </c>
      <c r="P23" s="915"/>
      <c r="T23" s="386"/>
      <c r="U23" s="383"/>
      <c r="V23" s="383"/>
      <c r="W23" s="383"/>
      <c r="X23" s="385"/>
    </row>
    <row r="24" spans="1:24" x14ac:dyDescent="0.3">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915" t="s">
        <v>2190</v>
      </c>
      <c r="P24" s="915"/>
      <c r="T24" s="386"/>
      <c r="U24" s="383"/>
      <c r="V24" s="383"/>
      <c r="W24" s="383"/>
      <c r="X24" s="385"/>
    </row>
    <row r="25" spans="1:24" x14ac:dyDescent="0.3">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915" t="s">
        <v>2125</v>
      </c>
      <c r="P25" s="915"/>
      <c r="T25" s="386"/>
      <c r="U25" s="383"/>
      <c r="V25" s="383"/>
      <c r="W25" s="383"/>
      <c r="X25" s="385"/>
    </row>
    <row r="26" spans="1:24" x14ac:dyDescent="0.3">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915" t="s">
        <v>2191</v>
      </c>
      <c r="P26" s="915"/>
      <c r="T26" s="386"/>
      <c r="U26" s="383"/>
      <c r="V26" s="383"/>
      <c r="W26" s="383"/>
      <c r="X26" s="385"/>
    </row>
    <row r="27" spans="1:24" x14ac:dyDescent="0.3">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915" t="s">
        <v>2192</v>
      </c>
      <c r="P27" s="915"/>
      <c r="T27" s="386"/>
      <c r="U27" s="383"/>
      <c r="V27" s="383"/>
      <c r="W27" s="383"/>
      <c r="X27" s="385"/>
    </row>
    <row r="28" spans="1:24" x14ac:dyDescent="0.3">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915" t="s">
        <v>4082</v>
      </c>
      <c r="P28" s="915"/>
      <c r="T28" s="386"/>
      <c r="U28" s="383"/>
      <c r="V28" s="383"/>
      <c r="W28" s="383"/>
      <c r="X28" s="385"/>
    </row>
    <row r="29" spans="1:24" x14ac:dyDescent="0.3">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915" t="s">
        <v>251</v>
      </c>
      <c r="P29" s="915"/>
      <c r="T29" s="386"/>
      <c r="U29" s="383"/>
      <c r="V29" s="383"/>
      <c r="W29" s="383"/>
      <c r="X29" s="385"/>
    </row>
    <row r="30" spans="1:24" x14ac:dyDescent="0.3">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915" t="s">
        <v>3605</v>
      </c>
      <c r="P30" s="915"/>
      <c r="T30" s="386"/>
      <c r="U30" s="383"/>
      <c r="V30" s="383"/>
      <c r="W30" s="383"/>
      <c r="X30" s="385"/>
    </row>
    <row r="31" spans="1:24" x14ac:dyDescent="0.3">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915" t="s">
        <v>2193</v>
      </c>
      <c r="P31" s="915"/>
      <c r="T31" s="386"/>
      <c r="U31" s="383"/>
      <c r="V31" s="383"/>
      <c r="W31" s="383"/>
      <c r="X31" s="385"/>
    </row>
    <row r="32" spans="1:24" x14ac:dyDescent="0.3">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915" t="s">
        <v>2194</v>
      </c>
      <c r="P32" s="915"/>
      <c r="T32" s="386"/>
      <c r="U32" s="383"/>
      <c r="V32" s="383"/>
      <c r="W32" s="383"/>
      <c r="X32" s="385"/>
    </row>
    <row r="33" spans="1:24" x14ac:dyDescent="0.3">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915" t="s">
        <v>2195</v>
      </c>
      <c r="P33" s="915"/>
      <c r="T33" s="386"/>
      <c r="U33" s="383"/>
      <c r="V33" s="383"/>
      <c r="W33" s="383"/>
      <c r="X33" s="385"/>
    </row>
    <row r="34" spans="1:24" x14ac:dyDescent="0.3">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915" t="s">
        <v>4110</v>
      </c>
      <c r="P34" s="915"/>
      <c r="T34" s="386"/>
      <c r="U34" s="383"/>
      <c r="V34" s="383"/>
      <c r="W34" s="383"/>
      <c r="X34" s="385"/>
    </row>
    <row r="35" spans="1:24" x14ac:dyDescent="0.3">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915" t="s">
        <v>4830</v>
      </c>
      <c r="P35" s="915"/>
      <c r="T35" s="386"/>
      <c r="U35" s="383"/>
      <c r="V35" s="383"/>
      <c r="W35" s="383"/>
      <c r="X35" s="385"/>
    </row>
    <row r="36" spans="1:24" x14ac:dyDescent="0.3">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915" t="s">
        <v>2196</v>
      </c>
      <c r="P36" s="915"/>
      <c r="T36" s="386"/>
      <c r="U36" s="383"/>
      <c r="V36" s="383"/>
      <c r="W36" s="383"/>
      <c r="X36" s="385"/>
    </row>
    <row r="37" spans="1:24" x14ac:dyDescent="0.3">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915" t="s">
        <v>3262</v>
      </c>
      <c r="P37" s="915"/>
      <c r="T37" s="386"/>
      <c r="U37" s="383"/>
      <c r="V37" s="383"/>
      <c r="W37" s="383"/>
      <c r="X37" s="385"/>
    </row>
    <row r="38" spans="1:24" x14ac:dyDescent="0.3">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915" t="s">
        <v>2197</v>
      </c>
      <c r="P38" s="915"/>
      <c r="T38" s="386"/>
      <c r="U38" s="383"/>
      <c r="V38" s="383"/>
      <c r="W38" s="383"/>
      <c r="X38" s="385"/>
    </row>
    <row r="39" spans="1:24" x14ac:dyDescent="0.3">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915" t="s">
        <v>4162</v>
      </c>
      <c r="P39" s="915"/>
      <c r="T39" s="386"/>
      <c r="U39" s="383" t="s">
        <v>3579</v>
      </c>
      <c r="V39" s="383"/>
      <c r="W39" s="383"/>
      <c r="X39" s="385"/>
    </row>
    <row r="40" spans="1:24" x14ac:dyDescent="0.3">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915" t="s">
        <v>2198</v>
      </c>
      <c r="P40" s="915"/>
      <c r="T40" s="386"/>
      <c r="U40" s="383"/>
      <c r="V40" s="383"/>
      <c r="W40" s="383"/>
      <c r="X40" s="385"/>
    </row>
    <row r="41" spans="1:24" x14ac:dyDescent="0.3">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914" t="s">
        <v>2199</v>
      </c>
      <c r="P41" s="915"/>
      <c r="T41" s="386"/>
      <c r="U41" s="383"/>
      <c r="V41" s="383"/>
      <c r="W41" s="383"/>
      <c r="X41" s="385"/>
    </row>
    <row r="42" spans="1:24" x14ac:dyDescent="0.3">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914" t="s">
        <v>2200</v>
      </c>
      <c r="P42" s="915"/>
      <c r="T42" s="386"/>
      <c r="U42" s="383"/>
      <c r="V42" s="383"/>
      <c r="W42" s="383"/>
      <c r="X42" s="385"/>
    </row>
    <row r="43" spans="1:24" x14ac:dyDescent="0.3">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914" t="s">
        <v>2201</v>
      </c>
      <c r="P43" s="915"/>
      <c r="T43" s="386"/>
      <c r="U43" s="383"/>
      <c r="V43" s="383"/>
      <c r="W43" s="383"/>
      <c r="X43" s="385"/>
    </row>
    <row r="44" spans="1:24" x14ac:dyDescent="0.3">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914" t="s">
        <v>2202</v>
      </c>
      <c r="P44" s="915"/>
      <c r="T44" s="386"/>
      <c r="U44" s="383"/>
      <c r="V44" s="383"/>
      <c r="W44" s="383"/>
      <c r="X44" s="385"/>
    </row>
    <row r="45" spans="1:24" x14ac:dyDescent="0.3">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914" t="s">
        <v>2203</v>
      </c>
      <c r="P45" s="915"/>
      <c r="T45" s="386"/>
      <c r="U45" s="383"/>
      <c r="V45" s="383"/>
      <c r="W45" s="383"/>
      <c r="X45" s="385"/>
    </row>
    <row r="46" spans="1:24" x14ac:dyDescent="0.3">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914" t="s">
        <v>2204</v>
      </c>
      <c r="P46" s="915"/>
      <c r="T46" s="386"/>
      <c r="U46" s="383"/>
      <c r="V46" s="383"/>
      <c r="W46" s="383"/>
      <c r="X46" s="385"/>
    </row>
    <row r="47" spans="1:24" x14ac:dyDescent="0.3">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914" t="s">
        <v>2205</v>
      </c>
      <c r="P47" s="915"/>
      <c r="T47" s="386"/>
      <c r="U47" s="383"/>
      <c r="V47" s="383"/>
      <c r="W47" s="383"/>
      <c r="X47" s="385"/>
    </row>
    <row r="48" spans="1:24" x14ac:dyDescent="0.3">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914" t="s">
        <v>2206</v>
      </c>
      <c r="P48" s="915"/>
      <c r="T48" s="386"/>
      <c r="U48" s="383"/>
      <c r="V48" s="383"/>
      <c r="W48" s="383"/>
      <c r="X48" s="385"/>
    </row>
    <row r="49" spans="1:24" x14ac:dyDescent="0.3">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914" t="s">
        <v>2207</v>
      </c>
      <c r="P49" s="915"/>
      <c r="T49" s="386"/>
      <c r="U49" s="383"/>
      <c r="V49" s="383"/>
      <c r="W49" s="383"/>
      <c r="X49" s="385"/>
    </row>
    <row r="50" spans="1:24" x14ac:dyDescent="0.3">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914" t="s">
        <v>2208</v>
      </c>
      <c r="P50" s="914"/>
      <c r="T50" s="386"/>
      <c r="U50" s="383"/>
      <c r="V50" s="383"/>
      <c r="W50" s="383"/>
      <c r="X50" s="385"/>
    </row>
    <row r="51" spans="1:24" x14ac:dyDescent="0.3">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914" t="s">
        <v>483</v>
      </c>
      <c r="P51" s="914"/>
      <c r="T51" s="386"/>
      <c r="U51" s="383"/>
      <c r="V51" s="383"/>
      <c r="W51" s="383"/>
      <c r="X51" s="385"/>
    </row>
    <row r="52" spans="1:24" x14ac:dyDescent="0.3">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914" t="s">
        <v>2209</v>
      </c>
      <c r="P52" s="914"/>
      <c r="T52" s="386"/>
      <c r="U52" s="383"/>
      <c r="V52" s="383"/>
      <c r="W52" s="383"/>
      <c r="X52" s="385"/>
    </row>
    <row r="53" spans="1:24" x14ac:dyDescent="0.3">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914" t="s">
        <v>2210</v>
      </c>
      <c r="P53" s="914"/>
      <c r="T53" s="386"/>
      <c r="U53" s="383"/>
      <c r="V53" s="383"/>
      <c r="W53" s="383"/>
      <c r="X53" s="385"/>
    </row>
    <row r="54" spans="1:24" x14ac:dyDescent="0.3">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914" t="s">
        <v>2211</v>
      </c>
      <c r="P54" s="914"/>
      <c r="T54" s="386"/>
      <c r="U54" s="383"/>
      <c r="V54" s="383"/>
      <c r="W54" s="383"/>
      <c r="X54" s="385"/>
    </row>
    <row r="55" spans="1:24" x14ac:dyDescent="0.3">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914" t="s">
        <v>3612</v>
      </c>
      <c r="P55" s="914"/>
      <c r="T55" s="386"/>
      <c r="U55" s="383"/>
      <c r="V55" s="383"/>
      <c r="W55" s="383"/>
      <c r="X55" s="385"/>
    </row>
    <row r="56" spans="1:24" x14ac:dyDescent="0.3">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914" t="s">
        <v>2212</v>
      </c>
      <c r="P56" s="914"/>
      <c r="T56" s="386"/>
      <c r="U56" s="383"/>
      <c r="V56" s="383"/>
      <c r="W56" s="383"/>
      <c r="X56" s="385"/>
    </row>
    <row r="57" spans="1:24" x14ac:dyDescent="0.3">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914" t="s">
        <v>2213</v>
      </c>
      <c r="P57" s="914"/>
      <c r="T57" s="386"/>
      <c r="U57" s="383"/>
      <c r="V57" s="383"/>
      <c r="W57" s="383"/>
      <c r="X57" s="385"/>
    </row>
    <row r="58" spans="1:24" x14ac:dyDescent="0.3">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914" t="s">
        <v>2214</v>
      </c>
      <c r="P58" s="914"/>
      <c r="T58" s="386"/>
      <c r="U58" s="383"/>
      <c r="V58" s="383"/>
      <c r="W58" s="383"/>
      <c r="X58" s="385"/>
    </row>
    <row r="59" spans="1:24" x14ac:dyDescent="0.3">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914" t="s">
        <v>2215</v>
      </c>
      <c r="P59" s="914"/>
      <c r="T59" s="386"/>
      <c r="U59" s="383"/>
      <c r="V59" s="383"/>
      <c r="W59" s="383"/>
      <c r="X59" s="385"/>
    </row>
    <row r="60" spans="1:24" x14ac:dyDescent="0.3">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914" t="s">
        <v>2216</v>
      </c>
      <c r="P60" s="897"/>
      <c r="T60" s="386"/>
      <c r="U60" s="383"/>
      <c r="V60" s="383"/>
      <c r="W60" s="383"/>
      <c r="X60" s="385"/>
    </row>
    <row r="61" spans="1:24" x14ac:dyDescent="0.3">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914"/>
      <c r="P61" s="897"/>
      <c r="T61" s="386"/>
      <c r="U61" s="383"/>
      <c r="V61" s="383"/>
      <c r="W61" s="383"/>
      <c r="X61" s="385"/>
    </row>
    <row r="62" spans="1:24" x14ac:dyDescent="0.3">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914"/>
      <c r="P62" s="897"/>
      <c r="T62" s="386"/>
      <c r="U62" s="383"/>
      <c r="V62" s="383"/>
      <c r="W62" s="383"/>
      <c r="X62" s="385"/>
    </row>
    <row r="63" spans="1:24" x14ac:dyDescent="0.3">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914"/>
      <c r="P63" s="897"/>
      <c r="T63" s="386"/>
      <c r="U63" s="383"/>
      <c r="V63" s="383"/>
      <c r="W63" s="383"/>
      <c r="X63" s="385"/>
    </row>
    <row r="64" spans="1:24" x14ac:dyDescent="0.3">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914"/>
      <c r="P64" s="897"/>
      <c r="T64" s="386"/>
      <c r="U64" s="383"/>
      <c r="V64" s="383"/>
      <c r="W64" s="383"/>
      <c r="X64" s="385"/>
    </row>
    <row r="65" spans="1:24" x14ac:dyDescent="0.3">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914"/>
      <c r="P65" s="897"/>
      <c r="T65" s="386"/>
      <c r="U65" s="383"/>
      <c r="V65" s="383"/>
      <c r="W65" s="383"/>
      <c r="X65" s="385"/>
    </row>
    <row r="66" spans="1:24" x14ac:dyDescent="0.3">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914"/>
      <c r="P66" s="897"/>
      <c r="T66" s="467"/>
      <c r="U66" s="383"/>
      <c r="V66" s="383"/>
      <c r="W66" s="383"/>
      <c r="X66" s="385"/>
    </row>
    <row r="67" spans="1:24" x14ac:dyDescent="0.3">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914"/>
      <c r="P67" s="889"/>
      <c r="T67" s="467"/>
      <c r="U67" s="383"/>
      <c r="V67" s="383"/>
      <c r="W67" s="383"/>
      <c r="X67" s="385"/>
    </row>
    <row r="68" spans="1:24" x14ac:dyDescent="0.3">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914"/>
      <c r="P68" s="889"/>
      <c r="T68" s="467"/>
      <c r="U68" s="383"/>
      <c r="V68" s="383"/>
      <c r="W68" s="383"/>
      <c r="X68" s="385"/>
    </row>
    <row r="69" spans="1:24" x14ac:dyDescent="0.3">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914"/>
      <c r="P69" s="889"/>
      <c r="T69" s="467"/>
      <c r="U69" s="383"/>
      <c r="V69" s="383"/>
      <c r="W69" s="383"/>
      <c r="X69" s="385"/>
    </row>
    <row r="70" spans="1:24" x14ac:dyDescent="0.3">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914"/>
      <c r="P70" s="889"/>
      <c r="T70" s="467"/>
      <c r="U70" s="383"/>
      <c r="V70" s="383"/>
      <c r="W70" s="383"/>
      <c r="X70" s="385"/>
    </row>
    <row r="71" spans="1:24" x14ac:dyDescent="0.3">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914"/>
      <c r="P71" s="889"/>
      <c r="T71" s="467"/>
      <c r="U71" s="383"/>
      <c r="V71" s="383"/>
      <c r="W71" s="383"/>
      <c r="X71" s="385"/>
    </row>
    <row r="72" spans="1:24" x14ac:dyDescent="0.3">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914"/>
      <c r="P72" s="889"/>
      <c r="T72" s="467"/>
      <c r="U72" s="383"/>
      <c r="V72" s="383"/>
      <c r="W72" s="383"/>
      <c r="X72" s="385"/>
    </row>
    <row r="73" spans="1:24" x14ac:dyDescent="0.3">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914"/>
      <c r="P73" s="889"/>
      <c r="T73" s="467"/>
      <c r="U73" s="383"/>
      <c r="V73" s="383"/>
      <c r="W73" s="383"/>
      <c r="X73" s="385"/>
    </row>
    <row r="74" spans="1:24" x14ac:dyDescent="0.3">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914"/>
      <c r="P74" s="889"/>
      <c r="T74" s="467"/>
      <c r="U74" s="383"/>
      <c r="V74" s="383"/>
      <c r="W74" s="383"/>
      <c r="X74" s="385"/>
    </row>
    <row r="75" spans="1:24" x14ac:dyDescent="0.3">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914"/>
      <c r="P75" s="889"/>
      <c r="T75" s="467"/>
      <c r="U75" s="383"/>
      <c r="V75" s="383"/>
      <c r="W75" s="383"/>
      <c r="X75" s="385"/>
    </row>
    <row r="76" spans="1:24" x14ac:dyDescent="0.3">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914"/>
      <c r="P76" s="889"/>
      <c r="T76" s="467"/>
      <c r="U76" s="383"/>
      <c r="V76" s="383"/>
      <c r="W76" s="383"/>
      <c r="X76" s="385"/>
    </row>
    <row r="77" spans="1:24" x14ac:dyDescent="0.3">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914"/>
      <c r="P77" s="889"/>
      <c r="T77" s="467"/>
      <c r="U77" s="383"/>
      <c r="V77" s="383"/>
      <c r="W77" s="383"/>
      <c r="X77" s="385"/>
    </row>
    <row r="78" spans="1:24" x14ac:dyDescent="0.3">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914"/>
      <c r="P78" s="889"/>
      <c r="T78" s="467"/>
      <c r="U78" s="383"/>
      <c r="V78" s="383"/>
      <c r="W78" s="383"/>
      <c r="X78" s="385"/>
    </row>
    <row r="79" spans="1:24" x14ac:dyDescent="0.3">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914"/>
      <c r="P79" s="889"/>
      <c r="T79" s="467"/>
      <c r="U79" s="383"/>
      <c r="V79" s="383"/>
      <c r="W79" s="383"/>
      <c r="X79" s="385"/>
    </row>
    <row r="80" spans="1:24" x14ac:dyDescent="0.3">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914"/>
      <c r="P80" s="889"/>
      <c r="T80" s="467"/>
      <c r="U80" s="383"/>
      <c r="V80" s="383"/>
      <c r="W80" s="383"/>
      <c r="X80" s="385"/>
    </row>
    <row r="81" spans="1:24" x14ac:dyDescent="0.3">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914"/>
      <c r="P81" s="889"/>
      <c r="T81" s="467"/>
      <c r="U81" s="383"/>
      <c r="V81" s="383"/>
      <c r="W81" s="383"/>
      <c r="X81" s="385"/>
    </row>
    <row r="82" spans="1:24" x14ac:dyDescent="0.3">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914"/>
      <c r="P82" s="889"/>
      <c r="T82" s="467"/>
      <c r="U82" s="383"/>
      <c r="V82" s="383"/>
      <c r="W82" s="383"/>
      <c r="X82" s="385"/>
    </row>
    <row r="83" spans="1:24" x14ac:dyDescent="0.3">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914"/>
      <c r="P83" s="889"/>
      <c r="T83" s="467"/>
      <c r="U83" s="383"/>
      <c r="V83" s="383"/>
      <c r="W83" s="383"/>
      <c r="X83" s="385"/>
    </row>
    <row r="84" spans="1:24" x14ac:dyDescent="0.3">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914"/>
      <c r="P84" s="889"/>
      <c r="T84" s="467"/>
      <c r="U84" s="383"/>
      <c r="V84" s="383"/>
      <c r="W84" s="383"/>
      <c r="X84" s="385"/>
    </row>
    <row r="85" spans="1:24" x14ac:dyDescent="0.3">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914"/>
      <c r="P85" s="889"/>
      <c r="T85" s="467"/>
      <c r="U85" s="383"/>
      <c r="V85" s="383"/>
      <c r="W85" s="383"/>
      <c r="X85" s="385"/>
    </row>
    <row r="86" spans="1:24" x14ac:dyDescent="0.3">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914"/>
      <c r="P86" s="889"/>
      <c r="T86" s="467"/>
      <c r="U86" s="383"/>
      <c r="V86" s="383"/>
      <c r="W86" s="383"/>
      <c r="X86" s="385"/>
    </row>
    <row r="87" spans="1:24" x14ac:dyDescent="0.3">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914"/>
      <c r="P87" s="889"/>
      <c r="T87" s="467"/>
      <c r="U87" s="383"/>
      <c r="V87" s="383"/>
      <c r="W87" s="383"/>
      <c r="X87" s="385"/>
    </row>
    <row r="88" spans="1:24" x14ac:dyDescent="0.3">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914"/>
      <c r="P88" s="889"/>
      <c r="T88" s="467"/>
      <c r="U88" s="383"/>
      <c r="V88" s="383"/>
      <c r="W88" s="383"/>
      <c r="X88" s="385"/>
    </row>
    <row r="89" spans="1:24" x14ac:dyDescent="0.3">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914"/>
      <c r="P89" s="889"/>
      <c r="T89" s="467"/>
      <c r="U89" s="383"/>
      <c r="V89" s="383"/>
      <c r="W89" s="383"/>
      <c r="X89" s="385"/>
    </row>
    <row r="90" spans="1:24" x14ac:dyDescent="0.3">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914"/>
      <c r="P90" s="889"/>
      <c r="T90" s="467"/>
      <c r="U90" s="383"/>
      <c r="V90" s="383"/>
      <c r="W90" s="383"/>
      <c r="X90" s="385"/>
    </row>
    <row r="91" spans="1:24" x14ac:dyDescent="0.3">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914"/>
      <c r="P91" s="889"/>
      <c r="T91" s="467"/>
      <c r="U91" s="383"/>
      <c r="V91" s="383"/>
      <c r="W91" s="383"/>
      <c r="X91" s="385"/>
    </row>
    <row r="92" spans="1:24" x14ac:dyDescent="0.3">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914"/>
      <c r="P92" s="889"/>
      <c r="T92" s="467"/>
      <c r="U92" s="383"/>
      <c r="V92" s="383"/>
      <c r="W92" s="383"/>
      <c r="X92" s="385"/>
    </row>
    <row r="93" spans="1:24" x14ac:dyDescent="0.3">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914"/>
      <c r="P93" s="889"/>
      <c r="T93" s="467"/>
      <c r="U93" s="383"/>
      <c r="V93" s="383"/>
      <c r="W93" s="383"/>
      <c r="X93" s="385"/>
    </row>
    <row r="94" spans="1:24" x14ac:dyDescent="0.3">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914"/>
      <c r="P94" s="889"/>
      <c r="T94" s="467"/>
      <c r="U94" s="383"/>
      <c r="V94" s="383"/>
      <c r="W94" s="383"/>
      <c r="X94" s="385"/>
    </row>
    <row r="95" spans="1:24" x14ac:dyDescent="0.3">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914"/>
      <c r="P95" s="883"/>
      <c r="T95" s="467"/>
      <c r="U95" s="383"/>
      <c r="V95" s="383"/>
      <c r="W95" s="383"/>
      <c r="X95" s="385"/>
    </row>
    <row r="96" spans="1:24" x14ac:dyDescent="0.3">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914"/>
      <c r="P96" s="883"/>
      <c r="T96" s="467"/>
      <c r="U96" s="383"/>
      <c r="V96" s="383"/>
      <c r="W96" s="383"/>
      <c r="X96" s="385"/>
    </row>
    <row r="97" spans="1:24" x14ac:dyDescent="0.3">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9"/>
      <c r="P97" s="883"/>
      <c r="T97" s="467"/>
      <c r="U97" s="383"/>
      <c r="V97" s="383"/>
      <c r="W97" s="383"/>
      <c r="X97" s="385"/>
    </row>
    <row r="98" spans="1:24" x14ac:dyDescent="0.3">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9"/>
      <c r="P98" s="883"/>
      <c r="T98" s="467"/>
      <c r="U98" s="383"/>
      <c r="V98" s="383"/>
      <c r="W98" s="383"/>
      <c r="X98" s="385"/>
    </row>
    <row r="99" spans="1:24" x14ac:dyDescent="0.3">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9"/>
      <c r="P99" s="883"/>
      <c r="T99" s="467"/>
      <c r="U99" s="383"/>
      <c r="V99" s="383"/>
      <c r="W99" s="383"/>
      <c r="X99" s="385"/>
    </row>
    <row r="100" spans="1:24" x14ac:dyDescent="0.3">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9"/>
      <c r="P100" s="883"/>
      <c r="T100" s="467"/>
      <c r="U100" s="383"/>
      <c r="V100" s="383"/>
      <c r="W100" s="383"/>
      <c r="X100" s="385"/>
    </row>
    <row r="101" spans="1:24" x14ac:dyDescent="0.3">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9"/>
      <c r="P101" s="883"/>
      <c r="T101" s="467"/>
      <c r="U101" s="383"/>
      <c r="V101" s="383"/>
      <c r="W101" s="383"/>
      <c r="X101" s="385"/>
    </row>
    <row r="102" spans="1:24" x14ac:dyDescent="0.3">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9"/>
      <c r="P102" s="883"/>
      <c r="T102" s="467"/>
      <c r="U102" s="383"/>
      <c r="V102" s="383"/>
      <c r="W102" s="383"/>
      <c r="X102" s="385"/>
    </row>
    <row r="103" spans="1:24" x14ac:dyDescent="0.3">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9"/>
      <c r="P103" s="883"/>
      <c r="T103" s="467"/>
      <c r="U103" s="383"/>
      <c r="V103" s="383"/>
      <c r="W103" s="383"/>
      <c r="X103" s="385"/>
    </row>
    <row r="104" spans="1:24" x14ac:dyDescent="0.3">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9"/>
      <c r="P104" s="883"/>
      <c r="T104" s="467"/>
      <c r="U104" s="383"/>
      <c r="V104" s="383"/>
      <c r="W104" s="383"/>
      <c r="X104" s="385"/>
    </row>
    <row r="105" spans="1:24" x14ac:dyDescent="0.3">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9"/>
      <c r="P105" s="880"/>
      <c r="T105" s="467"/>
      <c r="U105" s="383"/>
      <c r="V105" s="383"/>
      <c r="W105" s="383"/>
      <c r="X105" s="385"/>
    </row>
    <row r="106" spans="1:24" x14ac:dyDescent="0.3">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9"/>
      <c r="P106" s="880"/>
      <c r="T106" s="467"/>
      <c r="U106" s="383"/>
      <c r="V106" s="383"/>
      <c r="W106" s="383"/>
      <c r="X106" s="385"/>
    </row>
    <row r="107" spans="1:24" x14ac:dyDescent="0.3">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9"/>
      <c r="P107" s="880"/>
      <c r="T107" s="467"/>
      <c r="U107" s="383"/>
      <c r="V107" s="383"/>
      <c r="W107" s="383"/>
      <c r="X107" s="385"/>
    </row>
    <row r="108" spans="1:24" x14ac:dyDescent="0.3">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9"/>
      <c r="P108" s="880"/>
      <c r="T108" s="467"/>
      <c r="U108" s="383"/>
      <c r="V108" s="383"/>
      <c r="W108" s="383"/>
      <c r="X108" s="385"/>
    </row>
    <row r="109" spans="1:24" x14ac:dyDescent="0.3">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9"/>
      <c r="P109" s="880"/>
      <c r="T109" s="467"/>
      <c r="U109" s="383"/>
      <c r="V109" s="383"/>
      <c r="W109" s="383"/>
      <c r="X109" s="385"/>
    </row>
    <row r="110" spans="1:24" x14ac:dyDescent="0.3">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9"/>
      <c r="P110" s="880"/>
      <c r="T110" s="467"/>
      <c r="U110" s="383"/>
      <c r="V110" s="383"/>
      <c r="W110" s="383"/>
      <c r="X110" s="385"/>
    </row>
    <row r="111" spans="1:24" x14ac:dyDescent="0.3">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9"/>
      <c r="P111" s="880"/>
      <c r="T111" s="467"/>
      <c r="U111" s="383"/>
      <c r="V111" s="383"/>
      <c r="W111" s="383"/>
      <c r="X111" s="385"/>
    </row>
    <row r="112" spans="1:24" x14ac:dyDescent="0.3">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9"/>
      <c r="P112" s="880"/>
      <c r="T112" s="467"/>
      <c r="U112" s="383"/>
      <c r="V112" s="383"/>
      <c r="W112" s="383"/>
      <c r="X112" s="385"/>
    </row>
    <row r="113" spans="1:24" x14ac:dyDescent="0.3">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9"/>
      <c r="P113" s="880"/>
      <c r="T113" s="467"/>
      <c r="U113" s="383"/>
      <c r="V113" s="383"/>
      <c r="W113" s="383"/>
      <c r="X113" s="385"/>
    </row>
    <row r="114" spans="1:24" x14ac:dyDescent="0.3">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9"/>
      <c r="P114" s="880"/>
      <c r="T114" s="467"/>
      <c r="U114" s="383"/>
      <c r="V114" s="383"/>
      <c r="W114" s="383"/>
      <c r="X114" s="385"/>
    </row>
    <row r="115" spans="1:24" x14ac:dyDescent="0.3">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9"/>
      <c r="P115" s="880"/>
      <c r="T115" s="467"/>
      <c r="U115" s="383"/>
      <c r="V115" s="383"/>
      <c r="W115" s="383"/>
      <c r="X115" s="385"/>
    </row>
    <row r="116" spans="1:24" x14ac:dyDescent="0.3">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9"/>
      <c r="P116" s="880"/>
      <c r="T116" s="467"/>
      <c r="U116" s="383"/>
      <c r="V116" s="383"/>
      <c r="W116" s="383"/>
      <c r="X116" s="385"/>
    </row>
    <row r="117" spans="1:24" x14ac:dyDescent="0.3">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9"/>
      <c r="P117" s="880"/>
      <c r="T117" s="467"/>
      <c r="U117" s="383"/>
      <c r="V117" s="383"/>
      <c r="W117" s="383"/>
      <c r="X117" s="385"/>
    </row>
    <row r="118" spans="1:24" x14ac:dyDescent="0.3">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9"/>
      <c r="P118" s="880"/>
      <c r="T118" s="467"/>
      <c r="U118" s="383"/>
      <c r="V118" s="383"/>
      <c r="W118" s="383"/>
      <c r="X118" s="385"/>
    </row>
    <row r="119" spans="1:24" x14ac:dyDescent="0.3">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9"/>
      <c r="P119" s="880"/>
      <c r="T119" s="467"/>
      <c r="U119" s="383"/>
      <c r="V119" s="383"/>
      <c r="W119" s="383"/>
      <c r="X119" s="385"/>
    </row>
    <row r="120" spans="1:24" x14ac:dyDescent="0.3">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9"/>
      <c r="P120" s="880"/>
      <c r="T120" s="467"/>
      <c r="U120" s="383"/>
      <c r="V120" s="383"/>
      <c r="W120" s="383"/>
      <c r="X120" s="385"/>
    </row>
    <row r="121" spans="1:24" x14ac:dyDescent="0.3">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9"/>
      <c r="P121" s="880"/>
      <c r="T121" s="467"/>
      <c r="U121" s="383"/>
      <c r="V121" s="383"/>
      <c r="W121" s="383"/>
      <c r="X121" s="385"/>
    </row>
    <row r="122" spans="1:24" x14ac:dyDescent="0.3">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9"/>
      <c r="P122" s="880"/>
      <c r="T122" s="467"/>
      <c r="U122" s="383"/>
      <c r="V122" s="383"/>
      <c r="W122" s="383"/>
      <c r="X122" s="385"/>
    </row>
    <row r="123" spans="1:24" x14ac:dyDescent="0.3">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9"/>
      <c r="P123" s="880"/>
      <c r="T123" s="467"/>
      <c r="U123" s="383"/>
      <c r="V123" s="383"/>
      <c r="W123" s="383"/>
      <c r="X123" s="385"/>
    </row>
    <row r="124" spans="1:24" x14ac:dyDescent="0.3">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9"/>
      <c r="P124" s="880"/>
      <c r="T124" s="467"/>
      <c r="U124" s="383"/>
      <c r="V124" s="383"/>
      <c r="W124" s="383"/>
      <c r="X124" s="385"/>
    </row>
    <row r="125" spans="1:24" x14ac:dyDescent="0.3">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9"/>
      <c r="P125" s="880"/>
      <c r="T125" s="467"/>
      <c r="U125" s="383"/>
      <c r="V125" s="383"/>
      <c r="W125" s="383"/>
      <c r="X125" s="385"/>
    </row>
    <row r="126" spans="1:24" x14ac:dyDescent="0.3">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9"/>
      <c r="P126" s="880"/>
      <c r="T126" s="467"/>
      <c r="U126" s="383"/>
      <c r="V126" s="383"/>
      <c r="W126" s="383"/>
      <c r="X126" s="385"/>
    </row>
    <row r="127" spans="1:24" x14ac:dyDescent="0.3">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9"/>
      <c r="P127" s="880"/>
      <c r="T127" s="467"/>
      <c r="U127" s="383"/>
      <c r="V127" s="383"/>
      <c r="W127" s="383"/>
      <c r="X127" s="385"/>
    </row>
    <row r="128" spans="1:24" x14ac:dyDescent="0.3">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9"/>
      <c r="P128" s="880"/>
      <c r="T128" s="467"/>
      <c r="U128" s="383"/>
      <c r="V128" s="383"/>
      <c r="W128" s="383"/>
      <c r="X128" s="385"/>
    </row>
    <row r="129" spans="1:24" x14ac:dyDescent="0.3">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89"/>
      <c r="P129" s="872"/>
      <c r="T129" s="467"/>
      <c r="U129" s="383"/>
      <c r="V129" s="383"/>
      <c r="W129" s="383"/>
      <c r="X129" s="385"/>
    </row>
    <row r="130" spans="1:24" x14ac:dyDescent="0.3">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89"/>
      <c r="P130" s="872"/>
      <c r="T130" s="467"/>
      <c r="U130" s="383"/>
      <c r="V130" s="383"/>
      <c r="W130" s="383"/>
      <c r="X130" s="385"/>
    </row>
    <row r="131" spans="1:24" x14ac:dyDescent="0.3">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83"/>
      <c r="P131" s="867"/>
      <c r="T131" s="467"/>
      <c r="U131" s="383"/>
      <c r="V131" s="383"/>
      <c r="W131" s="383"/>
      <c r="X131" s="385"/>
    </row>
    <row r="132" spans="1:24" x14ac:dyDescent="0.3">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83"/>
      <c r="P132" s="867"/>
      <c r="T132" s="467"/>
      <c r="U132" s="383"/>
      <c r="V132" s="383"/>
      <c r="W132" s="383"/>
      <c r="X132" s="385"/>
    </row>
    <row r="133" spans="1:24" x14ac:dyDescent="0.3">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83"/>
      <c r="P133" s="867"/>
      <c r="T133" s="467"/>
      <c r="U133" s="383"/>
      <c r="V133" s="383"/>
      <c r="W133" s="383"/>
      <c r="X133" s="385"/>
    </row>
    <row r="134" spans="1:24" x14ac:dyDescent="0.3">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83"/>
      <c r="P134" s="867"/>
      <c r="T134" s="467"/>
      <c r="U134" s="383"/>
      <c r="V134" s="383"/>
      <c r="W134" s="383"/>
      <c r="X134" s="385"/>
    </row>
    <row r="135" spans="1:24" x14ac:dyDescent="0.3">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83"/>
      <c r="P135" s="867"/>
      <c r="T135" s="467"/>
      <c r="U135" s="383"/>
      <c r="V135" s="383"/>
      <c r="W135" s="383"/>
      <c r="X135" s="385"/>
    </row>
    <row r="136" spans="1:24" x14ac:dyDescent="0.3">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83"/>
      <c r="P136" s="867"/>
      <c r="T136" s="467"/>
      <c r="U136" s="383"/>
      <c r="V136" s="383"/>
      <c r="W136" s="383"/>
      <c r="X136" s="385"/>
    </row>
    <row r="137" spans="1:24" x14ac:dyDescent="0.3">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83"/>
      <c r="P137" s="867"/>
      <c r="T137" s="467"/>
      <c r="U137" s="383"/>
      <c r="V137" s="383"/>
      <c r="W137" s="383"/>
      <c r="X137" s="385"/>
    </row>
    <row r="138" spans="1:24" x14ac:dyDescent="0.3">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83"/>
      <c r="P138" s="866"/>
      <c r="T138" s="467"/>
      <c r="U138" s="383"/>
      <c r="V138" s="383"/>
      <c r="W138" s="383"/>
      <c r="X138" s="385"/>
    </row>
    <row r="139" spans="1:24" x14ac:dyDescent="0.3">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83"/>
      <c r="P139" s="866"/>
      <c r="T139" s="467"/>
      <c r="U139" s="383"/>
      <c r="V139" s="383"/>
      <c r="W139" s="383"/>
      <c r="X139" s="385"/>
    </row>
    <row r="140" spans="1:24" x14ac:dyDescent="0.3">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83"/>
      <c r="P140" s="866"/>
      <c r="T140" s="467"/>
      <c r="U140" s="383"/>
      <c r="V140" s="383"/>
      <c r="W140" s="383"/>
      <c r="X140" s="385"/>
    </row>
    <row r="141" spans="1:24" x14ac:dyDescent="0.3">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80"/>
      <c r="P141" s="866"/>
      <c r="T141" s="467"/>
      <c r="U141" s="383"/>
      <c r="V141" s="383"/>
      <c r="W141" s="383"/>
      <c r="X141" s="385"/>
    </row>
    <row r="142" spans="1:24" x14ac:dyDescent="0.3">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80"/>
      <c r="P142" s="855"/>
      <c r="T142" s="467"/>
      <c r="U142" s="383"/>
      <c r="V142" s="383"/>
      <c r="W142" s="383"/>
      <c r="X142" s="385"/>
    </row>
    <row r="143" spans="1:24" x14ac:dyDescent="0.3">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80"/>
      <c r="P143" s="855"/>
      <c r="T143" s="467"/>
      <c r="U143" s="383"/>
      <c r="V143" s="383"/>
      <c r="W143" s="383"/>
      <c r="X143" s="385"/>
    </row>
    <row r="144" spans="1:24" x14ac:dyDescent="0.3">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80"/>
      <c r="P144" s="855"/>
      <c r="T144" s="467"/>
      <c r="U144" s="383"/>
      <c r="V144" s="383"/>
      <c r="W144" s="383"/>
      <c r="X144" s="385"/>
    </row>
    <row r="145" spans="1:24" x14ac:dyDescent="0.3">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80"/>
      <c r="P145" s="855"/>
      <c r="T145" s="467"/>
      <c r="U145" s="383"/>
      <c r="V145" s="383"/>
      <c r="W145" s="383"/>
      <c r="X145" s="385"/>
    </row>
    <row r="146" spans="1:24" x14ac:dyDescent="0.3">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80"/>
      <c r="P146" s="855"/>
      <c r="T146" s="467"/>
      <c r="U146" s="383"/>
      <c r="V146" s="383"/>
      <c r="W146" s="383"/>
      <c r="X146" s="385"/>
    </row>
    <row r="147" spans="1:24" x14ac:dyDescent="0.3">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80"/>
      <c r="P147" s="855"/>
      <c r="T147" s="467"/>
      <c r="U147" s="383"/>
      <c r="V147" s="383"/>
      <c r="W147" s="383"/>
      <c r="X147" s="385"/>
    </row>
    <row r="148" spans="1:24" x14ac:dyDescent="0.3">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80"/>
      <c r="P148" s="854"/>
      <c r="T148" s="467"/>
      <c r="U148" s="383"/>
      <c r="V148" s="383"/>
      <c r="W148" s="383"/>
      <c r="X148" s="385"/>
    </row>
    <row r="149" spans="1:24" x14ac:dyDescent="0.3">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80"/>
      <c r="P149" s="854"/>
      <c r="T149" s="467"/>
      <c r="U149" s="383"/>
      <c r="V149" s="383"/>
      <c r="W149" s="383"/>
      <c r="X149" s="385"/>
    </row>
    <row r="150" spans="1:24" x14ac:dyDescent="0.3">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80"/>
      <c r="P150" s="848"/>
      <c r="T150" s="467"/>
      <c r="U150" s="383"/>
      <c r="V150" s="383"/>
      <c r="W150" s="383"/>
      <c r="X150" s="385"/>
    </row>
    <row r="151" spans="1:24" x14ac:dyDescent="0.3">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80"/>
      <c r="P151" s="848"/>
      <c r="T151" s="467"/>
      <c r="U151" s="383"/>
      <c r="V151" s="383"/>
      <c r="W151" s="383"/>
      <c r="X151" s="385"/>
    </row>
    <row r="152" spans="1:24" x14ac:dyDescent="0.3">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80"/>
      <c r="P152" s="848"/>
      <c r="T152" s="467"/>
      <c r="U152" s="383"/>
      <c r="V152" s="383"/>
      <c r="W152" s="383"/>
      <c r="X152" s="385"/>
    </row>
    <row r="153" spans="1:24" x14ac:dyDescent="0.3">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80"/>
      <c r="P153" s="848"/>
      <c r="T153" s="467"/>
      <c r="U153" s="383"/>
      <c r="V153" s="383"/>
      <c r="W153" s="383"/>
      <c r="X153" s="385"/>
    </row>
    <row r="154" spans="1:24" x14ac:dyDescent="0.3">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80"/>
      <c r="P154" s="848"/>
      <c r="T154" s="467"/>
      <c r="U154" s="383"/>
      <c r="V154" s="383"/>
      <c r="W154" s="383"/>
      <c r="X154" s="385"/>
    </row>
    <row r="155" spans="1:24" x14ac:dyDescent="0.3">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80"/>
      <c r="P155" s="848"/>
      <c r="T155" s="467"/>
      <c r="U155" s="383"/>
      <c r="V155" s="383"/>
      <c r="W155" s="383"/>
      <c r="X155" s="385"/>
    </row>
    <row r="156" spans="1:24" x14ac:dyDescent="0.3">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80"/>
      <c r="P156" s="848"/>
      <c r="T156" s="467"/>
      <c r="U156" s="383"/>
      <c r="V156" s="383"/>
      <c r="W156" s="383"/>
      <c r="X156" s="385"/>
    </row>
    <row r="157" spans="1:24" x14ac:dyDescent="0.3">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80"/>
      <c r="P157" s="848"/>
      <c r="T157" s="467"/>
      <c r="U157" s="383"/>
      <c r="V157" s="383"/>
      <c r="W157" s="383"/>
      <c r="X157" s="385"/>
    </row>
    <row r="158" spans="1:24" x14ac:dyDescent="0.3">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80"/>
      <c r="P158" s="848"/>
      <c r="T158" s="467"/>
      <c r="U158" s="383"/>
      <c r="V158" s="383"/>
      <c r="W158" s="383"/>
      <c r="X158" s="385"/>
    </row>
    <row r="159" spans="1:24" x14ac:dyDescent="0.3">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80"/>
      <c r="P159" s="847"/>
      <c r="T159" s="467"/>
      <c r="U159" s="383"/>
      <c r="V159" s="383"/>
      <c r="W159" s="383"/>
      <c r="X159" s="385"/>
    </row>
    <row r="160" spans="1:24" x14ac:dyDescent="0.3">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80"/>
      <c r="P160" s="847"/>
      <c r="T160" s="467"/>
      <c r="U160" s="383"/>
      <c r="V160" s="383"/>
      <c r="W160" s="383"/>
      <c r="X160" s="385"/>
    </row>
    <row r="161" spans="1:24" x14ac:dyDescent="0.3">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80"/>
      <c r="P161" s="847"/>
      <c r="T161" s="467"/>
      <c r="U161" s="383"/>
      <c r="V161" s="383"/>
      <c r="W161" s="383"/>
      <c r="X161" s="385"/>
    </row>
    <row r="162" spans="1:24" x14ac:dyDescent="0.3">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80"/>
      <c r="P162" s="847"/>
      <c r="T162" s="467"/>
      <c r="U162" s="383"/>
      <c r="V162" s="383"/>
      <c r="W162" s="383"/>
      <c r="X162" s="385"/>
    </row>
    <row r="163" spans="1:24" x14ac:dyDescent="0.3">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80"/>
      <c r="P163" s="847"/>
      <c r="T163" s="467"/>
      <c r="U163" s="383"/>
      <c r="V163" s="383"/>
      <c r="W163" s="383"/>
      <c r="X163" s="385"/>
    </row>
    <row r="164" spans="1:24" x14ac:dyDescent="0.3">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80"/>
      <c r="P164" s="847"/>
      <c r="T164" s="467"/>
      <c r="U164" s="383"/>
      <c r="V164" s="383"/>
      <c r="W164" s="383"/>
      <c r="X164" s="385"/>
    </row>
    <row r="165" spans="1:24" x14ac:dyDescent="0.3">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8"/>
      <c r="P165" s="847"/>
      <c r="T165" s="467"/>
      <c r="U165" s="383"/>
      <c r="V165" s="383"/>
      <c r="W165" s="383"/>
      <c r="X165" s="385"/>
    </row>
    <row r="166" spans="1:24" x14ac:dyDescent="0.3">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8"/>
      <c r="P166" s="846"/>
      <c r="T166" s="467"/>
      <c r="U166" s="383"/>
      <c r="V166" s="383"/>
      <c r="W166" s="383"/>
      <c r="X166" s="385"/>
    </row>
    <row r="167" spans="1:24" x14ac:dyDescent="0.3">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8"/>
      <c r="P167" s="846"/>
      <c r="T167" s="467"/>
      <c r="U167" s="383"/>
      <c r="V167" s="383"/>
      <c r="W167" s="383"/>
      <c r="X167" s="385"/>
    </row>
    <row r="168" spans="1:24" x14ac:dyDescent="0.3">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8"/>
      <c r="P168" s="846"/>
      <c r="T168" s="467"/>
      <c r="U168" s="383"/>
      <c r="V168" s="383"/>
      <c r="W168" s="383"/>
      <c r="X168" s="385"/>
    </row>
    <row r="169" spans="1:24" x14ac:dyDescent="0.3">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8"/>
      <c r="P169" s="846"/>
      <c r="T169" s="467"/>
      <c r="U169" s="383"/>
      <c r="V169" s="383"/>
      <c r="W169" s="383"/>
      <c r="X169" s="385"/>
    </row>
    <row r="170" spans="1:24" x14ac:dyDescent="0.3">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8"/>
      <c r="P170" s="846"/>
      <c r="T170" s="467"/>
      <c r="U170" s="383"/>
      <c r="V170" s="383"/>
      <c r="W170" s="383"/>
      <c r="X170" s="385"/>
    </row>
    <row r="171" spans="1:24" x14ac:dyDescent="0.3">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8"/>
      <c r="P171" s="846"/>
      <c r="T171" s="467"/>
      <c r="U171" s="383"/>
      <c r="V171" s="383"/>
      <c r="W171" s="383"/>
      <c r="X171" s="385"/>
    </row>
    <row r="172" spans="1:24" x14ac:dyDescent="0.3">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8"/>
      <c r="P172" s="846"/>
      <c r="T172" s="467"/>
      <c r="U172" s="383"/>
      <c r="V172" s="383"/>
      <c r="W172" s="383"/>
      <c r="X172" s="385"/>
    </row>
    <row r="173" spans="1:24" x14ac:dyDescent="0.3">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8"/>
      <c r="P173" s="846"/>
      <c r="T173" s="467"/>
      <c r="U173" s="383"/>
      <c r="V173" s="383"/>
      <c r="W173" s="383"/>
      <c r="X173" s="385"/>
    </row>
    <row r="174" spans="1:24" x14ac:dyDescent="0.3">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8"/>
      <c r="P174" s="846"/>
      <c r="T174" s="467"/>
      <c r="U174" s="383"/>
      <c r="V174" s="383"/>
      <c r="W174" s="383"/>
      <c r="X174" s="385"/>
    </row>
    <row r="175" spans="1:24" x14ac:dyDescent="0.3">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8"/>
      <c r="P175" s="846"/>
      <c r="T175" s="467"/>
      <c r="U175" s="383"/>
      <c r="V175" s="383"/>
      <c r="W175" s="383"/>
      <c r="X175" s="385"/>
    </row>
    <row r="176" spans="1:24" x14ac:dyDescent="0.3">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8"/>
      <c r="P176" s="846"/>
      <c r="T176" s="467"/>
      <c r="U176" s="383"/>
      <c r="V176" s="383"/>
      <c r="W176" s="383"/>
      <c r="X176" s="385"/>
    </row>
    <row r="177" spans="1:24" x14ac:dyDescent="0.3">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8"/>
      <c r="P177" s="846"/>
      <c r="T177" s="467"/>
      <c r="U177" s="383"/>
      <c r="V177" s="383"/>
      <c r="W177" s="383"/>
      <c r="X177" s="385"/>
    </row>
    <row r="178" spans="1:24" x14ac:dyDescent="0.3">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8"/>
      <c r="P178" s="846"/>
      <c r="T178" s="467"/>
      <c r="U178" s="383"/>
      <c r="V178" s="383"/>
      <c r="W178" s="383"/>
      <c r="X178" s="385"/>
    </row>
    <row r="179" spans="1:24" x14ac:dyDescent="0.3">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8"/>
      <c r="P179" s="846"/>
      <c r="T179" s="467"/>
      <c r="U179" s="383"/>
      <c r="V179" s="383"/>
      <c r="W179" s="383"/>
      <c r="X179" s="385"/>
    </row>
    <row r="180" spans="1:24" x14ac:dyDescent="0.3">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8"/>
      <c r="P180" s="846"/>
      <c r="T180" s="467"/>
      <c r="U180" s="383"/>
      <c r="V180" s="383"/>
      <c r="W180" s="383"/>
      <c r="X180" s="385"/>
    </row>
    <row r="181" spans="1:24" x14ac:dyDescent="0.3">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848"/>
      <c r="P181" s="846"/>
      <c r="T181" s="467"/>
      <c r="U181" s="383"/>
      <c r="V181" s="383"/>
      <c r="W181" s="383"/>
      <c r="X181" s="385"/>
    </row>
    <row r="182" spans="1:24" x14ac:dyDescent="0.3">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848"/>
      <c r="P182" s="846"/>
      <c r="T182" s="467"/>
      <c r="U182" s="383"/>
      <c r="V182" s="383"/>
      <c r="W182" s="383"/>
      <c r="X182" s="385"/>
    </row>
    <row r="183" spans="1:24" x14ac:dyDescent="0.3">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848"/>
      <c r="P183" s="846"/>
      <c r="T183" s="467"/>
      <c r="U183" s="383"/>
      <c r="V183" s="383"/>
      <c r="W183" s="383"/>
      <c r="X183" s="385"/>
    </row>
    <row r="184" spans="1:24" x14ac:dyDescent="0.3">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848"/>
      <c r="P184" s="846"/>
      <c r="T184" s="467"/>
      <c r="U184" s="383"/>
      <c r="V184" s="383"/>
      <c r="W184" s="383"/>
      <c r="X184" s="385"/>
    </row>
    <row r="185" spans="1:24" x14ac:dyDescent="0.3">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848"/>
      <c r="P185" s="846"/>
      <c r="T185" s="467"/>
      <c r="U185" s="383"/>
      <c r="V185" s="383"/>
      <c r="W185" s="383"/>
      <c r="X185" s="385"/>
    </row>
    <row r="186" spans="1:24" x14ac:dyDescent="0.3">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848"/>
      <c r="P186" s="846"/>
      <c r="T186" s="467"/>
      <c r="U186" s="383"/>
      <c r="V186" s="383"/>
      <c r="W186" s="383"/>
      <c r="X186" s="385"/>
    </row>
    <row r="187" spans="1:24" x14ac:dyDescent="0.3">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848"/>
      <c r="P187" s="846"/>
      <c r="T187" s="467"/>
      <c r="U187" s="383"/>
      <c r="V187" s="383"/>
      <c r="W187" s="383"/>
      <c r="X187" s="385"/>
    </row>
    <row r="188" spans="1:24" x14ac:dyDescent="0.3">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848"/>
      <c r="P188" s="846"/>
      <c r="T188" s="467"/>
      <c r="U188" s="383"/>
      <c r="V188" s="383"/>
      <c r="W188" s="383"/>
      <c r="X188" s="385"/>
    </row>
    <row r="189" spans="1:24" x14ac:dyDescent="0.3">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848"/>
      <c r="P189" s="846"/>
      <c r="T189" s="467"/>
      <c r="U189" s="383"/>
      <c r="V189" s="383"/>
      <c r="W189" s="383"/>
      <c r="X189" s="385"/>
    </row>
    <row r="190" spans="1:24" x14ac:dyDescent="0.3">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848"/>
      <c r="P190" s="846"/>
      <c r="T190" s="467"/>
      <c r="U190" s="383"/>
      <c r="V190" s="383"/>
      <c r="W190" s="383"/>
      <c r="X190" s="385"/>
    </row>
    <row r="191" spans="1:24" x14ac:dyDescent="0.3">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848"/>
      <c r="P191" s="846"/>
      <c r="T191" s="467"/>
      <c r="U191" s="383"/>
      <c r="V191" s="383"/>
      <c r="W191" s="383"/>
      <c r="X191" s="385"/>
    </row>
    <row r="192" spans="1:24" x14ac:dyDescent="0.3">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848"/>
      <c r="P192" s="846"/>
      <c r="T192" s="467"/>
      <c r="U192" s="383"/>
      <c r="V192" s="383"/>
      <c r="W192" s="383"/>
      <c r="X192" s="385"/>
    </row>
    <row r="193" spans="1:24" x14ac:dyDescent="0.3">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848"/>
      <c r="P193" s="846"/>
      <c r="T193" s="467"/>
      <c r="U193" s="383"/>
      <c r="V193" s="383"/>
      <c r="W193" s="383"/>
      <c r="X193" s="385"/>
    </row>
    <row r="194" spans="1:24" x14ac:dyDescent="0.3">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847"/>
      <c r="P194" s="846"/>
      <c r="T194" s="467"/>
      <c r="U194" s="383"/>
      <c r="V194" s="383"/>
      <c r="W194" s="383"/>
      <c r="X194" s="385"/>
    </row>
    <row r="195" spans="1:24" x14ac:dyDescent="0.3">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847"/>
      <c r="P195" s="846"/>
      <c r="T195" s="467"/>
      <c r="U195" s="383"/>
      <c r="V195" s="383"/>
      <c r="W195" s="383"/>
      <c r="X195" s="385"/>
    </row>
    <row r="196" spans="1:24" x14ac:dyDescent="0.3">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846"/>
      <c r="P196" s="846"/>
      <c r="T196" s="467"/>
      <c r="U196" s="383"/>
      <c r="V196" s="383"/>
      <c r="W196" s="383"/>
      <c r="X196" s="385"/>
    </row>
    <row r="197" spans="1:24" x14ac:dyDescent="0.3">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846"/>
      <c r="P197" s="846"/>
      <c r="T197" s="467"/>
      <c r="U197" s="383"/>
      <c r="V197" s="383"/>
      <c r="W197" s="383"/>
      <c r="X197" s="385"/>
    </row>
    <row r="198" spans="1:24" x14ac:dyDescent="0.3">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846"/>
      <c r="P198" s="846"/>
      <c r="T198" s="467"/>
      <c r="U198" s="383"/>
      <c r="V198" s="383"/>
      <c r="W198" s="383"/>
      <c r="X198" s="385"/>
    </row>
    <row r="199" spans="1:24" x14ac:dyDescent="0.3">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846"/>
      <c r="P199" s="846"/>
      <c r="T199" s="467"/>
      <c r="U199" s="383"/>
      <c r="V199" s="383"/>
      <c r="W199" s="383"/>
      <c r="X199" s="385"/>
    </row>
    <row r="200" spans="1:24" x14ac:dyDescent="0.3">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846"/>
      <c r="P200" s="846"/>
      <c r="T200" s="467"/>
      <c r="U200" s="383"/>
      <c r="V200" s="383"/>
      <c r="W200" s="383"/>
      <c r="X200" s="385"/>
    </row>
    <row r="201" spans="1:24" x14ac:dyDescent="0.3">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846"/>
      <c r="P201" s="846"/>
      <c r="T201" s="467"/>
      <c r="U201" s="383"/>
      <c r="V201" s="383"/>
      <c r="W201" s="383"/>
      <c r="X201" s="385"/>
    </row>
    <row r="202" spans="1:24" x14ac:dyDescent="0.3">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846"/>
      <c r="P202" s="846"/>
      <c r="T202" s="467"/>
      <c r="U202" s="383"/>
      <c r="V202" s="383"/>
      <c r="W202" s="383"/>
      <c r="X202" s="385"/>
    </row>
    <row r="203" spans="1:24" x14ac:dyDescent="0.3">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846"/>
      <c r="P203" s="846"/>
      <c r="T203" s="467"/>
      <c r="U203" s="383"/>
      <c r="V203" s="383"/>
      <c r="W203" s="383"/>
      <c r="X203" s="385"/>
    </row>
    <row r="204" spans="1:24" x14ac:dyDescent="0.3">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846"/>
      <c r="P204" s="846"/>
      <c r="T204" s="467"/>
      <c r="U204" s="383"/>
      <c r="V204" s="383"/>
      <c r="W204" s="383"/>
      <c r="X204" s="385"/>
    </row>
    <row r="205" spans="1:24" x14ac:dyDescent="0.3">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846"/>
      <c r="P205" s="846"/>
      <c r="T205" s="467"/>
      <c r="U205" s="383"/>
      <c r="V205" s="383"/>
      <c r="W205" s="383"/>
      <c r="X205" s="385"/>
    </row>
    <row r="206" spans="1:24" x14ac:dyDescent="0.3">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846"/>
      <c r="P206" s="846"/>
      <c r="T206" s="467"/>
      <c r="U206" s="383"/>
      <c r="V206" s="383"/>
      <c r="W206" s="383"/>
      <c r="X206" s="385"/>
    </row>
    <row r="207" spans="1:24" x14ac:dyDescent="0.3">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845"/>
      <c r="P207" s="846"/>
      <c r="T207" s="467"/>
      <c r="U207" s="383"/>
      <c r="V207" s="383"/>
      <c r="W207" s="383"/>
      <c r="X207" s="385"/>
    </row>
    <row r="208" spans="1:24" x14ac:dyDescent="0.3">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845"/>
      <c r="P208" s="846"/>
      <c r="T208" s="467"/>
      <c r="U208" s="383"/>
      <c r="V208" s="383"/>
      <c r="W208" s="383"/>
      <c r="X208" s="385"/>
    </row>
    <row r="209" spans="1:24" x14ac:dyDescent="0.3">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845"/>
      <c r="P209" s="846"/>
      <c r="T209" s="467"/>
      <c r="U209" s="383"/>
      <c r="V209" s="383"/>
      <c r="W209" s="383"/>
      <c r="X209" s="385"/>
    </row>
    <row r="210" spans="1:24" x14ac:dyDescent="0.3">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845"/>
      <c r="P210" s="846"/>
      <c r="T210" s="467"/>
      <c r="U210" s="383"/>
      <c r="V210" s="383"/>
      <c r="W210" s="383"/>
      <c r="X210" s="385"/>
    </row>
    <row r="211" spans="1:24" x14ac:dyDescent="0.3">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845"/>
      <c r="P211" s="846"/>
      <c r="T211" s="467"/>
      <c r="U211" s="383"/>
      <c r="V211" s="383"/>
      <c r="W211" s="383"/>
      <c r="X211" s="385"/>
    </row>
    <row r="212" spans="1:24" x14ac:dyDescent="0.3">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845"/>
      <c r="P212" s="846"/>
      <c r="T212" s="467"/>
      <c r="U212" s="383"/>
      <c r="V212" s="383"/>
      <c r="W212" s="383"/>
      <c r="X212" s="385"/>
    </row>
    <row r="213" spans="1:24" x14ac:dyDescent="0.3">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845"/>
      <c r="P213" s="846"/>
      <c r="T213" s="467"/>
      <c r="U213" s="383"/>
      <c r="V213" s="383"/>
      <c r="W213" s="383"/>
      <c r="X213" s="385"/>
    </row>
    <row r="214" spans="1:24" x14ac:dyDescent="0.3">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845"/>
      <c r="P214" s="846"/>
      <c r="T214" s="467"/>
      <c r="U214" s="383"/>
      <c r="V214" s="383"/>
      <c r="W214" s="383"/>
      <c r="X214" s="385"/>
    </row>
    <row r="215" spans="1:24" x14ac:dyDescent="0.3">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845"/>
      <c r="P215" s="846"/>
      <c r="T215" s="467"/>
      <c r="U215" s="383"/>
      <c r="V215" s="383"/>
      <c r="W215" s="383"/>
      <c r="X215" s="385"/>
    </row>
    <row r="216" spans="1:24" x14ac:dyDescent="0.3">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845"/>
      <c r="P216" s="846"/>
      <c r="T216" s="467"/>
      <c r="U216" s="383"/>
      <c r="V216" s="383"/>
      <c r="W216" s="383"/>
      <c r="X216" s="385"/>
    </row>
    <row r="217" spans="1:24" x14ac:dyDescent="0.3">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81"/>
      <c r="P217" s="846"/>
      <c r="T217" s="467"/>
      <c r="U217" s="383"/>
      <c r="V217" s="383"/>
      <c r="W217" s="383"/>
      <c r="X217" s="385"/>
    </row>
    <row r="218" spans="1:24" x14ac:dyDescent="0.3">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81"/>
      <c r="P218" s="846"/>
      <c r="T218" s="467"/>
      <c r="U218" s="383"/>
      <c r="V218" s="383"/>
      <c r="W218" s="383"/>
      <c r="X218" s="385"/>
    </row>
    <row r="219" spans="1:24" x14ac:dyDescent="0.3">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81"/>
      <c r="P219" s="846"/>
      <c r="T219" s="467"/>
      <c r="U219" s="383"/>
      <c r="V219" s="383"/>
      <c r="W219" s="383"/>
      <c r="X219" s="385"/>
    </row>
    <row r="220" spans="1:24" x14ac:dyDescent="0.3">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81"/>
      <c r="P220" s="846"/>
      <c r="T220" s="467"/>
      <c r="U220" s="383"/>
      <c r="V220" s="383"/>
      <c r="W220" s="383"/>
      <c r="X220" s="385"/>
    </row>
    <row r="221" spans="1:24" x14ac:dyDescent="0.3">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81"/>
      <c r="P221" s="846"/>
      <c r="T221" s="467"/>
      <c r="U221" s="383"/>
      <c r="V221" s="383"/>
      <c r="W221" s="383"/>
      <c r="X221" s="385"/>
    </row>
    <row r="222" spans="1:24" x14ac:dyDescent="0.3">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81"/>
      <c r="P222" s="846"/>
      <c r="T222" s="467"/>
      <c r="U222" s="383"/>
      <c r="V222" s="383"/>
      <c r="W222" s="383"/>
      <c r="X222" s="385"/>
    </row>
    <row r="223" spans="1:24" x14ac:dyDescent="0.3">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81"/>
      <c r="P223" s="846"/>
      <c r="T223" s="467"/>
      <c r="U223" s="383"/>
      <c r="V223" s="383"/>
      <c r="W223" s="383"/>
      <c r="X223" s="385"/>
    </row>
    <row r="224" spans="1:24" x14ac:dyDescent="0.3">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81"/>
      <c r="P224" s="846"/>
      <c r="T224" s="467"/>
      <c r="U224" s="383"/>
      <c r="V224" s="383"/>
      <c r="W224" s="383"/>
      <c r="X224" s="385"/>
    </row>
    <row r="225" spans="1:24" x14ac:dyDescent="0.3">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81"/>
      <c r="P225" s="846"/>
      <c r="T225" s="467"/>
      <c r="U225" s="383"/>
      <c r="V225" s="383"/>
      <c r="W225" s="383"/>
      <c r="X225" s="385"/>
    </row>
    <row r="226" spans="1:24" x14ac:dyDescent="0.3">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81"/>
      <c r="P226" s="846"/>
      <c r="T226" s="467"/>
      <c r="U226" s="383"/>
      <c r="V226" s="383"/>
      <c r="W226" s="383"/>
      <c r="X226" s="385"/>
    </row>
    <row r="227" spans="1:24" x14ac:dyDescent="0.3">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31"/>
      <c r="P227" s="846"/>
      <c r="T227" s="467"/>
      <c r="U227" s="383"/>
      <c r="V227" s="383"/>
      <c r="W227" s="383"/>
      <c r="X227" s="385"/>
    </row>
    <row r="228" spans="1:24" x14ac:dyDescent="0.3">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31"/>
      <c r="P228" s="846"/>
      <c r="T228" s="467"/>
      <c r="U228" s="383"/>
      <c r="V228" s="383"/>
      <c r="W228" s="383"/>
      <c r="X228" s="385"/>
    </row>
    <row r="229" spans="1:24" x14ac:dyDescent="0.3">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31"/>
      <c r="P229" s="846"/>
      <c r="T229" s="467"/>
      <c r="U229" s="383"/>
      <c r="V229" s="383"/>
      <c r="W229" s="383"/>
      <c r="X229" s="385"/>
    </row>
    <row r="230" spans="1:24" x14ac:dyDescent="0.3">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31"/>
      <c r="P230" s="846"/>
      <c r="T230" s="467"/>
      <c r="U230" s="383"/>
      <c r="V230" s="383"/>
      <c r="W230" s="383"/>
      <c r="X230" s="385"/>
    </row>
    <row r="231" spans="1:24" x14ac:dyDescent="0.3">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31"/>
      <c r="P231" s="846"/>
      <c r="T231" s="467"/>
      <c r="U231" s="383"/>
      <c r="V231" s="383"/>
      <c r="W231" s="383"/>
      <c r="X231" s="385"/>
    </row>
    <row r="232" spans="1:24" x14ac:dyDescent="0.3">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25"/>
      <c r="P232" s="846"/>
      <c r="T232" s="467"/>
      <c r="U232" s="383"/>
      <c r="V232" s="383"/>
      <c r="W232" s="383"/>
      <c r="X232" s="385"/>
    </row>
    <row r="233" spans="1:24" x14ac:dyDescent="0.3">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25"/>
      <c r="P233" s="846"/>
      <c r="T233" s="467"/>
      <c r="U233" s="383"/>
      <c r="V233" s="383"/>
      <c r="W233" s="383"/>
      <c r="X233" s="385"/>
    </row>
    <row r="234" spans="1:24" x14ac:dyDescent="0.3">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25"/>
      <c r="P234" s="846"/>
      <c r="T234" s="467"/>
      <c r="U234" s="383"/>
      <c r="V234" s="383"/>
      <c r="W234" s="383"/>
      <c r="X234" s="385"/>
    </row>
    <row r="235" spans="1:24" x14ac:dyDescent="0.3">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25"/>
      <c r="P235" s="846"/>
      <c r="T235" s="467"/>
      <c r="U235" s="383"/>
      <c r="V235" s="383"/>
      <c r="W235" s="383"/>
      <c r="X235" s="385"/>
    </row>
    <row r="236" spans="1:24" x14ac:dyDescent="0.3">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25"/>
      <c r="P236" s="846"/>
      <c r="T236" s="467"/>
      <c r="U236" s="383"/>
      <c r="V236" s="383"/>
      <c r="W236" s="383"/>
      <c r="X236" s="385"/>
    </row>
    <row r="237" spans="1:24" x14ac:dyDescent="0.3">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25"/>
      <c r="P237" s="846"/>
      <c r="T237" s="467"/>
      <c r="U237" s="383"/>
      <c r="V237" s="383"/>
      <c r="W237" s="383"/>
      <c r="X237" s="385"/>
    </row>
    <row r="238" spans="1:24" x14ac:dyDescent="0.3">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25"/>
      <c r="P238" s="846"/>
      <c r="T238" s="467"/>
      <c r="U238" s="383"/>
      <c r="V238" s="383"/>
      <c r="W238" s="383"/>
      <c r="X238" s="385"/>
    </row>
    <row r="239" spans="1:24" x14ac:dyDescent="0.3">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25"/>
      <c r="P239" s="846"/>
      <c r="T239" s="467"/>
      <c r="U239" s="383"/>
      <c r="V239" s="383"/>
      <c r="W239" s="383"/>
      <c r="X239" s="385"/>
    </row>
    <row r="240" spans="1:24" x14ac:dyDescent="0.3">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25"/>
      <c r="P240" s="846"/>
      <c r="T240" s="467"/>
      <c r="U240" s="383"/>
      <c r="V240" s="383"/>
      <c r="W240" s="383"/>
      <c r="X240" s="385"/>
    </row>
    <row r="241" spans="1:24" x14ac:dyDescent="0.3">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25"/>
      <c r="P241" s="846"/>
      <c r="T241" s="467"/>
      <c r="U241" s="383"/>
      <c r="V241" s="383"/>
      <c r="W241" s="383"/>
      <c r="X241" s="385"/>
    </row>
    <row r="242" spans="1:24" x14ac:dyDescent="0.3">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25"/>
      <c r="P242" s="846"/>
      <c r="T242" s="467"/>
      <c r="U242" s="383"/>
      <c r="V242" s="383"/>
      <c r="W242" s="383"/>
      <c r="X242" s="385"/>
    </row>
    <row r="243" spans="1:24" x14ac:dyDescent="0.3">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25"/>
      <c r="P243" s="846"/>
      <c r="T243" s="467"/>
      <c r="U243" s="383"/>
      <c r="V243" s="383"/>
      <c r="W243" s="383"/>
      <c r="X243" s="385"/>
    </row>
    <row r="244" spans="1:24" x14ac:dyDescent="0.3">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25"/>
      <c r="P244" s="846"/>
      <c r="T244" s="467"/>
      <c r="U244" s="383"/>
      <c r="V244" s="383"/>
      <c r="W244" s="383"/>
      <c r="X244" s="385"/>
    </row>
    <row r="245" spans="1:24" x14ac:dyDescent="0.3">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25"/>
      <c r="P245" s="846"/>
      <c r="T245" s="467"/>
      <c r="U245" s="383"/>
      <c r="V245" s="383"/>
      <c r="W245" s="383"/>
      <c r="X245" s="385"/>
    </row>
    <row r="246" spans="1:24" x14ac:dyDescent="0.3">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25"/>
      <c r="P246" s="846"/>
      <c r="T246" s="467"/>
      <c r="U246" s="383"/>
      <c r="V246" s="383"/>
      <c r="W246" s="383"/>
      <c r="X246" s="385"/>
    </row>
    <row r="247" spans="1:24" x14ac:dyDescent="0.3">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25"/>
      <c r="P247" s="846"/>
      <c r="T247" s="467"/>
      <c r="U247" s="383"/>
      <c r="V247" s="383"/>
      <c r="W247" s="383"/>
      <c r="X247" s="385"/>
    </row>
    <row r="248" spans="1:24" x14ac:dyDescent="0.3">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25"/>
      <c r="P248" s="846"/>
      <c r="T248" s="467"/>
      <c r="U248" s="383"/>
      <c r="V248" s="383"/>
      <c r="W248" s="383"/>
      <c r="X248" s="385"/>
    </row>
    <row r="249" spans="1:24" x14ac:dyDescent="0.3">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25"/>
      <c r="P249" s="846"/>
      <c r="T249" s="467"/>
      <c r="U249" s="383"/>
      <c r="V249" s="383"/>
      <c r="W249" s="383"/>
      <c r="X249" s="385"/>
    </row>
    <row r="250" spans="1:24" x14ac:dyDescent="0.3">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25"/>
      <c r="P250" s="846"/>
      <c r="T250" s="467"/>
      <c r="U250" s="383"/>
      <c r="V250" s="383"/>
      <c r="W250" s="383"/>
      <c r="X250" s="385"/>
    </row>
    <row r="251" spans="1:24" x14ac:dyDescent="0.3">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725"/>
      <c r="P251" s="846"/>
      <c r="T251" s="467"/>
      <c r="U251" s="383"/>
      <c r="V251" s="383"/>
      <c r="W251" s="383"/>
      <c r="X251" s="385"/>
    </row>
    <row r="252" spans="1:24" x14ac:dyDescent="0.3">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725"/>
      <c r="P252" s="846"/>
      <c r="T252" s="467"/>
      <c r="U252" s="383"/>
      <c r="V252" s="383"/>
      <c r="W252" s="383"/>
      <c r="X252" s="385"/>
    </row>
    <row r="253" spans="1:24" x14ac:dyDescent="0.3">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725"/>
      <c r="P253" s="846"/>
      <c r="T253" s="467"/>
      <c r="U253" s="383"/>
      <c r="V253" s="383"/>
      <c r="W253" s="383"/>
      <c r="X253" s="385"/>
    </row>
    <row r="254" spans="1:24" x14ac:dyDescent="0.3">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708"/>
      <c r="P254" s="846"/>
      <c r="T254" s="467"/>
      <c r="U254" s="383"/>
      <c r="V254" s="383"/>
      <c r="W254" s="383"/>
      <c r="X254" s="385"/>
    </row>
    <row r="255" spans="1:24" x14ac:dyDescent="0.3">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708"/>
      <c r="P255" s="846"/>
      <c r="T255" s="467"/>
      <c r="U255" s="383"/>
      <c r="V255" s="383"/>
      <c r="W255" s="383"/>
      <c r="X255" s="385"/>
    </row>
    <row r="256" spans="1:24" x14ac:dyDescent="0.3">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708"/>
      <c r="P256" s="846"/>
      <c r="T256" s="467"/>
      <c r="U256" s="383"/>
      <c r="V256" s="383"/>
      <c r="W256" s="383"/>
      <c r="X256" s="385"/>
    </row>
    <row r="257" spans="1:24" x14ac:dyDescent="0.3">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708"/>
      <c r="P257" s="846"/>
      <c r="T257" s="467"/>
      <c r="U257" s="383"/>
      <c r="V257" s="383"/>
      <c r="W257" s="383"/>
      <c r="X257" s="385"/>
    </row>
    <row r="258" spans="1:24" x14ac:dyDescent="0.3">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708"/>
      <c r="P258" s="846"/>
      <c r="T258" s="467"/>
      <c r="U258" s="383"/>
      <c r="V258" s="383"/>
      <c r="W258" s="383"/>
      <c r="X258" s="385"/>
    </row>
    <row r="259" spans="1:24" x14ac:dyDescent="0.3">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708"/>
      <c r="P259" s="846"/>
      <c r="T259" s="467"/>
      <c r="U259" s="383"/>
      <c r="V259" s="383"/>
      <c r="W259" s="383"/>
      <c r="X259" s="385"/>
    </row>
    <row r="260" spans="1:24" x14ac:dyDescent="0.3">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708"/>
      <c r="P260" s="846"/>
      <c r="T260" s="467"/>
      <c r="U260" s="383"/>
      <c r="V260" s="383"/>
      <c r="W260" s="383"/>
      <c r="X260" s="385"/>
    </row>
    <row r="261" spans="1:24" x14ac:dyDescent="0.3">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708"/>
      <c r="P261" s="846"/>
      <c r="T261" s="467"/>
      <c r="U261" s="383"/>
      <c r="V261" s="383"/>
      <c r="W261" s="383"/>
      <c r="X261" s="385"/>
    </row>
    <row r="262" spans="1:24" x14ac:dyDescent="0.3">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708"/>
      <c r="P262" s="846"/>
      <c r="T262" s="467"/>
      <c r="U262" s="383"/>
      <c r="V262" s="383"/>
      <c r="W262" s="383"/>
      <c r="X262" s="385"/>
    </row>
    <row r="263" spans="1:24" x14ac:dyDescent="0.3">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708"/>
      <c r="P263" s="846"/>
      <c r="T263" s="467"/>
      <c r="U263" s="383"/>
      <c r="V263" s="383"/>
      <c r="W263" s="383"/>
      <c r="X263" s="385"/>
    </row>
    <row r="264" spans="1:24" x14ac:dyDescent="0.3">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708"/>
      <c r="P264" s="846"/>
      <c r="T264" s="467"/>
      <c r="U264" s="383"/>
      <c r="V264" s="383"/>
      <c r="W264" s="383"/>
      <c r="X264" s="385"/>
    </row>
    <row r="265" spans="1:24" x14ac:dyDescent="0.3">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708"/>
      <c r="P265" s="846"/>
      <c r="T265" s="467"/>
      <c r="U265" s="383"/>
      <c r="V265" s="383"/>
      <c r="W265" s="383"/>
      <c r="X265" s="385"/>
    </row>
    <row r="266" spans="1:24" x14ac:dyDescent="0.3">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708"/>
      <c r="P266" s="846"/>
      <c r="T266" s="467"/>
      <c r="U266" s="383"/>
      <c r="V266" s="383"/>
      <c r="W266" s="383"/>
      <c r="X266" s="385"/>
    </row>
    <row r="267" spans="1:24" x14ac:dyDescent="0.3">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708"/>
      <c r="P267" s="846"/>
      <c r="T267" s="467"/>
      <c r="U267" s="383"/>
      <c r="V267" s="383"/>
      <c r="W267" s="383"/>
      <c r="X267" s="385"/>
    </row>
    <row r="268" spans="1:24" x14ac:dyDescent="0.3">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708"/>
      <c r="P268" s="846"/>
      <c r="T268" s="467"/>
      <c r="U268" s="383"/>
      <c r="V268" s="383"/>
      <c r="W268" s="383"/>
      <c r="X268" s="385"/>
    </row>
    <row r="269" spans="1:24" x14ac:dyDescent="0.3">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708"/>
      <c r="P269" s="846"/>
      <c r="T269" s="467"/>
      <c r="U269" s="383"/>
      <c r="V269" s="383"/>
      <c r="W269" s="383"/>
      <c r="X269" s="385"/>
    </row>
    <row r="270" spans="1:24" x14ac:dyDescent="0.3">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708"/>
      <c r="P270" s="846"/>
      <c r="T270" s="467"/>
      <c r="U270" s="383"/>
      <c r="V270" s="383"/>
      <c r="W270" s="383"/>
      <c r="X270" s="385"/>
    </row>
    <row r="271" spans="1:24" x14ac:dyDescent="0.3">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708"/>
      <c r="P271" s="846"/>
      <c r="T271" s="467"/>
      <c r="U271" s="383"/>
      <c r="V271" s="383"/>
      <c r="W271" s="383"/>
      <c r="X271" s="385"/>
    </row>
    <row r="272" spans="1:24" x14ac:dyDescent="0.3">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708"/>
      <c r="P272" s="846"/>
      <c r="T272" s="467"/>
      <c r="U272" s="383"/>
      <c r="V272" s="383"/>
      <c r="W272" s="383"/>
      <c r="X272" s="385"/>
    </row>
    <row r="273" spans="1:24" x14ac:dyDescent="0.3">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708"/>
      <c r="P273" s="846"/>
      <c r="T273" s="467"/>
      <c r="U273" s="383"/>
      <c r="V273" s="383"/>
      <c r="W273" s="383"/>
      <c r="X273" s="385"/>
    </row>
    <row r="274" spans="1:24" x14ac:dyDescent="0.3">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708"/>
      <c r="P274" s="846"/>
      <c r="T274" s="467"/>
      <c r="U274" s="383"/>
      <c r="V274" s="383"/>
      <c r="W274" s="383"/>
      <c r="X274" s="385"/>
    </row>
    <row r="275" spans="1:24" x14ac:dyDescent="0.3">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708"/>
      <c r="P275" s="846"/>
      <c r="T275" s="467"/>
      <c r="U275" s="383"/>
      <c r="V275" s="383"/>
      <c r="W275" s="383"/>
      <c r="X275" s="385"/>
    </row>
    <row r="276" spans="1:24" x14ac:dyDescent="0.3">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708"/>
      <c r="P276" s="846"/>
      <c r="T276" s="467"/>
      <c r="U276" s="383"/>
      <c r="V276" s="383"/>
      <c r="W276" s="383"/>
      <c r="X276" s="385"/>
    </row>
    <row r="277" spans="1:24" x14ac:dyDescent="0.3">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708"/>
      <c r="P277" s="846"/>
      <c r="T277" s="467"/>
      <c r="U277" s="383"/>
      <c r="V277" s="383"/>
      <c r="W277" s="383"/>
      <c r="X277" s="385"/>
    </row>
    <row r="278" spans="1:24" x14ac:dyDescent="0.3">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708"/>
      <c r="P278" s="846"/>
      <c r="T278" s="467"/>
      <c r="U278" s="383"/>
      <c r="V278" s="383"/>
      <c r="W278" s="383"/>
      <c r="X278" s="385"/>
    </row>
    <row r="279" spans="1:24" x14ac:dyDescent="0.3">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708"/>
      <c r="P279" s="846"/>
      <c r="T279" s="467"/>
      <c r="U279" s="383"/>
      <c r="V279" s="383"/>
      <c r="W279" s="383"/>
      <c r="X279" s="385"/>
    </row>
    <row r="280" spans="1:24" x14ac:dyDescent="0.3">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708"/>
      <c r="P280" s="846"/>
      <c r="T280" s="467"/>
      <c r="U280" s="383"/>
      <c r="V280" s="383"/>
      <c r="W280" s="383"/>
      <c r="X280" s="385"/>
    </row>
    <row r="281" spans="1:24" x14ac:dyDescent="0.3">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708"/>
      <c r="P281" s="846"/>
      <c r="T281" s="467"/>
      <c r="U281" s="383"/>
      <c r="V281" s="383"/>
      <c r="W281" s="383"/>
      <c r="X281" s="385"/>
    </row>
    <row r="282" spans="1:24" x14ac:dyDescent="0.3">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706"/>
      <c r="P282" s="846"/>
      <c r="T282" s="467"/>
      <c r="U282" s="383"/>
      <c r="V282" s="383"/>
      <c r="W282" s="383"/>
      <c r="X282" s="385"/>
    </row>
    <row r="283" spans="1:24" x14ac:dyDescent="0.3">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706"/>
      <c r="P283" s="846"/>
      <c r="T283" s="467"/>
      <c r="U283" s="383"/>
      <c r="V283" s="383"/>
      <c r="W283" s="383"/>
      <c r="X283" s="385"/>
    </row>
    <row r="284" spans="1:24" x14ac:dyDescent="0.3">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706"/>
      <c r="P284" s="846"/>
      <c r="T284" s="467"/>
      <c r="U284" s="383"/>
      <c r="V284" s="383"/>
      <c r="W284" s="383"/>
      <c r="X284" s="385"/>
    </row>
    <row r="285" spans="1:24" x14ac:dyDescent="0.3">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706"/>
      <c r="P285" s="846"/>
      <c r="T285" s="467"/>
      <c r="U285" s="383"/>
      <c r="V285" s="383"/>
      <c r="W285" s="383"/>
      <c r="X285" s="385"/>
    </row>
    <row r="286" spans="1:24" x14ac:dyDescent="0.3">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706"/>
      <c r="P286" s="846"/>
      <c r="T286" s="467"/>
      <c r="U286" s="383"/>
      <c r="V286" s="383"/>
      <c r="W286" s="383"/>
      <c r="X286" s="385"/>
    </row>
    <row r="287" spans="1:24" x14ac:dyDescent="0.3">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683"/>
      <c r="P287" s="846"/>
      <c r="T287" s="467"/>
      <c r="U287" s="383"/>
      <c r="V287" s="383"/>
      <c r="W287" s="383"/>
      <c r="X287" s="385"/>
    </row>
    <row r="288" spans="1:24" x14ac:dyDescent="0.3">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683"/>
      <c r="P288" s="846"/>
      <c r="T288" s="467"/>
      <c r="U288" s="383"/>
      <c r="V288" s="383"/>
      <c r="W288" s="383"/>
      <c r="X288" s="385"/>
    </row>
    <row r="289" spans="1:24" x14ac:dyDescent="0.3">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683"/>
      <c r="P289" s="846"/>
      <c r="T289" s="467"/>
      <c r="U289" s="383"/>
      <c r="V289" s="383"/>
      <c r="W289" s="383"/>
      <c r="X289" s="385"/>
    </row>
    <row r="290" spans="1:24" x14ac:dyDescent="0.3">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683"/>
      <c r="P290" s="846"/>
      <c r="T290" s="467"/>
      <c r="U290" s="383"/>
      <c r="V290" s="383"/>
      <c r="W290" s="383"/>
      <c r="X290" s="385"/>
    </row>
    <row r="291" spans="1:24" x14ac:dyDescent="0.3">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683"/>
      <c r="P291" s="846"/>
      <c r="T291" s="467"/>
      <c r="U291" s="383"/>
      <c r="V291" s="383"/>
      <c r="W291" s="383"/>
      <c r="X291" s="385"/>
    </row>
    <row r="292" spans="1:24" x14ac:dyDescent="0.3">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683"/>
      <c r="P292" s="846"/>
      <c r="T292" s="467"/>
      <c r="U292" s="383"/>
      <c r="V292" s="383"/>
      <c r="W292" s="383"/>
      <c r="X292" s="385"/>
    </row>
    <row r="293" spans="1:24" x14ac:dyDescent="0.3">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683"/>
      <c r="P293" s="846"/>
      <c r="T293" s="467"/>
      <c r="U293" s="383"/>
      <c r="V293" s="383"/>
      <c r="W293" s="383"/>
      <c r="X293" s="385"/>
    </row>
    <row r="294" spans="1:24" x14ac:dyDescent="0.3">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683"/>
      <c r="P294" s="846"/>
      <c r="T294" s="467"/>
      <c r="U294" s="383"/>
      <c r="V294" s="383"/>
      <c r="W294" s="383"/>
      <c r="X294" s="385"/>
    </row>
    <row r="295" spans="1:24" x14ac:dyDescent="0.3">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683"/>
      <c r="P295" s="846"/>
      <c r="T295" s="467"/>
      <c r="U295" s="383"/>
      <c r="V295" s="383"/>
      <c r="W295" s="383"/>
      <c r="X295" s="385"/>
    </row>
    <row r="296" spans="1:24" x14ac:dyDescent="0.3">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683"/>
      <c r="P296" s="846"/>
      <c r="T296" s="467"/>
      <c r="U296" s="383"/>
      <c r="V296" s="383"/>
      <c r="W296" s="383"/>
      <c r="X296" s="385"/>
    </row>
    <row r="297" spans="1:24" x14ac:dyDescent="0.3">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683"/>
      <c r="P297" s="846"/>
      <c r="T297" s="467"/>
      <c r="U297" s="383"/>
      <c r="V297" s="383"/>
      <c r="W297" s="383"/>
      <c r="X297" s="385"/>
    </row>
    <row r="298" spans="1:24" x14ac:dyDescent="0.3">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683"/>
      <c r="P298" s="846"/>
      <c r="T298" s="467"/>
      <c r="U298" s="383"/>
      <c r="V298" s="383"/>
      <c r="W298" s="383"/>
      <c r="X298" s="385"/>
    </row>
    <row r="299" spans="1:24" x14ac:dyDescent="0.3">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683"/>
      <c r="P299" s="846"/>
      <c r="T299" s="467"/>
      <c r="U299" s="383"/>
      <c r="V299" s="383"/>
      <c r="W299" s="383"/>
      <c r="X299" s="385"/>
    </row>
    <row r="300" spans="1:24" x14ac:dyDescent="0.3">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683"/>
      <c r="P300" s="846"/>
      <c r="T300" s="467"/>
      <c r="U300" s="383"/>
      <c r="V300" s="383"/>
      <c r="W300" s="383"/>
      <c r="X300" s="385"/>
    </row>
    <row r="301" spans="1:24" x14ac:dyDescent="0.3">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683"/>
      <c r="P301" s="846"/>
      <c r="T301" s="467"/>
      <c r="U301" s="383"/>
      <c r="V301" s="383"/>
      <c r="W301" s="383"/>
      <c r="X301" s="385"/>
    </row>
    <row r="302" spans="1:24" x14ac:dyDescent="0.3">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9"/>
      <c r="P302" s="846"/>
    </row>
    <row r="303" spans="1:24" x14ac:dyDescent="0.3">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9"/>
      <c r="P303" s="846"/>
    </row>
    <row r="304" spans="1:24" x14ac:dyDescent="0.3">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9"/>
      <c r="P304" s="846"/>
    </row>
    <row r="305" spans="1:16" x14ac:dyDescent="0.3">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9"/>
      <c r="P305" s="846"/>
    </row>
    <row r="306" spans="1:16" x14ac:dyDescent="0.3">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8"/>
      <c r="P306" s="846"/>
    </row>
    <row r="307" spans="1:16" x14ac:dyDescent="0.3">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8"/>
      <c r="P307" s="846"/>
    </row>
    <row r="308" spans="1:16" x14ac:dyDescent="0.3">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8"/>
      <c r="P308" s="846"/>
    </row>
    <row r="309" spans="1:16" x14ac:dyDescent="0.3">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7"/>
      <c r="P309" s="846"/>
    </row>
    <row r="310" spans="1:16" x14ac:dyDescent="0.3">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7"/>
      <c r="P310" s="846"/>
    </row>
    <row r="311" spans="1:16" x14ac:dyDescent="0.3">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7"/>
      <c r="P311" s="846"/>
    </row>
    <row r="312" spans="1:16" x14ac:dyDescent="0.3">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7"/>
      <c r="P312" s="846"/>
    </row>
    <row r="313" spans="1:16" x14ac:dyDescent="0.3">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6"/>
      <c r="P313" s="846"/>
    </row>
    <row r="314" spans="1:16" x14ac:dyDescent="0.3">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6"/>
      <c r="P314" s="846"/>
    </row>
    <row r="315" spans="1:16" x14ac:dyDescent="0.3">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6"/>
      <c r="P315" s="846"/>
    </row>
    <row r="316" spans="1:16" x14ac:dyDescent="0.3">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6"/>
      <c r="P316" s="846"/>
    </row>
    <row r="317" spans="1:16" x14ac:dyDescent="0.3">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6"/>
      <c r="P317" s="846"/>
    </row>
    <row r="318" spans="1:16" x14ac:dyDescent="0.3">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6"/>
      <c r="P318" s="846"/>
    </row>
    <row r="319" spans="1:16" x14ac:dyDescent="0.3">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6"/>
      <c r="P319" s="846"/>
    </row>
    <row r="320" spans="1:16" x14ac:dyDescent="0.3">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6"/>
      <c r="P320" s="846"/>
    </row>
    <row r="321" spans="1:16" x14ac:dyDescent="0.3">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6"/>
      <c r="P321" s="846"/>
    </row>
    <row r="322" spans="1:16" x14ac:dyDescent="0.3">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6"/>
      <c r="P322" s="846"/>
    </row>
    <row r="323" spans="1:16" x14ac:dyDescent="0.3">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6"/>
      <c r="P323" s="846"/>
    </row>
    <row r="324" spans="1:16" x14ac:dyDescent="0.3">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6"/>
      <c r="P324" s="846"/>
    </row>
    <row r="325" spans="1:16" x14ac:dyDescent="0.3">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6"/>
      <c r="P325" s="846"/>
    </row>
    <row r="326" spans="1:16" x14ac:dyDescent="0.3">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6"/>
      <c r="P326" s="846"/>
    </row>
    <row r="327" spans="1:16" x14ac:dyDescent="0.3">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6"/>
      <c r="P327" s="846"/>
    </row>
    <row r="328" spans="1:16" x14ac:dyDescent="0.3">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6"/>
      <c r="P328" s="846"/>
    </row>
    <row r="329" spans="1:16" x14ac:dyDescent="0.3">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6"/>
      <c r="P329" s="846"/>
    </row>
    <row r="330" spans="1:16" x14ac:dyDescent="0.3">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6"/>
      <c r="P330" s="846"/>
    </row>
    <row r="331" spans="1:16" x14ac:dyDescent="0.3">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6"/>
      <c r="P331" s="846"/>
    </row>
    <row r="332" spans="1:16" x14ac:dyDescent="0.3">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6"/>
      <c r="P332" s="846"/>
    </row>
    <row r="333" spans="1:16" x14ac:dyDescent="0.3">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6"/>
      <c r="P333" s="846"/>
    </row>
    <row r="334" spans="1:16" x14ac:dyDescent="0.3">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6"/>
      <c r="P334" s="846"/>
    </row>
    <row r="335" spans="1:16" x14ac:dyDescent="0.3">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6"/>
      <c r="P335" s="846"/>
    </row>
    <row r="336" spans="1:16" x14ac:dyDescent="0.3">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6"/>
      <c r="P336" s="846"/>
    </row>
    <row r="337" spans="1:16" x14ac:dyDescent="0.3">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6"/>
      <c r="P337" s="846"/>
    </row>
    <row r="338" spans="1:16" x14ac:dyDescent="0.3">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6"/>
      <c r="P338" s="846"/>
    </row>
    <row r="339" spans="1:16" x14ac:dyDescent="0.3">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6"/>
      <c r="P339" s="846"/>
    </row>
    <row r="340" spans="1:16" x14ac:dyDescent="0.3">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x14ac:dyDescent="0.3">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x14ac:dyDescent="0.3">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x14ac:dyDescent="0.3">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x14ac:dyDescent="0.3">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x14ac:dyDescent="0.3">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x14ac:dyDescent="0.3">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x14ac:dyDescent="0.3">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x14ac:dyDescent="0.3">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x14ac:dyDescent="0.3">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x14ac:dyDescent="0.3">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x14ac:dyDescent="0.3">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x14ac:dyDescent="0.3">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846"/>
    </row>
    <row r="353" spans="1:24" x14ac:dyDescent="0.3">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846"/>
    </row>
    <row r="354" spans="1:24" x14ac:dyDescent="0.3">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846"/>
    </row>
    <row r="355" spans="1:24" x14ac:dyDescent="0.3">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846"/>
    </row>
    <row r="356" spans="1:24" x14ac:dyDescent="0.3">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846"/>
      <c r="T356" s="386"/>
      <c r="U356" s="383"/>
      <c r="V356" s="383"/>
      <c r="W356" s="383"/>
      <c r="X356" s="385"/>
    </row>
    <row r="357" spans="1:24" x14ac:dyDescent="0.3">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846"/>
      <c r="T357" s="386"/>
      <c r="U357" s="383"/>
      <c r="V357" s="383"/>
      <c r="W357" s="383"/>
      <c r="X357" s="385"/>
    </row>
    <row r="358" spans="1:24" x14ac:dyDescent="0.3">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846"/>
      <c r="T358" s="386"/>
      <c r="U358" s="383"/>
      <c r="V358" s="383"/>
      <c r="W358" s="383"/>
      <c r="X358" s="385"/>
    </row>
    <row r="359" spans="1:24" x14ac:dyDescent="0.3">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846"/>
      <c r="T359" s="386"/>
      <c r="U359" s="383"/>
      <c r="V359" s="383"/>
      <c r="W359" s="383"/>
      <c r="X359" s="385"/>
    </row>
    <row r="360" spans="1:24" x14ac:dyDescent="0.3">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846"/>
      <c r="T360" s="386"/>
      <c r="U360" s="383"/>
      <c r="V360" s="383"/>
      <c r="W360" s="383"/>
      <c r="X360" s="385"/>
    </row>
    <row r="361" spans="1:24" x14ac:dyDescent="0.3">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846"/>
      <c r="T361" s="386"/>
      <c r="U361" s="383"/>
      <c r="V361" s="383"/>
      <c r="W361" s="383"/>
      <c r="X361" s="385"/>
    </row>
    <row r="362" spans="1:24" x14ac:dyDescent="0.3">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846"/>
      <c r="T362" s="386"/>
      <c r="U362" s="383"/>
      <c r="V362" s="383"/>
      <c r="W362" s="383"/>
      <c r="X362" s="385"/>
    </row>
    <row r="363" spans="1:24" x14ac:dyDescent="0.3">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846"/>
      <c r="T363" s="386"/>
      <c r="U363" s="383"/>
      <c r="V363" s="383"/>
      <c r="W363" s="383"/>
      <c r="X363" s="385"/>
    </row>
    <row r="364" spans="1:24" x14ac:dyDescent="0.3">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846"/>
      <c r="T364" s="386"/>
      <c r="U364" s="383"/>
      <c r="V364" s="383"/>
      <c r="W364" s="383"/>
      <c r="X364" s="385"/>
    </row>
    <row r="365" spans="1:24" x14ac:dyDescent="0.3">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846"/>
      <c r="T365" s="386"/>
      <c r="U365" s="383"/>
      <c r="V365" s="383"/>
      <c r="W365" s="383"/>
      <c r="X365" s="385"/>
    </row>
    <row r="366" spans="1:24" x14ac:dyDescent="0.3">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846"/>
      <c r="T366" s="386"/>
      <c r="U366" s="383"/>
      <c r="V366" s="383"/>
      <c r="W366" s="383"/>
      <c r="X366" s="385"/>
    </row>
    <row r="367" spans="1:24" x14ac:dyDescent="0.3">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846"/>
      <c r="T367" s="386"/>
      <c r="U367" s="383"/>
      <c r="V367" s="383"/>
      <c r="W367" s="383"/>
      <c r="X367" s="385"/>
    </row>
    <row r="368" spans="1:24" x14ac:dyDescent="0.3">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846"/>
      <c r="T368" s="386"/>
      <c r="U368" s="383"/>
      <c r="V368" s="383"/>
      <c r="W368" s="383"/>
      <c r="X368" s="385"/>
    </row>
    <row r="369" spans="1:24" x14ac:dyDescent="0.3">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846"/>
      <c r="T369" s="386"/>
      <c r="U369" s="383"/>
      <c r="V369" s="383"/>
      <c r="W369" s="383"/>
      <c r="X369" s="385"/>
    </row>
    <row r="370" spans="1:24" x14ac:dyDescent="0.3">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846"/>
      <c r="T370" s="386"/>
      <c r="U370" s="383"/>
      <c r="V370" s="383"/>
      <c r="W370" s="383"/>
      <c r="X370" s="385"/>
    </row>
    <row r="371" spans="1:24" x14ac:dyDescent="0.3">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846"/>
      <c r="T371" s="386"/>
      <c r="U371" s="383"/>
      <c r="V371" s="383"/>
      <c r="W371" s="383"/>
      <c r="X371" s="385"/>
    </row>
    <row r="372" spans="1:24" x14ac:dyDescent="0.3">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846"/>
      <c r="T372" s="386"/>
      <c r="U372" s="383"/>
      <c r="V372" s="383"/>
      <c r="W372" s="383"/>
      <c r="X372" s="385"/>
    </row>
    <row r="373" spans="1:24" x14ac:dyDescent="0.3">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846"/>
      <c r="T373" s="386"/>
      <c r="U373" s="383"/>
      <c r="V373" s="383"/>
      <c r="W373" s="383"/>
      <c r="X373" s="385"/>
    </row>
    <row r="374" spans="1:24" x14ac:dyDescent="0.3">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846"/>
      <c r="T374" s="386"/>
      <c r="U374" s="383"/>
      <c r="V374" s="383"/>
      <c r="W374" s="383"/>
      <c r="X374" s="385"/>
    </row>
    <row r="375" spans="1:24" x14ac:dyDescent="0.3">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846"/>
      <c r="T375" s="386"/>
      <c r="U375" s="383"/>
      <c r="V375" s="383"/>
      <c r="W375" s="383"/>
      <c r="X375" s="385"/>
    </row>
    <row r="376" spans="1:24" x14ac:dyDescent="0.3">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5"/>
      <c r="P376" s="846"/>
      <c r="T376" s="386"/>
      <c r="U376" s="383"/>
      <c r="V376" s="383"/>
      <c r="W376" s="383"/>
      <c r="X376" s="385"/>
    </row>
    <row r="377" spans="1:24" x14ac:dyDescent="0.3">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5"/>
      <c r="P377" s="846"/>
      <c r="T377" s="386"/>
      <c r="U377" s="383"/>
      <c r="V377" s="383"/>
      <c r="W377" s="383"/>
      <c r="X377" s="385"/>
    </row>
    <row r="378" spans="1:24" x14ac:dyDescent="0.3">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5"/>
      <c r="P378" s="846"/>
      <c r="T378" s="386"/>
      <c r="U378" s="383"/>
      <c r="V378" s="383"/>
      <c r="W378" s="383"/>
      <c r="X378" s="385"/>
    </row>
    <row r="379" spans="1:24" x14ac:dyDescent="0.3">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5"/>
      <c r="P379" s="846"/>
      <c r="T379" s="386"/>
      <c r="U379" s="383"/>
      <c r="V379" s="383"/>
      <c r="W379" s="383"/>
      <c r="X379" s="385"/>
    </row>
    <row r="380" spans="1:24" x14ac:dyDescent="0.3">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5"/>
      <c r="P380" s="846"/>
      <c r="T380" s="386"/>
      <c r="U380" s="383"/>
      <c r="V380" s="383"/>
      <c r="W380" s="383"/>
      <c r="X380" s="385"/>
    </row>
    <row r="381" spans="1:24" x14ac:dyDescent="0.3">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5"/>
      <c r="P381" s="846"/>
      <c r="T381" s="386"/>
      <c r="U381" s="383"/>
      <c r="V381" s="383"/>
      <c r="W381" s="383"/>
      <c r="X381" s="385"/>
    </row>
    <row r="382" spans="1:24" x14ac:dyDescent="0.3">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5"/>
      <c r="P382" s="846"/>
      <c r="T382" s="386"/>
      <c r="U382" s="383"/>
      <c r="V382" s="383"/>
      <c r="W382" s="383"/>
      <c r="X382" s="385"/>
    </row>
    <row r="383" spans="1:24" x14ac:dyDescent="0.3">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5"/>
      <c r="P383" s="846"/>
      <c r="T383" s="386"/>
      <c r="U383" s="383"/>
      <c r="V383" s="383"/>
      <c r="W383" s="383"/>
      <c r="X383" s="385"/>
    </row>
    <row r="384" spans="1:24" x14ac:dyDescent="0.3">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5"/>
      <c r="P384" s="846"/>
      <c r="T384" s="386"/>
      <c r="U384" s="383"/>
      <c r="V384" s="383"/>
      <c r="W384" s="383"/>
      <c r="X384" s="385"/>
    </row>
    <row r="385" spans="1:24" x14ac:dyDescent="0.3">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5"/>
      <c r="P385" s="846"/>
      <c r="T385" s="386"/>
      <c r="U385" s="383"/>
      <c r="V385" s="383"/>
      <c r="W385" s="383"/>
      <c r="X385" s="385"/>
    </row>
    <row r="386" spans="1:24" x14ac:dyDescent="0.3">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5"/>
      <c r="P386" s="846"/>
      <c r="T386" s="386"/>
      <c r="U386" s="383"/>
      <c r="V386" s="383"/>
      <c r="W386" s="383"/>
      <c r="X386" s="385"/>
    </row>
    <row r="387" spans="1:24" x14ac:dyDescent="0.3">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5"/>
      <c r="P387" s="846"/>
      <c r="T387" s="386"/>
      <c r="U387" s="383"/>
      <c r="V387" s="383"/>
      <c r="W387" s="383"/>
      <c r="X387" s="385"/>
    </row>
    <row r="388" spans="1:24" x14ac:dyDescent="0.3">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15"/>
      <c r="P388" s="846"/>
      <c r="T388" s="386"/>
      <c r="U388" s="383"/>
      <c r="V388" s="383"/>
      <c r="W388" s="383"/>
      <c r="X388" s="385"/>
    </row>
    <row r="389" spans="1:24" x14ac:dyDescent="0.3">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15"/>
      <c r="P389" s="846"/>
      <c r="T389" s="386"/>
      <c r="U389" s="383"/>
      <c r="V389" s="383"/>
      <c r="W389" s="383"/>
      <c r="X389" s="385"/>
    </row>
    <row r="390" spans="1:24" x14ac:dyDescent="0.3">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15"/>
      <c r="P390" s="846"/>
      <c r="T390" s="386"/>
      <c r="U390" s="383"/>
      <c r="V390" s="383"/>
      <c r="W390" s="383"/>
      <c r="X390" s="385"/>
    </row>
    <row r="391" spans="1:24" x14ac:dyDescent="0.3">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15"/>
      <c r="P391" s="846"/>
      <c r="T391" s="386"/>
      <c r="U391" s="383"/>
      <c r="V391" s="383"/>
      <c r="W391" s="383"/>
      <c r="X391" s="385"/>
    </row>
    <row r="392" spans="1:24" x14ac:dyDescent="0.3">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15"/>
      <c r="P392" s="846"/>
      <c r="T392" s="386"/>
      <c r="U392" s="383"/>
      <c r="V392" s="383"/>
      <c r="W392" s="383"/>
      <c r="X392" s="385"/>
    </row>
    <row r="393" spans="1:24" x14ac:dyDescent="0.3">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15"/>
      <c r="P393" s="846"/>
      <c r="T393" s="386"/>
      <c r="U393" s="383"/>
      <c r="V393" s="383"/>
      <c r="W393" s="383"/>
      <c r="X393" s="385"/>
    </row>
    <row r="394" spans="1:24" x14ac:dyDescent="0.3">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15"/>
      <c r="P394" s="846"/>
      <c r="T394" s="386"/>
      <c r="U394" s="383"/>
      <c r="V394" s="383"/>
      <c r="W394" s="383"/>
      <c r="X394" s="385"/>
    </row>
    <row r="395" spans="1:24" x14ac:dyDescent="0.3">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15"/>
      <c r="P395" s="846"/>
      <c r="T395" s="386"/>
      <c r="U395" s="383"/>
      <c r="V395" s="383"/>
      <c r="W395" s="383"/>
      <c r="X395" s="385"/>
    </row>
    <row r="396" spans="1:24" x14ac:dyDescent="0.3">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15"/>
      <c r="P396" s="846"/>
      <c r="T396" s="386"/>
      <c r="U396" s="383"/>
      <c r="V396" s="383"/>
      <c r="W396" s="383"/>
      <c r="X396" s="385"/>
    </row>
    <row r="397" spans="1:24" x14ac:dyDescent="0.3">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15"/>
      <c r="P397" s="683"/>
      <c r="T397" s="386"/>
      <c r="U397" s="383"/>
      <c r="V397" s="383"/>
      <c r="W397" s="383"/>
      <c r="X397" s="385"/>
    </row>
    <row r="398" spans="1:24" x14ac:dyDescent="0.3">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15"/>
      <c r="P398" s="683"/>
      <c r="T398" s="386"/>
      <c r="U398" s="383"/>
      <c r="V398" s="383"/>
      <c r="W398" s="383"/>
      <c r="X398" s="385"/>
    </row>
    <row r="399" spans="1:24" x14ac:dyDescent="0.3">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15"/>
      <c r="P399" s="683"/>
      <c r="T399" s="386"/>
      <c r="U399" s="383"/>
      <c r="V399" s="383"/>
      <c r="W399" s="383"/>
      <c r="X399" s="385"/>
    </row>
    <row r="400" spans="1:24" x14ac:dyDescent="0.3">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15"/>
      <c r="P400" s="683"/>
      <c r="T400" s="386"/>
      <c r="U400" s="383"/>
      <c r="V400" s="383"/>
      <c r="W400" s="383"/>
      <c r="X400" s="385"/>
    </row>
    <row r="401" spans="1:24" x14ac:dyDescent="0.3">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15"/>
      <c r="P401" s="683"/>
      <c r="T401" s="386"/>
      <c r="U401" s="383"/>
      <c r="V401" s="383"/>
      <c r="W401" s="383"/>
      <c r="X401" s="385"/>
    </row>
    <row r="402" spans="1:24" x14ac:dyDescent="0.3">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15"/>
      <c r="P402" s="683"/>
      <c r="T402" s="386"/>
      <c r="U402" s="383"/>
      <c r="V402" s="383"/>
      <c r="W402" s="383"/>
      <c r="X402" s="385"/>
    </row>
    <row r="403" spans="1:24" x14ac:dyDescent="0.3">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15"/>
      <c r="P403" s="683"/>
      <c r="T403" s="386"/>
      <c r="U403" s="383"/>
      <c r="V403" s="383"/>
      <c r="W403" s="383"/>
      <c r="X403" s="385"/>
    </row>
    <row r="404" spans="1:24" x14ac:dyDescent="0.3">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15"/>
      <c r="P404" s="683"/>
      <c r="T404" s="386"/>
      <c r="U404" s="383"/>
      <c r="V404" s="383"/>
      <c r="W404" s="383"/>
      <c r="X404" s="385"/>
    </row>
    <row r="405" spans="1:24" x14ac:dyDescent="0.3">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15"/>
      <c r="P405" s="683"/>
      <c r="T405" s="386"/>
      <c r="U405" s="383"/>
      <c r="V405" s="383"/>
      <c r="W405" s="383"/>
      <c r="X405" s="385"/>
    </row>
    <row r="406" spans="1:24" x14ac:dyDescent="0.3">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15"/>
      <c r="P406" s="683"/>
      <c r="T406" s="386"/>
      <c r="U406" s="383"/>
      <c r="V406" s="383"/>
      <c r="W406" s="383"/>
      <c r="X406" s="385"/>
    </row>
    <row r="407" spans="1:24" x14ac:dyDescent="0.3">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15"/>
      <c r="P407" s="683"/>
      <c r="T407" s="386"/>
      <c r="U407" s="383"/>
      <c r="V407" s="383"/>
      <c r="W407" s="383"/>
      <c r="X407" s="385"/>
    </row>
    <row r="408" spans="1:24" x14ac:dyDescent="0.3">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15"/>
      <c r="P408" s="683"/>
      <c r="T408" s="386"/>
      <c r="U408" s="383"/>
      <c r="V408" s="383"/>
      <c r="W408" s="383"/>
      <c r="X408" s="385"/>
    </row>
    <row r="409" spans="1:24" x14ac:dyDescent="0.3">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15"/>
      <c r="P409" s="683"/>
      <c r="T409" s="386"/>
      <c r="U409" s="383"/>
      <c r="V409" s="383"/>
      <c r="W409" s="383"/>
      <c r="X409" s="385"/>
    </row>
    <row r="410" spans="1:24" x14ac:dyDescent="0.3">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15"/>
      <c r="P410" s="683"/>
      <c r="T410" s="386"/>
      <c r="U410" s="383"/>
      <c r="V410" s="383"/>
      <c r="W410" s="383"/>
      <c r="X410" s="385"/>
    </row>
    <row r="411" spans="1:24" x14ac:dyDescent="0.3">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15"/>
      <c r="P411" s="683"/>
      <c r="T411" s="386"/>
      <c r="U411" s="383"/>
      <c r="V411" s="383"/>
      <c r="W411" s="383"/>
      <c r="X411" s="385"/>
    </row>
    <row r="412" spans="1:24" x14ac:dyDescent="0.3">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14"/>
      <c r="P412" s="683"/>
      <c r="T412" s="386"/>
      <c r="U412" s="383"/>
      <c r="V412" s="383"/>
      <c r="W412" s="383"/>
      <c r="X412" s="385"/>
    </row>
    <row r="413" spans="1:24" x14ac:dyDescent="0.3">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514"/>
      <c r="P413" s="683"/>
      <c r="T413" s="386"/>
      <c r="U413" s="383"/>
      <c r="V413" s="383"/>
      <c r="W413" s="383"/>
      <c r="X413" s="385"/>
    </row>
    <row r="414" spans="1:24" x14ac:dyDescent="0.3">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514"/>
      <c r="P414" s="683"/>
      <c r="T414" s="386"/>
      <c r="U414" s="383"/>
      <c r="V414" s="383"/>
      <c r="W414" s="383"/>
      <c r="X414" s="385"/>
    </row>
    <row r="415" spans="1:24" x14ac:dyDescent="0.3">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513"/>
      <c r="P415" s="683"/>
      <c r="T415" s="386"/>
      <c r="U415" s="383"/>
      <c r="V415" s="383"/>
      <c r="W415" s="383"/>
      <c r="X415" s="385"/>
    </row>
    <row r="416" spans="1:24" x14ac:dyDescent="0.3">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513"/>
      <c r="P416" s="683"/>
      <c r="T416" s="386"/>
      <c r="U416" s="383"/>
      <c r="V416" s="383"/>
      <c r="W416" s="383"/>
      <c r="X416" s="385"/>
    </row>
    <row r="417" spans="1:24" x14ac:dyDescent="0.3">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513"/>
      <c r="P417" s="683"/>
      <c r="T417" s="386"/>
      <c r="U417" s="383"/>
      <c r="V417" s="383"/>
      <c r="W417" s="383"/>
      <c r="X417" s="385"/>
    </row>
    <row r="418" spans="1:24" x14ac:dyDescent="0.3">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513"/>
      <c r="P418" s="683"/>
      <c r="T418" s="386"/>
      <c r="U418" s="383"/>
      <c r="V418" s="383"/>
      <c r="W418" s="383"/>
      <c r="X418" s="385"/>
    </row>
    <row r="419" spans="1:24" x14ac:dyDescent="0.3">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513"/>
      <c r="P419" s="683"/>
      <c r="T419" s="386"/>
      <c r="U419" s="383"/>
      <c r="V419" s="383"/>
      <c r="W419" s="383"/>
      <c r="X419" s="385"/>
    </row>
    <row r="420" spans="1:24" x14ac:dyDescent="0.3">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513"/>
      <c r="P420" s="683"/>
      <c r="T420" s="386"/>
      <c r="U420" s="383"/>
      <c r="V420" s="383"/>
      <c r="W420" s="383"/>
      <c r="X420" s="385"/>
    </row>
    <row r="421" spans="1:24" x14ac:dyDescent="0.3">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513"/>
      <c r="P421" s="683"/>
      <c r="T421" s="386"/>
      <c r="U421" s="383"/>
      <c r="V421" s="383"/>
      <c r="W421" s="383"/>
      <c r="X421" s="385"/>
    </row>
    <row r="422" spans="1:24" x14ac:dyDescent="0.3">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513"/>
      <c r="P422" s="669"/>
      <c r="T422" s="386"/>
      <c r="U422" s="383"/>
      <c r="V422" s="383"/>
      <c r="W422" s="383"/>
      <c r="X422" s="385"/>
    </row>
    <row r="423" spans="1:24" x14ac:dyDescent="0.3">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513"/>
      <c r="P423" s="669"/>
      <c r="T423" s="386"/>
      <c r="U423" s="383"/>
      <c r="V423" s="383"/>
      <c r="W423" s="383"/>
      <c r="X423" s="385"/>
    </row>
    <row r="424" spans="1:24" x14ac:dyDescent="0.3">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506"/>
      <c r="P424" s="669"/>
      <c r="T424" s="386"/>
      <c r="U424" s="383"/>
      <c r="V424" s="383"/>
      <c r="W424" s="383"/>
      <c r="X424" s="385"/>
    </row>
    <row r="425" spans="1:24" x14ac:dyDescent="0.3">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506"/>
      <c r="P425" s="669"/>
      <c r="T425" s="386"/>
      <c r="U425" s="383"/>
      <c r="V425" s="383"/>
      <c r="W425" s="383"/>
      <c r="X425" s="385"/>
    </row>
    <row r="426" spans="1:24" x14ac:dyDescent="0.3">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506"/>
      <c r="P426" s="669"/>
      <c r="T426" s="386"/>
      <c r="U426" s="383"/>
      <c r="V426" s="383"/>
      <c r="W426" s="383"/>
      <c r="X426" s="385"/>
    </row>
    <row r="427" spans="1:24" x14ac:dyDescent="0.3">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506"/>
      <c r="P427" s="516"/>
      <c r="T427" s="386"/>
      <c r="U427" s="383"/>
      <c r="V427" s="383"/>
      <c r="W427" s="383"/>
      <c r="X427" s="385"/>
    </row>
    <row r="428" spans="1:24" x14ac:dyDescent="0.3">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506"/>
      <c r="P428" s="516"/>
      <c r="T428" s="386"/>
      <c r="U428" s="383"/>
      <c r="V428" s="383"/>
      <c r="W428" s="383"/>
      <c r="X428" s="385"/>
    </row>
    <row r="429" spans="1:24" x14ac:dyDescent="0.3">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506"/>
      <c r="P429" s="516"/>
      <c r="T429" s="386"/>
      <c r="U429" s="383"/>
      <c r="V429" s="383"/>
      <c r="W429" s="383"/>
      <c r="X429" s="385"/>
    </row>
    <row r="430" spans="1:24" x14ac:dyDescent="0.3">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506"/>
      <c r="P430" s="516"/>
      <c r="T430" s="386"/>
      <c r="U430" s="383"/>
      <c r="V430" s="383"/>
      <c r="W430" s="383"/>
      <c r="X430" s="385"/>
    </row>
    <row r="431" spans="1:24" x14ac:dyDescent="0.3">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506"/>
      <c r="P431" s="516"/>
      <c r="T431" s="386"/>
      <c r="U431" s="383"/>
      <c r="V431" s="383"/>
      <c r="W431" s="383"/>
      <c r="X431" s="385"/>
    </row>
    <row r="432" spans="1:24" x14ac:dyDescent="0.3">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506"/>
      <c r="P432" s="516"/>
      <c r="T432" s="386"/>
      <c r="U432" s="383"/>
      <c r="V432" s="383"/>
      <c r="W432" s="383"/>
      <c r="X432" s="385"/>
    </row>
    <row r="433" spans="1:24" x14ac:dyDescent="0.3">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506"/>
      <c r="P433" s="516"/>
      <c r="T433" s="386"/>
      <c r="U433" s="383"/>
      <c r="V433" s="383"/>
      <c r="W433" s="383"/>
      <c r="X433" s="385"/>
    </row>
    <row r="434" spans="1:24" x14ac:dyDescent="0.3">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506"/>
      <c r="P434" s="516"/>
      <c r="T434" s="386"/>
      <c r="U434" s="383"/>
      <c r="V434" s="383"/>
      <c r="W434" s="383"/>
      <c r="X434" s="385"/>
    </row>
    <row r="435" spans="1:24" x14ac:dyDescent="0.3">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506"/>
      <c r="P435" s="516"/>
      <c r="T435" s="386"/>
      <c r="U435" s="383"/>
      <c r="V435" s="383"/>
      <c r="W435" s="383"/>
      <c r="X435" s="385"/>
    </row>
    <row r="436" spans="1:24" x14ac:dyDescent="0.3">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506"/>
      <c r="P436" s="516"/>
      <c r="T436" s="386"/>
      <c r="U436" s="383"/>
      <c r="V436" s="383"/>
      <c r="W436" s="383"/>
      <c r="X436" s="385"/>
    </row>
    <row r="437" spans="1:24" x14ac:dyDescent="0.3">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506"/>
      <c r="P437" s="516"/>
      <c r="T437" s="386"/>
      <c r="U437" s="383"/>
      <c r="V437" s="383"/>
      <c r="W437" s="383"/>
      <c r="X437" s="385"/>
    </row>
    <row r="438" spans="1:24" x14ac:dyDescent="0.3">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506"/>
      <c r="P438" s="516"/>
      <c r="T438" s="386"/>
      <c r="U438" s="383"/>
      <c r="V438" s="383"/>
      <c r="W438" s="383"/>
      <c r="X438" s="385"/>
    </row>
    <row r="439" spans="1:24" x14ac:dyDescent="0.3">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506"/>
      <c r="P439" s="516"/>
      <c r="T439" s="386"/>
      <c r="U439" s="383"/>
      <c r="V439" s="383"/>
      <c r="W439" s="383"/>
      <c r="X439" s="385"/>
    </row>
    <row r="440" spans="1:24" x14ac:dyDescent="0.3">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506"/>
      <c r="P440" s="516"/>
      <c r="T440" s="386"/>
      <c r="U440" s="383"/>
      <c r="V440" s="383"/>
      <c r="W440" s="383"/>
      <c r="X440" s="385"/>
    </row>
    <row r="441" spans="1:24" x14ac:dyDescent="0.3">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506"/>
      <c r="P441" s="516"/>
      <c r="T441" s="386"/>
      <c r="U441" s="383"/>
      <c r="V441" s="383"/>
      <c r="W441" s="383"/>
      <c r="X441" s="385"/>
    </row>
    <row r="442" spans="1:24" x14ac:dyDescent="0.3">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506"/>
      <c r="P442" s="516"/>
      <c r="T442" s="386"/>
      <c r="U442" s="383"/>
      <c r="V442" s="383"/>
      <c r="W442" s="383"/>
      <c r="X442" s="385"/>
    </row>
    <row r="443" spans="1:24" x14ac:dyDescent="0.3">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503"/>
      <c r="P443" s="516"/>
      <c r="T443" s="386"/>
      <c r="U443" s="383"/>
      <c r="V443" s="383"/>
      <c r="W443" s="383"/>
      <c r="X443" s="385"/>
    </row>
    <row r="444" spans="1:24" x14ac:dyDescent="0.3">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503"/>
      <c r="P444" s="516"/>
      <c r="T444" s="386"/>
      <c r="U444" s="383"/>
      <c r="V444" s="383"/>
      <c r="W444" s="383"/>
      <c r="X444" s="385"/>
    </row>
    <row r="445" spans="1:24" x14ac:dyDescent="0.3">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502"/>
      <c r="P445" s="516"/>
      <c r="T445" s="386"/>
      <c r="U445" s="383"/>
      <c r="V445" s="383"/>
      <c r="W445" s="383"/>
      <c r="X445" s="385"/>
    </row>
    <row r="446" spans="1:24" x14ac:dyDescent="0.3">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502"/>
      <c r="P446" s="516"/>
      <c r="T446" s="386"/>
      <c r="U446" s="383"/>
      <c r="V446" s="383"/>
      <c r="W446" s="383"/>
      <c r="X446" s="385"/>
    </row>
    <row r="447" spans="1:24" x14ac:dyDescent="0.3">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502"/>
      <c r="P447" s="516"/>
      <c r="T447" s="386"/>
      <c r="U447" s="383"/>
      <c r="V447" s="383"/>
      <c r="W447" s="383"/>
      <c r="X447" s="385"/>
    </row>
    <row r="448" spans="1:24" x14ac:dyDescent="0.3">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502"/>
      <c r="P448" s="516"/>
      <c r="T448" s="386"/>
      <c r="U448" s="383"/>
      <c r="V448" s="383"/>
      <c r="W448" s="383"/>
      <c r="X448" s="385"/>
    </row>
    <row r="449" spans="1:24" x14ac:dyDescent="0.3">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96"/>
      <c r="P449" s="516"/>
      <c r="T449" s="386"/>
      <c r="U449" s="383"/>
      <c r="V449" s="383"/>
      <c r="W449" s="383"/>
      <c r="X449" s="385"/>
    </row>
    <row r="450" spans="1:24" x14ac:dyDescent="0.3">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96"/>
      <c r="P450" s="516"/>
      <c r="T450" s="386"/>
      <c r="U450" s="383"/>
      <c r="V450" s="383"/>
      <c r="W450" s="383"/>
      <c r="X450" s="385"/>
    </row>
    <row r="451" spans="1:24" x14ac:dyDescent="0.3">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96"/>
      <c r="P451" s="516"/>
      <c r="T451" s="386"/>
      <c r="U451" s="383"/>
      <c r="V451" s="383"/>
      <c r="W451" s="383"/>
      <c r="X451" s="385"/>
    </row>
    <row r="452" spans="1:24" x14ac:dyDescent="0.3">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96"/>
      <c r="P452" s="516"/>
      <c r="T452" s="386"/>
      <c r="U452" s="383"/>
      <c r="V452" s="383"/>
      <c r="W452" s="383"/>
      <c r="X452" s="385"/>
    </row>
    <row r="453" spans="1:24" x14ac:dyDescent="0.3">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96"/>
      <c r="P453" s="516"/>
      <c r="T453" s="386"/>
      <c r="U453" s="383"/>
      <c r="V453" s="383"/>
      <c r="W453" s="383"/>
      <c r="X453" s="385"/>
    </row>
    <row r="454" spans="1:24" x14ac:dyDescent="0.3">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96"/>
      <c r="P454" s="516"/>
      <c r="T454" s="386"/>
      <c r="U454" s="383"/>
      <c r="V454" s="383"/>
      <c r="W454" s="383"/>
      <c r="X454" s="385"/>
    </row>
    <row r="455" spans="1:24" x14ac:dyDescent="0.3">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96"/>
      <c r="P455" s="516"/>
      <c r="T455" s="386"/>
      <c r="U455" s="383"/>
      <c r="V455" s="383"/>
      <c r="W455" s="383"/>
      <c r="X455" s="385"/>
    </row>
    <row r="456" spans="1:24" x14ac:dyDescent="0.3">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96"/>
      <c r="P456" s="516"/>
      <c r="T456" s="386"/>
      <c r="U456" s="383"/>
      <c r="V456" s="383"/>
      <c r="W456" s="383"/>
      <c r="X456" s="385"/>
    </row>
    <row r="457" spans="1:24" x14ac:dyDescent="0.3">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96"/>
      <c r="P457" s="516"/>
      <c r="T457" s="386"/>
      <c r="U457" s="383"/>
      <c r="V457" s="383"/>
      <c r="W457" s="383"/>
      <c r="X457" s="385"/>
    </row>
    <row r="458" spans="1:24" x14ac:dyDescent="0.3">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96"/>
      <c r="P458" s="516"/>
      <c r="T458" s="386"/>
      <c r="U458" s="383"/>
      <c r="V458" s="383"/>
      <c r="W458" s="383"/>
      <c r="X458" s="385"/>
    </row>
    <row r="459" spans="1:24" x14ac:dyDescent="0.3">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96"/>
      <c r="P459" s="516"/>
      <c r="T459" s="386"/>
      <c r="U459" s="383"/>
      <c r="V459" s="383"/>
      <c r="W459" s="383"/>
      <c r="X459" s="385"/>
    </row>
    <row r="460" spans="1:24" x14ac:dyDescent="0.3">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96"/>
      <c r="P460" s="516"/>
      <c r="T460" s="386"/>
      <c r="U460" s="383"/>
      <c r="V460" s="383"/>
      <c r="W460" s="383"/>
      <c r="X460" s="385"/>
    </row>
    <row r="461" spans="1:24" x14ac:dyDescent="0.3">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96"/>
      <c r="P461" s="516"/>
      <c r="T461" s="386"/>
      <c r="U461" s="383"/>
      <c r="V461" s="383"/>
      <c r="W461" s="383"/>
      <c r="X461" s="385"/>
    </row>
    <row r="462" spans="1:24" x14ac:dyDescent="0.3">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96"/>
      <c r="P462" s="516"/>
      <c r="T462" s="386"/>
      <c r="U462" s="383"/>
      <c r="V462" s="383"/>
      <c r="W462" s="383"/>
      <c r="X462" s="385"/>
    </row>
    <row r="463" spans="1:24" x14ac:dyDescent="0.3">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96"/>
      <c r="P463" s="516"/>
      <c r="T463" s="386"/>
      <c r="U463" s="383"/>
      <c r="V463" s="383"/>
      <c r="W463" s="383"/>
      <c r="X463" s="385"/>
    </row>
    <row r="464" spans="1:24" x14ac:dyDescent="0.3">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96"/>
      <c r="P464" s="516"/>
      <c r="T464" s="386"/>
      <c r="U464" s="383"/>
      <c r="V464" s="383"/>
      <c r="W464" s="383"/>
      <c r="X464" s="385"/>
    </row>
    <row r="465" spans="1:24" x14ac:dyDescent="0.3">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96"/>
      <c r="P465" s="516"/>
      <c r="T465" s="386"/>
      <c r="U465" s="383"/>
      <c r="V465" s="383"/>
      <c r="W465" s="383"/>
      <c r="X465" s="385"/>
    </row>
    <row r="466" spans="1:24" x14ac:dyDescent="0.3">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96"/>
      <c r="P466" s="516"/>
      <c r="T466" s="386"/>
      <c r="U466" s="383"/>
      <c r="V466" s="383"/>
      <c r="W466" s="383"/>
      <c r="X466" s="385"/>
    </row>
    <row r="467" spans="1:24" x14ac:dyDescent="0.3">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96"/>
      <c r="P467" s="516"/>
      <c r="T467" s="386"/>
      <c r="U467" s="383"/>
      <c r="V467" s="383"/>
      <c r="W467" s="383"/>
      <c r="X467" s="385"/>
    </row>
    <row r="468" spans="1:24" x14ac:dyDescent="0.3">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96"/>
      <c r="P468" s="516"/>
      <c r="T468" s="386"/>
      <c r="U468" s="383"/>
      <c r="V468" s="383"/>
      <c r="W468" s="383"/>
      <c r="X468" s="385"/>
    </row>
    <row r="469" spans="1:24" x14ac:dyDescent="0.3">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96"/>
      <c r="P469" s="516"/>
      <c r="T469" s="386"/>
      <c r="U469" s="383"/>
      <c r="V469" s="383"/>
      <c r="W469" s="383"/>
      <c r="X469" s="385"/>
    </row>
    <row r="470" spans="1:24" x14ac:dyDescent="0.3">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96"/>
      <c r="P470" s="516"/>
      <c r="T470" s="386"/>
      <c r="U470" s="383"/>
      <c r="V470" s="383"/>
      <c r="W470" s="383"/>
      <c r="X470" s="385"/>
    </row>
    <row r="471" spans="1:24" x14ac:dyDescent="0.3">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96"/>
      <c r="P471" s="516"/>
      <c r="T471" s="386"/>
      <c r="U471" s="383"/>
      <c r="V471" s="383"/>
      <c r="W471" s="383"/>
      <c r="X471" s="385"/>
    </row>
    <row r="472" spans="1:24" x14ac:dyDescent="0.3">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96"/>
      <c r="P472" s="516"/>
      <c r="T472" s="386"/>
      <c r="U472" s="383"/>
      <c r="V472" s="383"/>
      <c r="W472" s="383"/>
      <c r="X472" s="385"/>
    </row>
    <row r="473" spans="1:24" x14ac:dyDescent="0.3">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96"/>
      <c r="P473" s="516"/>
      <c r="T473" s="386"/>
      <c r="U473" s="383"/>
      <c r="V473" s="383"/>
      <c r="W473" s="383"/>
      <c r="X473" s="385"/>
    </row>
    <row r="474" spans="1:24" x14ac:dyDescent="0.3">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96"/>
      <c r="P474" s="516"/>
      <c r="T474" s="386"/>
      <c r="U474" s="383"/>
      <c r="V474" s="383"/>
      <c r="W474" s="383"/>
      <c r="X474" s="385"/>
    </row>
    <row r="475" spans="1:24" x14ac:dyDescent="0.3">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96"/>
      <c r="P475" s="516"/>
      <c r="T475" s="386"/>
      <c r="U475" s="383"/>
      <c r="V475" s="383"/>
      <c r="W475" s="383"/>
      <c r="X475" s="385"/>
    </row>
    <row r="476" spans="1:24" x14ac:dyDescent="0.3">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96"/>
      <c r="P476" s="516"/>
      <c r="T476" s="386"/>
      <c r="U476" s="383"/>
      <c r="V476" s="383"/>
      <c r="W476" s="383"/>
      <c r="X476" s="385"/>
    </row>
    <row r="477" spans="1:24" x14ac:dyDescent="0.3">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96"/>
      <c r="P477" s="516"/>
      <c r="T477" s="386"/>
      <c r="U477" s="383"/>
      <c r="V477" s="383"/>
      <c r="W477" s="383"/>
      <c r="X477" s="385"/>
    </row>
    <row r="478" spans="1:24" x14ac:dyDescent="0.3">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96"/>
      <c r="P478" s="516"/>
      <c r="T478" s="386"/>
      <c r="U478" s="383"/>
      <c r="V478" s="383"/>
      <c r="W478" s="383"/>
      <c r="X478" s="385"/>
    </row>
    <row r="479" spans="1:24" x14ac:dyDescent="0.3">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92"/>
      <c r="P479" s="516"/>
      <c r="T479" s="386"/>
      <c r="U479" s="383"/>
      <c r="V479" s="383"/>
      <c r="W479" s="383"/>
      <c r="X479" s="385"/>
    </row>
    <row r="480" spans="1:24" x14ac:dyDescent="0.3">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92"/>
      <c r="P480" s="516"/>
      <c r="T480" s="386"/>
      <c r="U480" s="383"/>
      <c r="V480" s="383"/>
      <c r="W480" s="383"/>
      <c r="X480" s="385"/>
    </row>
    <row r="481" spans="1:24" x14ac:dyDescent="0.3">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90"/>
      <c r="P481" s="516"/>
      <c r="T481" s="386"/>
      <c r="U481" s="383"/>
      <c r="V481" s="383"/>
      <c r="W481" s="383"/>
      <c r="X481" s="385"/>
    </row>
    <row r="482" spans="1:24" x14ac:dyDescent="0.3">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90"/>
      <c r="P482" s="516"/>
      <c r="T482" s="386"/>
      <c r="U482" s="383"/>
      <c r="V482" s="383"/>
      <c r="W482" s="383"/>
      <c r="X482" s="385"/>
    </row>
    <row r="483" spans="1:24" x14ac:dyDescent="0.3">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90"/>
      <c r="P483" s="516"/>
      <c r="T483" s="386"/>
      <c r="U483" s="383"/>
      <c r="V483" s="383"/>
      <c r="W483" s="383"/>
      <c r="X483" s="385"/>
    </row>
    <row r="484" spans="1:24" x14ac:dyDescent="0.3">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90"/>
      <c r="P484" s="516"/>
      <c r="T484" s="386"/>
      <c r="U484" s="383"/>
      <c r="V484" s="383"/>
      <c r="W484" s="383"/>
      <c r="X484" s="385"/>
    </row>
    <row r="485" spans="1:24" x14ac:dyDescent="0.3">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9"/>
      <c r="P485" s="516"/>
      <c r="T485" s="386"/>
      <c r="U485" s="383"/>
      <c r="V485" s="383"/>
      <c r="W485" s="383"/>
      <c r="X485" s="385"/>
    </row>
    <row r="486" spans="1:24" x14ac:dyDescent="0.3">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x14ac:dyDescent="0.3">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6"/>
      <c r="T487" s="386"/>
      <c r="U487" s="383"/>
      <c r="V487" s="383"/>
      <c r="W487" s="383"/>
      <c r="X487" s="385"/>
    </row>
    <row r="488" spans="1:24" x14ac:dyDescent="0.3">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6"/>
      <c r="T488" s="386"/>
      <c r="U488" s="383"/>
      <c r="V488" s="383"/>
      <c r="W488" s="383"/>
      <c r="X488" s="385"/>
    </row>
    <row r="489" spans="1:24" x14ac:dyDescent="0.3">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6"/>
      <c r="T489" s="386"/>
      <c r="U489" s="383"/>
      <c r="V489" s="383"/>
      <c r="W489" s="383"/>
      <c r="X489" s="385"/>
    </row>
    <row r="490" spans="1:24" x14ac:dyDescent="0.3">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6"/>
      <c r="T490" s="386"/>
      <c r="U490" s="383"/>
      <c r="V490" s="383"/>
      <c r="W490" s="383"/>
      <c r="X490" s="385"/>
    </row>
    <row r="491" spans="1:24" x14ac:dyDescent="0.3">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6"/>
      <c r="T491" s="386"/>
      <c r="U491" s="383"/>
      <c r="V491" s="383"/>
      <c r="W491" s="383"/>
      <c r="X491" s="385"/>
    </row>
    <row r="492" spans="1:24" x14ac:dyDescent="0.3">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6"/>
      <c r="T492" s="386"/>
      <c r="U492" s="383"/>
      <c r="V492" s="383"/>
      <c r="W492" s="383"/>
      <c r="X492" s="385"/>
    </row>
    <row r="493" spans="1:24" x14ac:dyDescent="0.3">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6"/>
      <c r="T493" s="386"/>
      <c r="U493" s="383"/>
      <c r="V493" s="383"/>
      <c r="W493" s="383"/>
      <c r="X493" s="385"/>
    </row>
    <row r="494" spans="1:24" x14ac:dyDescent="0.3">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6"/>
      <c r="T494" s="386"/>
      <c r="U494" s="383"/>
      <c r="V494" s="383"/>
      <c r="W494" s="383"/>
      <c r="X494" s="385"/>
    </row>
    <row r="495" spans="1:24" x14ac:dyDescent="0.3">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6"/>
      <c r="T495" s="386"/>
      <c r="U495" s="383"/>
      <c r="V495" s="383"/>
      <c r="W495" s="383"/>
      <c r="X495" s="385"/>
    </row>
    <row r="496" spans="1:24" x14ac:dyDescent="0.3">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6"/>
      <c r="T496" s="386"/>
      <c r="U496" s="383"/>
      <c r="V496" s="383"/>
      <c r="W496" s="383"/>
      <c r="X496" s="385"/>
    </row>
    <row r="497" spans="1:24" x14ac:dyDescent="0.3">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6"/>
      <c r="T497" s="386"/>
      <c r="U497" s="383"/>
      <c r="V497" s="383"/>
      <c r="W497" s="383"/>
      <c r="X497" s="385"/>
    </row>
    <row r="498" spans="1:24" x14ac:dyDescent="0.3">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6"/>
      <c r="T498" s="386"/>
      <c r="U498" s="383"/>
      <c r="V498" s="383"/>
      <c r="W498" s="383"/>
      <c r="X498" s="385"/>
    </row>
    <row r="499" spans="1:24" x14ac:dyDescent="0.3">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6"/>
      <c r="T499" s="386"/>
      <c r="U499" s="383"/>
      <c r="V499" s="383"/>
      <c r="W499" s="383"/>
      <c r="X499" s="385"/>
    </row>
    <row r="500" spans="1:24" x14ac:dyDescent="0.3">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6"/>
      <c r="T500" s="386"/>
      <c r="U500" s="383"/>
      <c r="V500" s="383"/>
      <c r="W500" s="383"/>
      <c r="X500" s="385"/>
    </row>
    <row r="501" spans="1:24" x14ac:dyDescent="0.3">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6"/>
      <c r="T501" s="386"/>
      <c r="U501" s="383"/>
      <c r="V501" s="383"/>
      <c r="W501" s="383"/>
      <c r="X501" s="385"/>
    </row>
    <row r="502" spans="1:24" x14ac:dyDescent="0.3">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8"/>
      <c r="P502" s="516"/>
      <c r="T502" s="386"/>
      <c r="U502" s="383"/>
      <c r="V502" s="383"/>
      <c r="W502" s="383"/>
      <c r="X502" s="385"/>
    </row>
    <row r="503" spans="1:24" x14ac:dyDescent="0.3">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8"/>
      <c r="P503" s="516"/>
      <c r="T503" s="386"/>
      <c r="U503" s="383"/>
      <c r="V503" s="383"/>
      <c r="W503" s="383"/>
      <c r="X503" s="385"/>
    </row>
    <row r="504" spans="1:24" x14ac:dyDescent="0.3">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8"/>
      <c r="P504" s="516"/>
      <c r="T504" s="386"/>
      <c r="U504" s="383"/>
      <c r="V504" s="383"/>
      <c r="W504" s="383"/>
      <c r="X504" s="385"/>
    </row>
    <row r="505" spans="1:24" x14ac:dyDescent="0.3">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8"/>
      <c r="P505" s="516"/>
      <c r="T505" s="386"/>
      <c r="U505" s="383"/>
      <c r="V505" s="383"/>
      <c r="W505" s="383"/>
      <c r="X505" s="385"/>
    </row>
    <row r="506" spans="1:24" x14ac:dyDescent="0.3">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8"/>
      <c r="P506" s="516"/>
      <c r="T506" s="386"/>
      <c r="U506" s="383"/>
      <c r="V506" s="383"/>
      <c r="W506" s="383"/>
      <c r="X506" s="385"/>
    </row>
    <row r="507" spans="1:24" x14ac:dyDescent="0.3">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8"/>
      <c r="P507" s="516"/>
      <c r="T507" s="386"/>
      <c r="U507" s="383"/>
      <c r="V507" s="383"/>
      <c r="W507" s="383"/>
      <c r="X507" s="385"/>
    </row>
    <row r="508" spans="1:24" x14ac:dyDescent="0.3">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8"/>
      <c r="P508" s="516"/>
      <c r="T508" s="386"/>
      <c r="U508" s="383"/>
      <c r="V508" s="383"/>
      <c r="W508" s="383"/>
      <c r="X508" s="385"/>
    </row>
    <row r="509" spans="1:24" x14ac:dyDescent="0.3">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8"/>
      <c r="P509" s="516"/>
      <c r="T509" s="386"/>
      <c r="U509" s="383"/>
      <c r="V509" s="383"/>
      <c r="W509" s="383"/>
      <c r="X509" s="385"/>
    </row>
    <row r="510" spans="1:24" x14ac:dyDescent="0.3">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8"/>
      <c r="P510" s="516"/>
      <c r="T510" s="386"/>
      <c r="U510" s="383"/>
      <c r="V510" s="383"/>
      <c r="W510" s="383"/>
      <c r="X510" s="385"/>
    </row>
    <row r="511" spans="1:24" x14ac:dyDescent="0.3">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8"/>
      <c r="P511" s="516"/>
      <c r="T511" s="386"/>
      <c r="U511" s="383"/>
      <c r="V511" s="383"/>
      <c r="W511" s="383"/>
      <c r="X511" s="385"/>
    </row>
    <row r="512" spans="1:24" x14ac:dyDescent="0.3">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8"/>
      <c r="P512" s="516"/>
      <c r="T512" s="386"/>
      <c r="U512" s="383"/>
      <c r="V512" s="383"/>
      <c r="W512" s="383"/>
      <c r="X512" s="385"/>
    </row>
    <row r="513" spans="1:24" x14ac:dyDescent="0.3">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8"/>
      <c r="P513" s="516"/>
      <c r="T513" s="386"/>
      <c r="U513" s="383"/>
      <c r="V513" s="383"/>
      <c r="W513" s="383"/>
      <c r="X513" s="385"/>
    </row>
    <row r="514" spans="1:24" x14ac:dyDescent="0.3">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8"/>
      <c r="P514" s="516"/>
      <c r="T514" s="386"/>
      <c r="U514" s="383"/>
      <c r="V514" s="383"/>
      <c r="W514" s="383"/>
      <c r="X514" s="385"/>
    </row>
    <row r="515" spans="1:24" x14ac:dyDescent="0.3">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8"/>
      <c r="P515" s="516"/>
      <c r="T515" s="386"/>
      <c r="U515" s="383"/>
      <c r="V515" s="383"/>
      <c r="W515" s="383"/>
      <c r="X515" s="385"/>
    </row>
    <row r="516" spans="1:24" x14ac:dyDescent="0.3">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8"/>
      <c r="P516" s="516"/>
      <c r="T516" s="386"/>
      <c r="U516" s="383"/>
      <c r="V516" s="383"/>
      <c r="W516" s="383"/>
      <c r="X516" s="385"/>
    </row>
    <row r="517" spans="1:24" x14ac:dyDescent="0.3">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8"/>
      <c r="P517" s="516"/>
      <c r="T517" s="386"/>
      <c r="U517" s="383"/>
      <c r="V517" s="383"/>
      <c r="W517" s="383"/>
      <c r="X517" s="385"/>
    </row>
    <row r="518" spans="1:24" x14ac:dyDescent="0.3">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8"/>
      <c r="P518" s="516"/>
      <c r="T518" s="386"/>
      <c r="U518" s="383"/>
      <c r="V518" s="383"/>
      <c r="W518" s="383"/>
      <c r="X518" s="385"/>
    </row>
    <row r="519" spans="1:24" x14ac:dyDescent="0.3">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8"/>
      <c r="P519" s="516"/>
      <c r="T519" s="386"/>
      <c r="U519" s="383"/>
      <c r="V519" s="383"/>
      <c r="W519" s="383"/>
      <c r="X519" s="385"/>
    </row>
    <row r="520" spans="1:24" x14ac:dyDescent="0.3">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8"/>
      <c r="P520" s="516"/>
      <c r="T520" s="386"/>
      <c r="U520" s="383"/>
      <c r="V520" s="383"/>
      <c r="W520" s="383"/>
      <c r="X520" s="385"/>
    </row>
    <row r="521" spans="1:24" x14ac:dyDescent="0.3">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8"/>
      <c r="P521" s="516"/>
      <c r="T521" s="386"/>
      <c r="U521" s="383"/>
      <c r="V521" s="383"/>
      <c r="W521" s="383"/>
      <c r="X521" s="385"/>
    </row>
    <row r="522" spans="1:24" x14ac:dyDescent="0.3">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8"/>
      <c r="P522" s="516"/>
      <c r="T522" s="386"/>
      <c r="U522" s="383"/>
      <c r="V522" s="383"/>
      <c r="W522" s="383"/>
      <c r="X522" s="385"/>
    </row>
    <row r="523" spans="1:24" x14ac:dyDescent="0.3">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8"/>
      <c r="P523" s="516"/>
      <c r="T523" s="386"/>
      <c r="U523" s="383"/>
      <c r="V523" s="383"/>
      <c r="W523" s="383"/>
      <c r="X523" s="385"/>
    </row>
    <row r="524" spans="1:24" x14ac:dyDescent="0.3">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8"/>
      <c r="P524" s="516"/>
      <c r="T524" s="386"/>
      <c r="U524" s="383"/>
      <c r="V524" s="383"/>
      <c r="W524" s="383"/>
      <c r="X524" s="385"/>
    </row>
    <row r="525" spans="1:24" x14ac:dyDescent="0.3">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8"/>
      <c r="P525" s="516"/>
      <c r="T525" s="386"/>
      <c r="U525" s="383"/>
      <c r="V525" s="383"/>
      <c r="W525" s="383"/>
      <c r="X525" s="385"/>
    </row>
    <row r="526" spans="1:24" x14ac:dyDescent="0.3">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8"/>
      <c r="P526" s="516"/>
      <c r="T526" s="386"/>
      <c r="U526" s="383"/>
      <c r="V526" s="383"/>
      <c r="W526" s="383"/>
      <c r="X526" s="385"/>
    </row>
    <row r="527" spans="1:24" x14ac:dyDescent="0.3">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8"/>
      <c r="P527" s="516"/>
      <c r="T527" s="386"/>
      <c r="U527" s="383"/>
      <c r="V527" s="383"/>
      <c r="W527" s="383"/>
      <c r="X527" s="385"/>
    </row>
    <row r="528" spans="1:24" x14ac:dyDescent="0.3">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8"/>
      <c r="P528" s="516"/>
      <c r="T528" s="386"/>
      <c r="U528" s="383"/>
      <c r="V528" s="383"/>
      <c r="W528" s="383"/>
      <c r="X528" s="385"/>
    </row>
    <row r="529" spans="1:24" x14ac:dyDescent="0.3">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8"/>
      <c r="P529" s="516"/>
      <c r="T529" s="386"/>
      <c r="U529" s="383"/>
      <c r="V529" s="383"/>
      <c r="W529" s="383"/>
      <c r="X529" s="385"/>
    </row>
    <row r="530" spans="1:24" x14ac:dyDescent="0.3">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8"/>
      <c r="P530" s="516"/>
      <c r="T530" s="386"/>
      <c r="U530" s="383"/>
      <c r="V530" s="383"/>
      <c r="W530" s="383"/>
      <c r="X530" s="385"/>
    </row>
    <row r="531" spans="1:24" x14ac:dyDescent="0.3">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8"/>
      <c r="P531" s="516"/>
      <c r="T531" s="386"/>
      <c r="U531" s="383"/>
      <c r="V531" s="383"/>
      <c r="W531" s="383"/>
      <c r="X531" s="385"/>
    </row>
    <row r="532" spans="1:24" x14ac:dyDescent="0.3">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8"/>
      <c r="P532" s="512"/>
      <c r="T532" s="386"/>
      <c r="U532" s="383"/>
      <c r="V532" s="383"/>
      <c r="W532" s="383"/>
      <c r="X532" s="385"/>
    </row>
    <row r="533" spans="1:24" x14ac:dyDescent="0.3">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8"/>
      <c r="P533" s="512"/>
      <c r="T533" s="386"/>
      <c r="U533" s="383"/>
      <c r="V533" s="383"/>
      <c r="W533" s="383"/>
      <c r="X533" s="385"/>
    </row>
    <row r="534" spans="1:24" x14ac:dyDescent="0.3">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8"/>
      <c r="P534" s="512"/>
      <c r="T534" s="386"/>
      <c r="U534" s="383"/>
      <c r="V534" s="383"/>
      <c r="W534" s="383"/>
      <c r="X534" s="385"/>
    </row>
    <row r="535" spans="1:24" x14ac:dyDescent="0.3">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8"/>
      <c r="P535" s="512"/>
      <c r="T535" s="386"/>
      <c r="U535" s="383"/>
      <c r="V535" s="383"/>
      <c r="W535" s="383"/>
      <c r="X535" s="385"/>
    </row>
    <row r="536" spans="1:24" x14ac:dyDescent="0.3">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8"/>
      <c r="P536" s="512"/>
      <c r="T536" s="386"/>
      <c r="U536" s="383"/>
      <c r="V536" s="383"/>
      <c r="W536" s="383"/>
      <c r="X536" s="385"/>
    </row>
    <row r="537" spans="1:24" x14ac:dyDescent="0.3">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8"/>
      <c r="P537" s="512"/>
      <c r="T537" s="386"/>
      <c r="U537" s="383"/>
      <c r="V537" s="383"/>
      <c r="W537" s="383"/>
      <c r="X537" s="385"/>
    </row>
    <row r="538" spans="1:24" x14ac:dyDescent="0.3">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12"/>
      <c r="T538" s="386"/>
      <c r="U538" s="383"/>
      <c r="V538" s="383"/>
      <c r="W538" s="383"/>
      <c r="X538" s="385"/>
    </row>
    <row r="539" spans="1:24" x14ac:dyDescent="0.3">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12"/>
      <c r="T539" s="386"/>
      <c r="U539" s="383"/>
      <c r="V539" s="383"/>
      <c r="W539" s="383"/>
      <c r="X539" s="385"/>
    </row>
    <row r="540" spans="1:24" x14ac:dyDescent="0.3">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12"/>
      <c r="T540" s="386"/>
      <c r="U540" s="383"/>
      <c r="V540" s="383"/>
      <c r="W540" s="383"/>
      <c r="X540" s="385"/>
    </row>
    <row r="541" spans="1:24" x14ac:dyDescent="0.3">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81"/>
      <c r="P541" s="512"/>
      <c r="T541" s="386"/>
      <c r="U541" s="383"/>
      <c r="V541" s="383"/>
      <c r="W541" s="383"/>
      <c r="X541" s="385"/>
    </row>
    <row r="542" spans="1:24" x14ac:dyDescent="0.3">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81"/>
      <c r="P542" s="512"/>
      <c r="T542" s="386"/>
      <c r="U542" s="383"/>
      <c r="V542" s="383"/>
      <c r="W542" s="383"/>
      <c r="X542" s="385"/>
    </row>
    <row r="543" spans="1:24" x14ac:dyDescent="0.3">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81"/>
      <c r="P543" s="512"/>
      <c r="T543" s="386"/>
      <c r="U543" s="383"/>
      <c r="V543" s="383"/>
      <c r="W543" s="383"/>
      <c r="X543" s="385"/>
    </row>
    <row r="544" spans="1:24" x14ac:dyDescent="0.3">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81"/>
      <c r="P544" s="512"/>
      <c r="T544" s="386"/>
      <c r="U544" s="383"/>
      <c r="V544" s="383"/>
      <c r="W544" s="383"/>
      <c r="X544" s="385"/>
    </row>
    <row r="545" spans="1:24" x14ac:dyDescent="0.3">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81"/>
      <c r="P545" s="512"/>
      <c r="T545" s="386"/>
      <c r="U545" s="383"/>
      <c r="V545" s="383"/>
      <c r="W545" s="383"/>
      <c r="X545" s="385"/>
    </row>
    <row r="546" spans="1:24" x14ac:dyDescent="0.3">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81"/>
      <c r="P546" s="512"/>
      <c r="T546" s="386"/>
      <c r="U546" s="383"/>
      <c r="V546" s="383"/>
      <c r="W546" s="383"/>
      <c r="X546" s="385"/>
    </row>
    <row r="547" spans="1:24" x14ac:dyDescent="0.3">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81"/>
      <c r="P547" s="508"/>
      <c r="T547" s="386"/>
      <c r="U547" s="383"/>
      <c r="V547" s="383"/>
      <c r="W547" s="383"/>
      <c r="X547" s="385"/>
    </row>
    <row r="548" spans="1:24" x14ac:dyDescent="0.3">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81"/>
      <c r="P548" s="508"/>
      <c r="T548" s="386"/>
      <c r="U548" s="383"/>
      <c r="V548" s="383"/>
      <c r="W548" s="383"/>
      <c r="X548" s="385"/>
    </row>
    <row r="549" spans="1:24" x14ac:dyDescent="0.3">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81"/>
      <c r="P549" s="508"/>
      <c r="T549" s="386"/>
      <c r="U549" s="383"/>
      <c r="V549" s="383"/>
      <c r="W549" s="383"/>
      <c r="X549" s="385"/>
    </row>
    <row r="550" spans="1:24" x14ac:dyDescent="0.3">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81"/>
      <c r="P550" s="508"/>
      <c r="T550" s="386"/>
      <c r="U550" s="383"/>
      <c r="V550" s="383"/>
      <c r="W550" s="383"/>
      <c r="X550" s="385"/>
    </row>
    <row r="551" spans="1:24" x14ac:dyDescent="0.3">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81"/>
      <c r="P551" s="508"/>
      <c r="T551" s="386"/>
      <c r="U551" s="383"/>
      <c r="V551" s="383"/>
      <c r="W551" s="383"/>
      <c r="X551" s="385"/>
    </row>
    <row r="552" spans="1:24" x14ac:dyDescent="0.3">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81"/>
      <c r="P552" s="508"/>
      <c r="T552" s="386"/>
      <c r="U552" s="383"/>
      <c r="V552" s="383"/>
      <c r="W552" s="383"/>
      <c r="X552" s="385"/>
    </row>
    <row r="553" spans="1:24" x14ac:dyDescent="0.3">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81"/>
      <c r="P553" s="508"/>
      <c r="T553" s="386"/>
      <c r="U553" s="383"/>
      <c r="V553" s="383"/>
      <c r="W553" s="383"/>
      <c r="X553" s="385"/>
    </row>
    <row r="554" spans="1:24" x14ac:dyDescent="0.3">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81"/>
      <c r="P554" s="508"/>
      <c r="T554" s="386"/>
      <c r="U554" s="383"/>
      <c r="V554" s="383"/>
      <c r="W554" s="383"/>
      <c r="X554" s="385"/>
    </row>
    <row r="555" spans="1:24" x14ac:dyDescent="0.3">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81"/>
      <c r="P555" s="508"/>
      <c r="T555" s="386"/>
      <c r="U555" s="383"/>
      <c r="V555" s="383"/>
      <c r="W555" s="383"/>
      <c r="X555" s="385"/>
    </row>
    <row r="556" spans="1:24" x14ac:dyDescent="0.3">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81"/>
      <c r="P556" s="508"/>
      <c r="T556" s="386"/>
      <c r="U556" s="383"/>
      <c r="V556" s="383"/>
      <c r="W556" s="383"/>
      <c r="X556" s="385"/>
    </row>
    <row r="557" spans="1:24" x14ac:dyDescent="0.3">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81"/>
      <c r="P557" s="508"/>
      <c r="T557" s="386"/>
      <c r="U557" s="383"/>
      <c r="V557" s="383"/>
      <c r="W557" s="383"/>
      <c r="X557" s="385"/>
    </row>
    <row r="558" spans="1:24" x14ac:dyDescent="0.3">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81"/>
      <c r="P558" s="508"/>
      <c r="T558" s="386"/>
      <c r="U558" s="383"/>
      <c r="V558" s="383"/>
      <c r="W558" s="383"/>
      <c r="X558" s="385"/>
    </row>
    <row r="559" spans="1:24" x14ac:dyDescent="0.3">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81"/>
      <c r="P559" s="508"/>
      <c r="T559" s="386"/>
      <c r="U559" s="383"/>
      <c r="V559" s="383"/>
      <c r="W559" s="383"/>
      <c r="X559" s="385"/>
    </row>
    <row r="560" spans="1:24" x14ac:dyDescent="0.3">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81"/>
      <c r="P560" s="508"/>
      <c r="T560" s="386"/>
      <c r="U560" s="383"/>
      <c r="V560" s="383"/>
      <c r="W560" s="383"/>
      <c r="X560" s="385"/>
    </row>
    <row r="561" spans="1:24" x14ac:dyDescent="0.3">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81"/>
      <c r="P561" s="508"/>
      <c r="T561" s="386"/>
      <c r="U561" s="383"/>
      <c r="V561" s="383"/>
      <c r="W561" s="383"/>
      <c r="X561" s="385"/>
    </row>
    <row r="562" spans="1:24" x14ac:dyDescent="0.3">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81"/>
      <c r="P562" s="508"/>
      <c r="T562" s="386"/>
      <c r="U562" s="383"/>
      <c r="V562" s="383"/>
      <c r="W562" s="383"/>
      <c r="X562" s="385"/>
    </row>
    <row r="563" spans="1:24" x14ac:dyDescent="0.3">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81"/>
      <c r="P563" s="508"/>
      <c r="T563" s="386"/>
      <c r="U563" s="383"/>
      <c r="V563" s="383"/>
      <c r="W563" s="383"/>
      <c r="X563" s="385"/>
    </row>
    <row r="564" spans="1:24" x14ac:dyDescent="0.3">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81"/>
      <c r="P564" s="508"/>
      <c r="T564" s="386"/>
      <c r="U564" s="383"/>
      <c r="V564" s="383"/>
      <c r="W564" s="383"/>
      <c r="X564" s="385"/>
    </row>
    <row r="565" spans="1:24" x14ac:dyDescent="0.3">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81"/>
      <c r="P565" s="508"/>
      <c r="T565" s="386"/>
      <c r="U565" s="383"/>
      <c r="V565" s="383"/>
      <c r="W565" s="383"/>
      <c r="X565" s="385"/>
    </row>
    <row r="566" spans="1:24" x14ac:dyDescent="0.3">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81"/>
      <c r="P566" s="508"/>
      <c r="T566" s="386"/>
      <c r="U566" s="383"/>
      <c r="V566" s="383"/>
      <c r="W566" s="383"/>
      <c r="X566" s="385"/>
    </row>
    <row r="567" spans="1:24" x14ac:dyDescent="0.3">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81"/>
      <c r="P567" s="508"/>
      <c r="T567" s="386"/>
      <c r="U567" s="383"/>
      <c r="V567" s="383"/>
      <c r="W567" s="383"/>
      <c r="X567" s="385"/>
    </row>
    <row r="568" spans="1:24" x14ac:dyDescent="0.3">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81"/>
      <c r="P568" s="508"/>
      <c r="T568" s="386"/>
      <c r="U568" s="383"/>
      <c r="V568" s="383"/>
      <c r="W568" s="383"/>
      <c r="X568" s="385"/>
    </row>
    <row r="569" spans="1:24" x14ac:dyDescent="0.3">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81"/>
      <c r="P569" s="508"/>
      <c r="T569" s="386"/>
      <c r="U569" s="383"/>
      <c r="V569" s="383"/>
      <c r="W569" s="383"/>
      <c r="X569" s="385"/>
    </row>
    <row r="570" spans="1:24" x14ac:dyDescent="0.3">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81"/>
      <c r="P570" s="508"/>
      <c r="T570" s="386"/>
      <c r="U570" s="383"/>
      <c r="V570" s="383"/>
      <c r="W570" s="383"/>
      <c r="X570" s="385"/>
    </row>
    <row r="571" spans="1:24" x14ac:dyDescent="0.3">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81"/>
      <c r="P571" s="508"/>
      <c r="T571" s="386"/>
      <c r="U571" s="383"/>
      <c r="V571" s="383"/>
      <c r="W571" s="383"/>
      <c r="X571" s="385"/>
    </row>
    <row r="572" spans="1:24" x14ac:dyDescent="0.3">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81"/>
      <c r="P572" s="508"/>
      <c r="T572" s="386"/>
      <c r="U572" s="383"/>
      <c r="V572" s="383"/>
      <c r="W572" s="383"/>
      <c r="X572" s="385"/>
    </row>
    <row r="573" spans="1:24" x14ac:dyDescent="0.3">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81"/>
      <c r="P573" s="508"/>
      <c r="T573" s="386"/>
      <c r="U573" s="383"/>
      <c r="V573" s="383"/>
      <c r="W573" s="383"/>
      <c r="X573" s="385"/>
    </row>
    <row r="574" spans="1:24" x14ac:dyDescent="0.3">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81"/>
      <c r="P574" s="508"/>
      <c r="T574" s="386"/>
      <c r="U574" s="383"/>
      <c r="V574" s="383"/>
      <c r="W574" s="383"/>
      <c r="X574" s="385"/>
    </row>
    <row r="575" spans="1:24" x14ac:dyDescent="0.3">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81"/>
      <c r="P575" s="508"/>
      <c r="T575" s="386"/>
      <c r="U575" s="383"/>
      <c r="V575" s="383"/>
      <c r="W575" s="383"/>
      <c r="X575" s="385"/>
    </row>
    <row r="576" spans="1:24" x14ac:dyDescent="0.3">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81"/>
      <c r="P576" s="508"/>
      <c r="T576" s="386"/>
      <c r="U576" s="383"/>
      <c r="V576" s="383"/>
      <c r="W576" s="383"/>
      <c r="X576" s="385"/>
    </row>
    <row r="577" spans="1:24" x14ac:dyDescent="0.3">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x14ac:dyDescent="0.3">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75"/>
      <c r="P578" s="508"/>
      <c r="T578" s="386"/>
      <c r="U578" s="383"/>
      <c r="V578" s="383"/>
      <c r="W578" s="383"/>
      <c r="X578" s="385"/>
    </row>
    <row r="579" spans="1:24" x14ac:dyDescent="0.3">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75"/>
      <c r="P579" s="508"/>
      <c r="T579" s="386"/>
      <c r="U579" s="383"/>
      <c r="V579" s="383"/>
      <c r="W579" s="383"/>
      <c r="X579" s="385"/>
    </row>
    <row r="580" spans="1:24" x14ac:dyDescent="0.3">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75"/>
      <c r="P580" s="508"/>
      <c r="T580" s="386"/>
      <c r="U580" s="383"/>
      <c r="V580" s="383"/>
      <c r="W580" s="383"/>
      <c r="X580" s="385"/>
    </row>
    <row r="581" spans="1:24" x14ac:dyDescent="0.3">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75"/>
      <c r="P581" s="508"/>
      <c r="T581" s="386"/>
      <c r="U581" s="383"/>
      <c r="V581" s="383"/>
      <c r="W581" s="383"/>
      <c r="X581" s="385"/>
    </row>
    <row r="582" spans="1:24" x14ac:dyDescent="0.3">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75"/>
      <c r="P582" s="508"/>
      <c r="T582" s="386"/>
      <c r="U582" s="383"/>
      <c r="V582" s="383"/>
      <c r="W582" s="383"/>
      <c r="X582" s="385"/>
    </row>
    <row r="583" spans="1:24" x14ac:dyDescent="0.3">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75"/>
      <c r="P583" s="508"/>
      <c r="T583" s="386"/>
      <c r="U583" s="383"/>
      <c r="V583" s="383"/>
      <c r="W583" s="383"/>
      <c r="X583" s="385"/>
    </row>
    <row r="584" spans="1:24" x14ac:dyDescent="0.3">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75"/>
      <c r="P584" s="508"/>
      <c r="T584" s="386"/>
      <c r="U584" s="383"/>
      <c r="V584" s="383"/>
      <c r="W584" s="383"/>
      <c r="X584" s="385"/>
    </row>
    <row r="585" spans="1:24" x14ac:dyDescent="0.3">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75"/>
      <c r="P585" s="508"/>
      <c r="T585" s="386"/>
      <c r="U585" s="383"/>
      <c r="V585" s="383"/>
      <c r="W585" s="383"/>
      <c r="X585" s="385"/>
    </row>
    <row r="586" spans="1:24" x14ac:dyDescent="0.3">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75"/>
      <c r="P586" s="508"/>
      <c r="T586" s="386"/>
      <c r="U586" s="383"/>
      <c r="V586" s="383"/>
      <c r="W586" s="383"/>
      <c r="X586" s="385"/>
    </row>
    <row r="587" spans="1:24" x14ac:dyDescent="0.3">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75"/>
      <c r="P587" s="508"/>
      <c r="T587" s="386"/>
      <c r="U587" s="383"/>
      <c r="V587" s="383"/>
      <c r="W587" s="383"/>
      <c r="X587" s="385"/>
    </row>
    <row r="588" spans="1:24" x14ac:dyDescent="0.3">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75"/>
      <c r="P588" s="508"/>
      <c r="T588" s="386"/>
      <c r="U588" s="383"/>
      <c r="V588" s="383"/>
      <c r="W588" s="383"/>
      <c r="X588" s="385"/>
    </row>
    <row r="589" spans="1:24" x14ac:dyDescent="0.3">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75"/>
      <c r="P589" s="508"/>
      <c r="T589" s="386"/>
      <c r="U589" s="383"/>
      <c r="V589" s="383"/>
      <c r="W589" s="383"/>
      <c r="X589" s="385"/>
    </row>
    <row r="590" spans="1:24" x14ac:dyDescent="0.3">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75"/>
      <c r="P590" s="508"/>
      <c r="T590" s="386"/>
      <c r="U590" s="383"/>
      <c r="V590" s="383"/>
      <c r="W590" s="383"/>
      <c r="X590" s="385"/>
    </row>
    <row r="591" spans="1:24" x14ac:dyDescent="0.3">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75"/>
      <c r="P591" s="508"/>
      <c r="T591" s="386"/>
      <c r="U591" s="383"/>
      <c r="V591" s="383"/>
      <c r="W591" s="383"/>
      <c r="X591" s="385"/>
    </row>
    <row r="592" spans="1:24" x14ac:dyDescent="0.3">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75"/>
      <c r="P592" s="508"/>
      <c r="T592" s="386"/>
      <c r="U592" s="383"/>
      <c r="V592" s="383"/>
      <c r="W592" s="383"/>
      <c r="X592" s="385"/>
    </row>
    <row r="593" spans="1:24" x14ac:dyDescent="0.3">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75"/>
      <c r="P593" s="508"/>
      <c r="T593" s="386"/>
      <c r="U593" s="383"/>
      <c r="V593" s="383"/>
      <c r="W593" s="383"/>
      <c r="X593" s="385"/>
    </row>
    <row r="594" spans="1:24" x14ac:dyDescent="0.3">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75"/>
      <c r="P594" s="508"/>
      <c r="T594" s="386"/>
      <c r="U594" s="383"/>
      <c r="V594" s="383"/>
      <c r="W594" s="383"/>
      <c r="X594" s="385"/>
    </row>
    <row r="595" spans="1:24" x14ac:dyDescent="0.3">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75"/>
      <c r="P595" s="508"/>
      <c r="T595" s="386"/>
      <c r="U595" s="383"/>
      <c r="V595" s="383"/>
      <c r="W595" s="383"/>
      <c r="X595" s="385"/>
    </row>
    <row r="596" spans="1:24" x14ac:dyDescent="0.3">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75"/>
      <c r="P596" s="508"/>
      <c r="T596" s="386"/>
      <c r="U596" s="383"/>
      <c r="V596" s="383"/>
      <c r="W596" s="383"/>
      <c r="X596" s="385"/>
    </row>
    <row r="597" spans="1:24" x14ac:dyDescent="0.3">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75"/>
      <c r="P597" s="508"/>
      <c r="T597" s="386"/>
      <c r="U597" s="383"/>
      <c r="V597" s="383"/>
      <c r="W597" s="383"/>
      <c r="X597" s="385"/>
    </row>
    <row r="598" spans="1:24" x14ac:dyDescent="0.3">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75"/>
      <c r="P598" s="508"/>
      <c r="T598" s="386"/>
      <c r="U598" s="383"/>
      <c r="V598" s="383"/>
      <c r="W598" s="383"/>
      <c r="X598" s="385"/>
    </row>
    <row r="599" spans="1:24" x14ac:dyDescent="0.3">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75"/>
      <c r="P599" s="508"/>
      <c r="T599" s="386"/>
      <c r="U599" s="383"/>
      <c r="V599" s="383"/>
      <c r="W599" s="383"/>
      <c r="X599" s="385"/>
    </row>
    <row r="600" spans="1:24" x14ac:dyDescent="0.3">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75"/>
      <c r="P600" s="508"/>
      <c r="T600" s="386"/>
      <c r="U600" s="383"/>
      <c r="V600" s="383"/>
      <c r="W600" s="383"/>
      <c r="X600" s="385"/>
    </row>
    <row r="601" spans="1:24" x14ac:dyDescent="0.3">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75"/>
      <c r="P601" s="508"/>
      <c r="T601" s="386"/>
      <c r="U601" s="383"/>
      <c r="V601" s="383"/>
      <c r="W601" s="383"/>
      <c r="X601" s="385"/>
    </row>
    <row r="602" spans="1:24" x14ac:dyDescent="0.3">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75"/>
      <c r="P602" s="508"/>
      <c r="T602" s="386"/>
      <c r="U602" s="383"/>
      <c r="V602" s="383"/>
      <c r="W602" s="383"/>
      <c r="X602" s="385"/>
    </row>
    <row r="603" spans="1:24" x14ac:dyDescent="0.3">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75"/>
      <c r="P603" s="508"/>
      <c r="T603" s="386"/>
      <c r="U603" s="383"/>
      <c r="V603" s="383"/>
      <c r="W603" s="383"/>
      <c r="X603" s="385"/>
    </row>
    <row r="604" spans="1:24" x14ac:dyDescent="0.3">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75"/>
      <c r="P604" s="508"/>
      <c r="T604" s="386"/>
      <c r="U604" s="383"/>
      <c r="V604" s="383"/>
      <c r="W604" s="383"/>
      <c r="X604" s="385"/>
    </row>
    <row r="605" spans="1:24" x14ac:dyDescent="0.3">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75"/>
      <c r="P605" s="508"/>
      <c r="T605" s="386"/>
      <c r="U605" s="383"/>
      <c r="V605" s="383"/>
      <c r="W605" s="383"/>
      <c r="X605" s="385"/>
    </row>
    <row r="606" spans="1:24" x14ac:dyDescent="0.3">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75"/>
      <c r="P606" s="508"/>
      <c r="T606" s="386"/>
      <c r="U606" s="383"/>
      <c r="V606" s="383"/>
      <c r="W606" s="383"/>
      <c r="X606" s="385"/>
    </row>
    <row r="607" spans="1:24" x14ac:dyDescent="0.3">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75"/>
      <c r="P607" s="508"/>
      <c r="T607" s="386"/>
      <c r="U607" s="383"/>
      <c r="V607" s="383"/>
      <c r="W607" s="383"/>
      <c r="X607" s="385"/>
    </row>
    <row r="608" spans="1:24" x14ac:dyDescent="0.3">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75"/>
      <c r="P608" s="508"/>
      <c r="T608" s="386"/>
      <c r="U608" s="383"/>
      <c r="V608" s="383"/>
      <c r="W608" s="383"/>
      <c r="X608" s="385"/>
    </row>
    <row r="609" spans="1:24" x14ac:dyDescent="0.3">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75"/>
      <c r="P609" s="508"/>
      <c r="T609" s="386"/>
      <c r="U609" s="383"/>
      <c r="V609" s="383"/>
      <c r="W609" s="383"/>
      <c r="X609" s="385"/>
    </row>
    <row r="610" spans="1:24" x14ac:dyDescent="0.3">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75"/>
      <c r="P610" s="508"/>
      <c r="T610" s="386"/>
      <c r="U610" s="383"/>
      <c r="V610" s="383"/>
      <c r="W610" s="383"/>
      <c r="X610" s="385"/>
    </row>
    <row r="611" spans="1:24" x14ac:dyDescent="0.3">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75"/>
      <c r="P611" s="508"/>
      <c r="T611" s="386"/>
      <c r="U611" s="383"/>
      <c r="V611" s="383"/>
      <c r="W611" s="383"/>
      <c r="X611" s="385"/>
    </row>
    <row r="612" spans="1:24" x14ac:dyDescent="0.3">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75"/>
      <c r="P612" s="508"/>
      <c r="T612" s="386"/>
      <c r="U612" s="383"/>
      <c r="V612" s="383"/>
      <c r="W612" s="383"/>
      <c r="X612" s="385"/>
    </row>
    <row r="613" spans="1:24" x14ac:dyDescent="0.3">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75"/>
      <c r="P613" s="508"/>
      <c r="T613" s="386"/>
      <c r="U613" s="383"/>
      <c r="V613" s="383"/>
      <c r="W613" s="383"/>
      <c r="X613" s="385"/>
    </row>
    <row r="614" spans="1:24" x14ac:dyDescent="0.3">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9"/>
      <c r="P614" s="508"/>
      <c r="T614" s="386"/>
      <c r="U614" s="383"/>
      <c r="V614" s="383"/>
      <c r="W614" s="383"/>
      <c r="X614" s="385"/>
    </row>
    <row r="615" spans="1:24" x14ac:dyDescent="0.3">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9"/>
      <c r="P615" s="508"/>
      <c r="T615" s="386"/>
      <c r="U615" s="383"/>
      <c r="V615" s="383"/>
      <c r="W615" s="383"/>
      <c r="X615" s="385"/>
    </row>
    <row r="616" spans="1:24" x14ac:dyDescent="0.3">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9"/>
      <c r="P616" s="508"/>
      <c r="T616" s="386"/>
      <c r="U616" s="383"/>
      <c r="V616" s="383"/>
      <c r="W616" s="383"/>
      <c r="X616" s="385"/>
    </row>
    <row r="617" spans="1:24" x14ac:dyDescent="0.3">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66"/>
      <c r="P617" s="508"/>
      <c r="T617" s="386"/>
      <c r="U617" s="383"/>
      <c r="V617" s="383"/>
      <c r="W617" s="383"/>
      <c r="X617" s="385"/>
    </row>
    <row r="618" spans="1:24" x14ac:dyDescent="0.3">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66"/>
      <c r="P618" s="508"/>
      <c r="T618" s="386"/>
      <c r="U618" s="383"/>
      <c r="V618" s="383"/>
      <c r="W618" s="383"/>
      <c r="X618" s="385"/>
    </row>
    <row r="619" spans="1:24" x14ac:dyDescent="0.3">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66"/>
      <c r="P619" s="508"/>
      <c r="T619" s="386"/>
      <c r="U619" s="383"/>
      <c r="V619" s="383"/>
      <c r="W619" s="383"/>
      <c r="X619" s="385"/>
    </row>
    <row r="620" spans="1:24" x14ac:dyDescent="0.3">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66"/>
      <c r="P620" s="508"/>
      <c r="T620" s="386"/>
      <c r="U620" s="383"/>
      <c r="V620" s="383"/>
      <c r="W620" s="383"/>
      <c r="X620" s="385"/>
    </row>
    <row r="621" spans="1:24" x14ac:dyDescent="0.3">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66"/>
      <c r="P621" s="508"/>
      <c r="T621" s="386"/>
      <c r="U621" s="383"/>
      <c r="V621" s="383"/>
      <c r="W621" s="383"/>
      <c r="X621" s="385"/>
    </row>
    <row r="622" spans="1:24" x14ac:dyDescent="0.3">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66"/>
      <c r="P622" s="508"/>
      <c r="T622" s="386"/>
      <c r="U622" s="383"/>
      <c r="V622" s="383"/>
      <c r="W622" s="383"/>
      <c r="X622" s="385"/>
    </row>
    <row r="623" spans="1:24" x14ac:dyDescent="0.3">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66"/>
      <c r="P623" s="508"/>
      <c r="T623" s="386"/>
      <c r="U623" s="383"/>
      <c r="V623" s="383"/>
      <c r="W623" s="383"/>
      <c r="X623" s="385"/>
    </row>
    <row r="624" spans="1:24" x14ac:dyDescent="0.3">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66"/>
      <c r="P624" s="508"/>
      <c r="T624" s="386"/>
      <c r="U624" s="383"/>
      <c r="V624" s="383"/>
      <c r="W624" s="383"/>
      <c r="X624" s="385"/>
    </row>
    <row r="625" spans="1:24" x14ac:dyDescent="0.3">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6"/>
      <c r="P625" s="508"/>
      <c r="T625" s="386"/>
      <c r="U625" s="383"/>
      <c r="V625" s="383"/>
      <c r="W625" s="383"/>
      <c r="X625" s="385"/>
    </row>
    <row r="626" spans="1:24" x14ac:dyDescent="0.3">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6"/>
      <c r="P626" s="508"/>
      <c r="T626" s="386"/>
      <c r="U626" s="383"/>
      <c r="V626" s="383"/>
      <c r="W626" s="383"/>
      <c r="X626" s="385"/>
    </row>
    <row r="627" spans="1:24" x14ac:dyDescent="0.3">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6"/>
      <c r="P627" s="508"/>
      <c r="T627" s="386"/>
      <c r="U627" s="383"/>
      <c r="V627" s="383"/>
      <c r="W627" s="383"/>
      <c r="X627" s="385"/>
    </row>
    <row r="628" spans="1:24" x14ac:dyDescent="0.3">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6"/>
      <c r="P628" s="508"/>
      <c r="T628" s="386"/>
      <c r="U628" s="383"/>
      <c r="V628" s="383"/>
      <c r="W628" s="383"/>
      <c r="X628" s="385"/>
    </row>
    <row r="629" spans="1:24" x14ac:dyDescent="0.3">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6"/>
      <c r="P629" s="508"/>
      <c r="T629" s="386"/>
      <c r="U629" s="383"/>
      <c r="V629" s="383"/>
      <c r="W629" s="383"/>
      <c r="X629" s="385"/>
    </row>
    <row r="630" spans="1:24" x14ac:dyDescent="0.3">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6"/>
      <c r="P630" s="508"/>
      <c r="T630" s="386"/>
      <c r="U630" s="383"/>
      <c r="V630" s="383"/>
      <c r="W630" s="383"/>
      <c r="X630" s="385"/>
    </row>
    <row r="631" spans="1:24" x14ac:dyDescent="0.3">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6"/>
      <c r="P631" s="508"/>
      <c r="T631" s="386"/>
      <c r="U631" s="383"/>
      <c r="V631" s="383"/>
      <c r="W631" s="383"/>
      <c r="X631" s="385"/>
    </row>
    <row r="632" spans="1:24" x14ac:dyDescent="0.3">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6"/>
      <c r="P632" s="508"/>
      <c r="T632" s="386"/>
      <c r="U632" s="383"/>
      <c r="V632" s="383"/>
      <c r="W632" s="383"/>
      <c r="X632" s="385"/>
    </row>
    <row r="633" spans="1:24" x14ac:dyDescent="0.3">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04"/>
      <c r="P633" s="508"/>
      <c r="T633" s="386"/>
      <c r="U633" s="383"/>
      <c r="V633" s="383"/>
      <c r="W633" s="383"/>
      <c r="X633" s="385"/>
    </row>
    <row r="634" spans="1:24" x14ac:dyDescent="0.3">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04"/>
      <c r="P634" s="508"/>
      <c r="T634" s="386"/>
      <c r="U634" s="383"/>
      <c r="V634" s="383"/>
      <c r="W634" s="383"/>
      <c r="X634" s="385"/>
    </row>
    <row r="635" spans="1:24" x14ac:dyDescent="0.3">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04"/>
      <c r="P635" s="508"/>
      <c r="T635" s="386"/>
      <c r="U635" s="383"/>
      <c r="V635" s="383"/>
      <c r="W635" s="383"/>
      <c r="X635" s="385"/>
    </row>
    <row r="636" spans="1:24" x14ac:dyDescent="0.3">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04"/>
      <c r="P636" s="508"/>
      <c r="T636" s="386"/>
      <c r="U636" s="383"/>
      <c r="V636" s="383"/>
      <c r="W636" s="383"/>
      <c r="X636" s="385"/>
    </row>
    <row r="637" spans="1:24" x14ac:dyDescent="0.3">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04"/>
      <c r="P637" s="508"/>
      <c r="T637" s="386"/>
      <c r="U637" s="383"/>
      <c r="V637" s="383"/>
      <c r="W637" s="383"/>
      <c r="X637" s="385"/>
    </row>
    <row r="638" spans="1:24" x14ac:dyDescent="0.3">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04"/>
      <c r="P638" s="508"/>
      <c r="T638" s="386"/>
      <c r="U638" s="383"/>
      <c r="V638" s="383"/>
      <c r="W638" s="383"/>
      <c r="X638" s="385"/>
    </row>
    <row r="639" spans="1:24" x14ac:dyDescent="0.3">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04"/>
      <c r="P639" s="508"/>
      <c r="T639" s="386"/>
      <c r="U639" s="383"/>
      <c r="V639" s="383"/>
      <c r="W639" s="383"/>
      <c r="X639" s="385"/>
    </row>
    <row r="640" spans="1:24" x14ac:dyDescent="0.3">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04"/>
      <c r="P640" s="508"/>
      <c r="T640" s="386"/>
      <c r="U640" s="383"/>
      <c r="V640" s="383"/>
      <c r="W640" s="383"/>
      <c r="X640" s="385"/>
    </row>
    <row r="641" spans="1:24" x14ac:dyDescent="0.3">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508"/>
      <c r="T641" s="386"/>
      <c r="U641" s="383"/>
      <c r="V641" s="383"/>
      <c r="W641" s="383"/>
      <c r="X641" s="385"/>
    </row>
    <row r="642" spans="1:24" x14ac:dyDescent="0.3">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508"/>
      <c r="T642" s="386"/>
      <c r="U642" s="383"/>
      <c r="V642" s="383"/>
      <c r="W642" s="383"/>
      <c r="X642" s="385"/>
    </row>
    <row r="643" spans="1:24" x14ac:dyDescent="0.3">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508"/>
      <c r="T643" s="386"/>
      <c r="U643" s="383"/>
      <c r="V643" s="383"/>
      <c r="W643" s="383"/>
      <c r="X643" s="385"/>
    </row>
    <row r="644" spans="1:24" x14ac:dyDescent="0.3">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508"/>
      <c r="T644" s="386"/>
      <c r="U644" s="383"/>
      <c r="V644" s="383"/>
      <c r="W644" s="383"/>
      <c r="X644" s="385"/>
    </row>
    <row r="645" spans="1:24" x14ac:dyDescent="0.3">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508"/>
      <c r="T645" s="386"/>
      <c r="U645" s="383"/>
      <c r="V645" s="383"/>
      <c r="W645" s="383"/>
      <c r="X645" s="385"/>
    </row>
    <row r="646" spans="1:24" x14ac:dyDescent="0.3">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508"/>
      <c r="T646" s="386"/>
      <c r="U646" s="383"/>
      <c r="V646" s="383"/>
      <c r="W646" s="383"/>
      <c r="X646" s="385"/>
    </row>
    <row r="647" spans="1:24" x14ac:dyDescent="0.3">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508"/>
      <c r="T647" s="386"/>
      <c r="U647" s="383"/>
      <c r="V647" s="383"/>
      <c r="W647" s="383"/>
      <c r="X647" s="385"/>
    </row>
    <row r="648" spans="1:24" x14ac:dyDescent="0.3">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508"/>
      <c r="T648" s="386"/>
      <c r="U648" s="383"/>
      <c r="V648" s="383"/>
      <c r="W648" s="383"/>
      <c r="X648" s="385"/>
    </row>
    <row r="649" spans="1:24" x14ac:dyDescent="0.3">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508"/>
      <c r="T649" s="386"/>
      <c r="U649" s="383"/>
      <c r="V649" s="383"/>
      <c r="W649" s="383"/>
      <c r="X649" s="385"/>
    </row>
    <row r="650" spans="1:24" x14ac:dyDescent="0.3">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508"/>
      <c r="T650" s="386"/>
      <c r="U650" s="383"/>
      <c r="V650" s="383"/>
      <c r="W650" s="383"/>
      <c r="X650" s="385"/>
    </row>
    <row r="651" spans="1:24" x14ac:dyDescent="0.3">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508"/>
      <c r="T651" s="386"/>
      <c r="U651" s="383"/>
      <c r="V651" s="383"/>
      <c r="W651" s="383"/>
      <c r="X651" s="385"/>
    </row>
    <row r="652" spans="1:24" x14ac:dyDescent="0.3">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508"/>
      <c r="T652" s="386"/>
      <c r="U652" s="383"/>
      <c r="V652" s="383"/>
      <c r="W652" s="383"/>
      <c r="X652" s="385"/>
    </row>
    <row r="653" spans="1:24" x14ac:dyDescent="0.3">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508"/>
      <c r="T653" s="386"/>
      <c r="U653" s="383"/>
      <c r="V653" s="383"/>
      <c r="W653" s="383"/>
      <c r="X653" s="385"/>
    </row>
    <row r="654" spans="1:24" x14ac:dyDescent="0.3">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508"/>
      <c r="T654" s="386"/>
      <c r="U654" s="383"/>
      <c r="V654" s="383"/>
      <c r="W654" s="383"/>
      <c r="X654" s="385"/>
    </row>
    <row r="655" spans="1:24" x14ac:dyDescent="0.3">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508"/>
      <c r="T655" s="386"/>
      <c r="U655" s="383"/>
      <c r="V655" s="383"/>
      <c r="W655" s="383"/>
      <c r="X655" s="385"/>
    </row>
    <row r="656" spans="1:24" x14ac:dyDescent="0.3">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508"/>
      <c r="T656" s="386"/>
      <c r="U656" s="383"/>
      <c r="V656" s="383"/>
      <c r="W656" s="383"/>
      <c r="X656" s="385"/>
    </row>
    <row r="657" spans="1:24" x14ac:dyDescent="0.3">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508"/>
      <c r="T657" s="386"/>
      <c r="U657" s="383"/>
      <c r="V657" s="383"/>
      <c r="W657" s="383"/>
      <c r="X657" s="385"/>
    </row>
    <row r="658" spans="1:24" x14ac:dyDescent="0.3">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508"/>
      <c r="T658" s="386"/>
      <c r="U658" s="383"/>
      <c r="V658" s="383"/>
      <c r="W658" s="383"/>
      <c r="X658" s="385"/>
    </row>
    <row r="659" spans="1:24" x14ac:dyDescent="0.3">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508"/>
      <c r="T659" s="386"/>
      <c r="U659" s="383"/>
      <c r="V659" s="383"/>
      <c r="W659" s="383"/>
      <c r="X659" s="385"/>
    </row>
    <row r="660" spans="1:24" x14ac:dyDescent="0.3">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508"/>
      <c r="T660" s="386"/>
      <c r="U660" s="383"/>
      <c r="V660" s="383"/>
      <c r="W660" s="383"/>
      <c r="X660" s="385"/>
    </row>
    <row r="661" spans="1:24" x14ac:dyDescent="0.3">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508"/>
      <c r="T661" s="386"/>
      <c r="U661" s="383"/>
      <c r="V661" s="383"/>
      <c r="W661" s="383"/>
      <c r="X661" s="385"/>
    </row>
    <row r="662" spans="1:24" x14ac:dyDescent="0.3">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508"/>
      <c r="T662" s="386"/>
      <c r="U662" s="383"/>
      <c r="V662" s="383"/>
      <c r="W662" s="383"/>
      <c r="X662" s="385"/>
    </row>
    <row r="663" spans="1:24" x14ac:dyDescent="0.3">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508"/>
      <c r="T663" s="386"/>
      <c r="U663" s="383"/>
      <c r="V663" s="383"/>
      <c r="W663" s="383"/>
      <c r="X663" s="385"/>
    </row>
    <row r="664" spans="1:24" x14ac:dyDescent="0.3">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508"/>
      <c r="T664" s="386"/>
      <c r="U664" s="383"/>
      <c r="V664" s="383"/>
      <c r="W664" s="383"/>
      <c r="X664" s="385"/>
    </row>
    <row r="665" spans="1:24" x14ac:dyDescent="0.3">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508"/>
      <c r="T665" s="386"/>
      <c r="U665" s="383"/>
      <c r="V665" s="383"/>
      <c r="W665" s="383"/>
      <c r="X665" s="385"/>
    </row>
    <row r="666" spans="1:24" x14ac:dyDescent="0.3">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508"/>
      <c r="T666" s="386"/>
      <c r="U666" s="383"/>
      <c r="V666" s="383"/>
      <c r="W666" s="383"/>
      <c r="X666" s="385"/>
    </row>
    <row r="667" spans="1:24" x14ac:dyDescent="0.3">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508"/>
      <c r="T667" s="386"/>
      <c r="U667" s="383"/>
      <c r="V667" s="383"/>
      <c r="W667" s="383"/>
      <c r="X667" s="385"/>
    </row>
    <row r="668" spans="1:24" x14ac:dyDescent="0.3">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508"/>
      <c r="T668" s="386"/>
      <c r="U668" s="383"/>
      <c r="V668" s="383"/>
      <c r="W668" s="383"/>
      <c r="X668" s="385"/>
    </row>
    <row r="669" spans="1:24" x14ac:dyDescent="0.3">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508"/>
      <c r="T669" s="386"/>
      <c r="U669" s="383"/>
      <c r="V669" s="383"/>
      <c r="W669" s="383"/>
      <c r="X669" s="385"/>
    </row>
    <row r="670" spans="1:24" x14ac:dyDescent="0.3">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508"/>
      <c r="T670" s="386"/>
      <c r="U670" s="383"/>
      <c r="V670" s="383"/>
      <c r="W670" s="383"/>
      <c r="X670" s="385"/>
    </row>
    <row r="671" spans="1:24" x14ac:dyDescent="0.3">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508"/>
      <c r="T671" s="386"/>
      <c r="U671" s="383"/>
      <c r="V671" s="383"/>
      <c r="W671" s="383"/>
      <c r="X671" s="385"/>
    </row>
    <row r="672" spans="1:24" x14ac:dyDescent="0.3">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508"/>
      <c r="T672" s="386"/>
      <c r="U672" s="383"/>
      <c r="V672" s="383"/>
      <c r="W672" s="383"/>
      <c r="X672" s="385"/>
    </row>
    <row r="673" spans="1:24" x14ac:dyDescent="0.3">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508"/>
      <c r="T673" s="386"/>
      <c r="U673" s="383"/>
      <c r="V673" s="383"/>
      <c r="W673" s="383"/>
      <c r="X673" s="385"/>
    </row>
    <row r="674" spans="1:24" x14ac:dyDescent="0.3">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508"/>
      <c r="T674" s="386"/>
      <c r="U674" s="383"/>
      <c r="V674" s="383"/>
      <c r="W674" s="383"/>
      <c r="X674" s="385"/>
    </row>
    <row r="675" spans="1:24" x14ac:dyDescent="0.3">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508"/>
      <c r="T675" s="386"/>
      <c r="U675" s="383"/>
      <c r="V675" s="383"/>
      <c r="W675" s="383"/>
      <c r="X675" s="385"/>
    </row>
    <row r="676" spans="1:24" x14ac:dyDescent="0.3">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508"/>
      <c r="T676" s="386"/>
      <c r="U676" s="383"/>
      <c r="V676" s="383"/>
      <c r="W676" s="383"/>
      <c r="X676" s="385"/>
    </row>
    <row r="677" spans="1:24" x14ac:dyDescent="0.3">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508"/>
      <c r="T677" s="386"/>
      <c r="U677" s="383"/>
      <c r="V677" s="383"/>
      <c r="W677" s="383"/>
      <c r="X677" s="385"/>
    </row>
    <row r="678" spans="1:24" x14ac:dyDescent="0.3">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508"/>
      <c r="T678" s="386"/>
      <c r="U678" s="383"/>
      <c r="V678" s="383"/>
      <c r="W678" s="383"/>
      <c r="X678" s="385"/>
    </row>
    <row r="679" spans="1:24" x14ac:dyDescent="0.3">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508"/>
      <c r="T679" s="386"/>
      <c r="U679" s="383"/>
      <c r="V679" s="383"/>
      <c r="W679" s="383"/>
      <c r="X679" s="385"/>
    </row>
    <row r="680" spans="1:24" x14ac:dyDescent="0.3">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508"/>
      <c r="T680" s="386"/>
      <c r="U680" s="383"/>
      <c r="V680" s="383"/>
      <c r="W680" s="383"/>
      <c r="X680" s="385"/>
    </row>
    <row r="681" spans="1:24" x14ac:dyDescent="0.3">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508"/>
      <c r="T681" s="386"/>
      <c r="U681" s="383"/>
      <c r="V681" s="383"/>
      <c r="W681" s="383"/>
      <c r="X681" s="385"/>
    </row>
    <row r="682" spans="1:24" x14ac:dyDescent="0.3">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508"/>
      <c r="T682" s="386"/>
      <c r="U682" s="383"/>
      <c r="V682" s="383"/>
      <c r="W682" s="383"/>
      <c r="X682" s="385"/>
    </row>
    <row r="683" spans="1:24" x14ac:dyDescent="0.3">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508"/>
      <c r="T683" s="386"/>
      <c r="U683" s="383"/>
      <c r="V683" s="383"/>
      <c r="W683" s="383"/>
      <c r="X683" s="385"/>
    </row>
    <row r="684" spans="1:24" x14ac:dyDescent="0.3">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508"/>
      <c r="T684" s="386"/>
      <c r="U684" s="383"/>
      <c r="V684" s="383"/>
      <c r="W684" s="383"/>
      <c r="X684" s="385"/>
    </row>
    <row r="685" spans="1:24" x14ac:dyDescent="0.3">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8"/>
      <c r="T685" s="386"/>
      <c r="U685" s="383"/>
      <c r="V685" s="383"/>
      <c r="W685" s="383"/>
      <c r="X685" s="385"/>
    </row>
    <row r="686" spans="1:24" x14ac:dyDescent="0.3">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8"/>
      <c r="T686" s="386"/>
      <c r="U686" s="383"/>
      <c r="V686" s="383"/>
      <c r="W686" s="383"/>
      <c r="X686" s="385"/>
    </row>
    <row r="687" spans="1:24" x14ac:dyDescent="0.3">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8"/>
      <c r="T687" s="386"/>
      <c r="U687" s="383"/>
      <c r="V687" s="383"/>
      <c r="W687" s="383"/>
      <c r="X687" s="385"/>
    </row>
    <row r="688" spans="1:24" x14ac:dyDescent="0.3">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8"/>
      <c r="T688" s="386"/>
      <c r="U688" s="383"/>
      <c r="V688" s="383"/>
      <c r="W688" s="383"/>
      <c r="X688" s="385"/>
    </row>
    <row r="689" spans="1:24" x14ac:dyDescent="0.3">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8"/>
      <c r="T689" s="386"/>
      <c r="U689" s="383"/>
      <c r="V689" s="383"/>
      <c r="W689" s="383"/>
      <c r="X689" s="385"/>
    </row>
    <row r="690" spans="1:24" x14ac:dyDescent="0.3">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8"/>
      <c r="T690" s="386"/>
      <c r="U690" s="383"/>
      <c r="V690" s="383"/>
      <c r="W690" s="383"/>
      <c r="X690" s="385"/>
    </row>
    <row r="691" spans="1:24" x14ac:dyDescent="0.3">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8"/>
      <c r="T691" s="386"/>
      <c r="U691" s="383"/>
      <c r="V691" s="383"/>
      <c r="W691" s="383"/>
      <c r="X691" s="385"/>
    </row>
    <row r="692" spans="1:24" x14ac:dyDescent="0.3">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8"/>
      <c r="T692" s="386"/>
      <c r="U692" s="383"/>
      <c r="V692" s="383"/>
      <c r="W692" s="383"/>
      <c r="X692" s="385"/>
    </row>
    <row r="693" spans="1:24" x14ac:dyDescent="0.3">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8"/>
      <c r="T693" s="386"/>
      <c r="U693" s="383"/>
      <c r="V693" s="383"/>
      <c r="W693" s="383"/>
      <c r="X693" s="385"/>
    </row>
    <row r="694" spans="1:24" x14ac:dyDescent="0.3">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8"/>
      <c r="T694" s="386"/>
      <c r="U694" s="383"/>
      <c r="V694" s="383"/>
      <c r="W694" s="383"/>
      <c r="X694" s="385"/>
    </row>
    <row r="695" spans="1:24" x14ac:dyDescent="0.3">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8"/>
      <c r="T695" s="386"/>
      <c r="U695" s="383"/>
      <c r="V695" s="383"/>
      <c r="W695" s="383"/>
      <c r="X695" s="385"/>
    </row>
    <row r="696" spans="1:24" x14ac:dyDescent="0.3">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8"/>
      <c r="T696" s="386"/>
      <c r="U696" s="383"/>
      <c r="V696" s="383"/>
      <c r="W696" s="383"/>
      <c r="X696" s="385"/>
    </row>
    <row r="697" spans="1:24" x14ac:dyDescent="0.3">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8"/>
      <c r="T697" s="386"/>
      <c r="U697" s="383"/>
      <c r="V697" s="383"/>
      <c r="W697" s="383"/>
      <c r="X697" s="385"/>
    </row>
    <row r="698" spans="1:24" x14ac:dyDescent="0.3">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8"/>
      <c r="T698" s="386"/>
      <c r="U698" s="383"/>
      <c r="V698" s="383"/>
      <c r="W698" s="383"/>
      <c r="X698" s="385"/>
    </row>
    <row r="699" spans="1:24" x14ac:dyDescent="0.3">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8"/>
      <c r="T699" s="386"/>
      <c r="U699" s="383"/>
      <c r="V699" s="383"/>
      <c r="W699" s="383"/>
      <c r="X699" s="385"/>
    </row>
    <row r="700" spans="1:24" x14ac:dyDescent="0.3">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8"/>
      <c r="T700" s="386"/>
      <c r="U700" s="383"/>
      <c r="V700" s="383"/>
      <c r="W700" s="383"/>
      <c r="X700" s="385"/>
    </row>
    <row r="701" spans="1:24" x14ac:dyDescent="0.3">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8"/>
      <c r="T701" s="386"/>
      <c r="U701" s="383"/>
      <c r="V701" s="383"/>
      <c r="W701" s="383"/>
      <c r="X701" s="385"/>
    </row>
    <row r="702" spans="1:24" x14ac:dyDescent="0.3">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8"/>
      <c r="T702" s="386"/>
      <c r="U702" s="383"/>
      <c r="V702" s="383"/>
      <c r="W702" s="383"/>
      <c r="X702" s="385"/>
    </row>
    <row r="703" spans="1:24" x14ac:dyDescent="0.3">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8"/>
      <c r="T703" s="386"/>
      <c r="U703" s="383"/>
      <c r="V703" s="383"/>
      <c r="W703" s="383"/>
      <c r="X703" s="385"/>
    </row>
    <row r="704" spans="1:24" x14ac:dyDescent="0.3">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8"/>
      <c r="T704" s="386"/>
      <c r="U704" s="383"/>
      <c r="V704" s="383"/>
      <c r="W704" s="383"/>
      <c r="X704" s="385"/>
    </row>
    <row r="705" spans="1:24" x14ac:dyDescent="0.3">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8"/>
      <c r="T705" s="386"/>
      <c r="U705" s="383"/>
      <c r="V705" s="383"/>
      <c r="W705" s="383"/>
      <c r="X705" s="385"/>
    </row>
    <row r="706" spans="1:24" x14ac:dyDescent="0.3">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8"/>
      <c r="T706" s="386"/>
      <c r="U706" s="383"/>
      <c r="V706" s="383"/>
      <c r="W706" s="383"/>
      <c r="X706" s="385"/>
    </row>
    <row r="707" spans="1:24" x14ac:dyDescent="0.3">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8"/>
      <c r="T707" s="386"/>
      <c r="U707" s="383"/>
      <c r="V707" s="383"/>
      <c r="W707" s="383"/>
      <c r="X707" s="385"/>
    </row>
    <row r="708" spans="1:24" x14ac:dyDescent="0.3">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8"/>
      <c r="T708" s="386"/>
      <c r="U708" s="383"/>
      <c r="V708" s="383"/>
      <c r="W708" s="383"/>
      <c r="X708" s="385"/>
    </row>
    <row r="709" spans="1:24" x14ac:dyDescent="0.3">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8"/>
      <c r="T709" s="386"/>
      <c r="U709" s="383"/>
      <c r="V709" s="383"/>
      <c r="W709" s="383"/>
      <c r="X709" s="385"/>
    </row>
    <row r="710" spans="1:24" x14ac:dyDescent="0.3">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8"/>
      <c r="T710" s="386"/>
      <c r="U710" s="383"/>
      <c r="V710" s="383"/>
      <c r="W710" s="383"/>
      <c r="X710" s="385"/>
    </row>
    <row r="711" spans="1:24" x14ac:dyDescent="0.3">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8"/>
      <c r="T711" s="386"/>
      <c r="U711" s="383"/>
      <c r="V711" s="383"/>
      <c r="W711" s="383"/>
      <c r="X711" s="385"/>
    </row>
    <row r="712" spans="1:24" x14ac:dyDescent="0.3">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8"/>
      <c r="T712" s="386"/>
      <c r="U712" s="383"/>
      <c r="V712" s="383"/>
      <c r="W712" s="383"/>
      <c r="X712" s="385"/>
    </row>
    <row r="713" spans="1:24" x14ac:dyDescent="0.3">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8"/>
      <c r="T713" s="386"/>
      <c r="U713" s="383"/>
      <c r="V713" s="383"/>
      <c r="W713" s="383"/>
      <c r="X713" s="385"/>
    </row>
    <row r="714" spans="1:24" x14ac:dyDescent="0.3">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8"/>
      <c r="T714" s="386"/>
      <c r="U714" s="383"/>
      <c r="V714" s="383"/>
      <c r="W714" s="383"/>
      <c r="X714" s="385"/>
    </row>
    <row r="715" spans="1:24" x14ac:dyDescent="0.3">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8"/>
      <c r="T715" s="386"/>
      <c r="U715" s="383"/>
      <c r="V715" s="383"/>
      <c r="W715" s="383"/>
      <c r="X715" s="385"/>
    </row>
    <row r="716" spans="1:24" x14ac:dyDescent="0.3">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8"/>
      <c r="T716" s="386"/>
      <c r="U716" s="383"/>
      <c r="V716" s="383"/>
      <c r="W716" s="383"/>
      <c r="X716" s="385"/>
    </row>
    <row r="717" spans="1:24" x14ac:dyDescent="0.3">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8"/>
      <c r="T717" s="386"/>
      <c r="U717" s="383"/>
      <c r="V717" s="383"/>
      <c r="W717" s="383"/>
      <c r="X717" s="385"/>
    </row>
    <row r="718" spans="1:24" x14ac:dyDescent="0.3">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8"/>
      <c r="T718" s="386"/>
      <c r="U718" s="383"/>
      <c r="V718" s="383"/>
      <c r="W718" s="383"/>
      <c r="X718" s="385"/>
    </row>
    <row r="719" spans="1:24" x14ac:dyDescent="0.3">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8"/>
      <c r="T719" s="386"/>
      <c r="U719" s="383"/>
      <c r="V719" s="383"/>
      <c r="W719" s="383"/>
      <c r="X719" s="385"/>
    </row>
    <row r="720" spans="1:24" x14ac:dyDescent="0.3">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8"/>
      <c r="T720" s="386"/>
      <c r="U720" s="383"/>
      <c r="V720" s="383"/>
      <c r="W720" s="383"/>
      <c r="X720" s="385"/>
    </row>
    <row r="721" spans="1:24" x14ac:dyDescent="0.3">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8"/>
      <c r="T721" s="386"/>
      <c r="U721" s="383"/>
      <c r="V721" s="383"/>
      <c r="W721" s="383"/>
      <c r="X721" s="385"/>
    </row>
    <row r="722" spans="1:24" x14ac:dyDescent="0.3">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8"/>
      <c r="T722" s="386"/>
      <c r="U722" s="383"/>
      <c r="V722" s="383"/>
      <c r="W722" s="383"/>
      <c r="X722" s="385"/>
    </row>
    <row r="723" spans="1:24" x14ac:dyDescent="0.3">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8"/>
      <c r="T723" s="386"/>
      <c r="U723" s="383"/>
      <c r="V723" s="383"/>
      <c r="W723" s="383"/>
      <c r="X723" s="385"/>
    </row>
    <row r="724" spans="1:24" x14ac:dyDescent="0.3">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8"/>
      <c r="T724" s="386"/>
      <c r="U724" s="383"/>
      <c r="V724" s="383"/>
      <c r="W724" s="383"/>
      <c r="X724" s="385"/>
    </row>
    <row r="725" spans="1:24" x14ac:dyDescent="0.3">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8"/>
      <c r="T725" s="386"/>
      <c r="U725" s="383"/>
      <c r="V725" s="383"/>
      <c r="W725" s="383"/>
      <c r="X725" s="385"/>
    </row>
    <row r="726" spans="1:24" x14ac:dyDescent="0.3">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4"/>
      <c r="T726" s="386"/>
      <c r="U726" s="383"/>
      <c r="V726" s="383"/>
      <c r="W726" s="383"/>
      <c r="X726" s="385"/>
    </row>
    <row r="727" spans="1:24" x14ac:dyDescent="0.3">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4"/>
      <c r="T727" s="386"/>
      <c r="U727" s="383"/>
      <c r="V727" s="383"/>
      <c r="W727" s="383"/>
      <c r="X727" s="385"/>
    </row>
    <row r="728" spans="1:24" x14ac:dyDescent="0.3">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4"/>
      <c r="T728" s="386"/>
      <c r="U728" s="383"/>
      <c r="V728" s="383"/>
      <c r="W728" s="383"/>
      <c r="X728" s="385"/>
    </row>
    <row r="729" spans="1:24" x14ac:dyDescent="0.3">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4"/>
      <c r="T729" s="386"/>
      <c r="U729" s="383"/>
      <c r="V729" s="383"/>
      <c r="W729" s="383"/>
      <c r="X729" s="385"/>
    </row>
    <row r="730" spans="1:24" x14ac:dyDescent="0.3">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4"/>
      <c r="T730" s="386"/>
      <c r="U730" s="383"/>
      <c r="V730" s="383"/>
      <c r="W730" s="383"/>
      <c r="X730" s="385"/>
    </row>
    <row r="731" spans="1:24" x14ac:dyDescent="0.3">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4"/>
      <c r="T731" s="386"/>
      <c r="U731" s="383"/>
      <c r="V731" s="383"/>
      <c r="W731" s="383"/>
      <c r="X731" s="385"/>
    </row>
    <row r="732" spans="1:24" x14ac:dyDescent="0.3">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4"/>
      <c r="T732" s="386"/>
      <c r="U732" s="383"/>
      <c r="V732" s="383"/>
      <c r="W732" s="383"/>
      <c r="X732" s="385"/>
    </row>
    <row r="733" spans="1:24" x14ac:dyDescent="0.3">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4"/>
      <c r="T733" s="386"/>
      <c r="U733" s="383"/>
      <c r="V733" s="383"/>
      <c r="W733" s="383"/>
      <c r="X733" s="385"/>
    </row>
    <row r="734" spans="1:24" x14ac:dyDescent="0.3">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4"/>
      <c r="T734" s="386"/>
      <c r="U734" s="383"/>
      <c r="V734" s="383"/>
      <c r="W734" s="383"/>
      <c r="X734" s="385"/>
    </row>
    <row r="735" spans="1:24" x14ac:dyDescent="0.3">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4"/>
      <c r="T735" s="386"/>
      <c r="U735" s="383"/>
      <c r="V735" s="383"/>
      <c r="W735" s="383"/>
      <c r="X735" s="385"/>
    </row>
    <row r="736" spans="1:24" x14ac:dyDescent="0.3">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4"/>
      <c r="T736" s="386"/>
      <c r="U736" s="383"/>
      <c r="V736" s="383"/>
      <c r="W736" s="383"/>
      <c r="X736" s="385"/>
    </row>
    <row r="737" spans="1:24" x14ac:dyDescent="0.3">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4"/>
      <c r="T737" s="386"/>
      <c r="U737" s="383"/>
      <c r="V737" s="383"/>
      <c r="W737" s="383"/>
      <c r="X737" s="385"/>
    </row>
    <row r="738" spans="1:24" x14ac:dyDescent="0.3">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4"/>
      <c r="T738" s="386"/>
      <c r="U738" s="383"/>
      <c r="V738" s="383"/>
      <c r="W738" s="383"/>
      <c r="X738" s="385"/>
    </row>
    <row r="739" spans="1:24" x14ac:dyDescent="0.3">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4"/>
      <c r="T739" s="386"/>
      <c r="U739" s="383"/>
      <c r="V739" s="383"/>
      <c r="W739" s="383"/>
      <c r="X739" s="385"/>
    </row>
    <row r="740" spans="1:24" x14ac:dyDescent="0.3">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4"/>
      <c r="T740" s="386"/>
      <c r="U740" s="383"/>
      <c r="V740" s="383"/>
      <c r="W740" s="383"/>
      <c r="X740" s="385"/>
    </row>
    <row r="741" spans="1:24" x14ac:dyDescent="0.3">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4"/>
      <c r="T741" s="386"/>
      <c r="U741" s="383"/>
      <c r="V741" s="383"/>
      <c r="W741" s="383"/>
      <c r="X741" s="385"/>
    </row>
    <row r="742" spans="1:24" x14ac:dyDescent="0.3">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4"/>
      <c r="T742" s="386"/>
      <c r="U742" s="383"/>
      <c r="V742" s="383"/>
      <c r="W742" s="383"/>
      <c r="X742" s="385"/>
    </row>
    <row r="743" spans="1:24" x14ac:dyDescent="0.3">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4"/>
      <c r="T743" s="386"/>
      <c r="U743" s="383"/>
      <c r="V743" s="383"/>
      <c r="W743" s="383"/>
      <c r="X743" s="385"/>
    </row>
    <row r="744" spans="1:24" x14ac:dyDescent="0.3">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4"/>
      <c r="T744" s="386"/>
      <c r="U744" s="383"/>
      <c r="V744" s="383"/>
      <c r="W744" s="383"/>
      <c r="X744" s="385"/>
    </row>
    <row r="745" spans="1:24" x14ac:dyDescent="0.3">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x14ac:dyDescent="0.3">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x14ac:dyDescent="0.3">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x14ac:dyDescent="0.3">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x14ac:dyDescent="0.3">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x14ac:dyDescent="0.3">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x14ac:dyDescent="0.3">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x14ac:dyDescent="0.3">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x14ac:dyDescent="0.3">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1"/>
      <c r="T753" s="386"/>
      <c r="U753" s="383"/>
      <c r="V753" s="383"/>
      <c r="W753" s="383"/>
      <c r="X753" s="385"/>
    </row>
    <row r="754" spans="1:24" x14ac:dyDescent="0.3">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1"/>
      <c r="T754" s="386"/>
      <c r="U754" s="383"/>
      <c r="V754" s="383"/>
      <c r="W754" s="383"/>
      <c r="X754" s="385"/>
    </row>
    <row r="755" spans="1:24" x14ac:dyDescent="0.3">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1"/>
      <c r="T755" s="386"/>
      <c r="U755" s="383"/>
      <c r="V755" s="383"/>
      <c r="W755" s="383"/>
      <c r="X755" s="385"/>
    </row>
    <row r="756" spans="1:24" x14ac:dyDescent="0.3">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81"/>
      <c r="T756" s="386"/>
      <c r="U756" s="383"/>
      <c r="V756" s="383"/>
      <c r="W756" s="383"/>
      <c r="X756" s="385"/>
    </row>
    <row r="757" spans="1:24" x14ac:dyDescent="0.3">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81"/>
      <c r="T757" s="386"/>
      <c r="U757" s="383"/>
      <c r="V757" s="383"/>
      <c r="W757" s="383"/>
      <c r="X757" s="385"/>
    </row>
    <row r="758" spans="1:24" x14ac:dyDescent="0.3">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81"/>
      <c r="T758" s="386"/>
      <c r="U758" s="383"/>
      <c r="V758" s="383"/>
      <c r="W758" s="383"/>
      <c r="X758" s="385"/>
    </row>
    <row r="759" spans="1:24" x14ac:dyDescent="0.3">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81"/>
      <c r="T759" s="386"/>
      <c r="U759" s="383"/>
      <c r="V759" s="383"/>
      <c r="W759" s="383"/>
      <c r="X759" s="385"/>
    </row>
    <row r="760" spans="1:24" x14ac:dyDescent="0.3">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81"/>
      <c r="T760" s="386"/>
      <c r="U760" s="383"/>
      <c r="V760" s="383"/>
      <c r="W760" s="383"/>
      <c r="X760" s="385"/>
    </row>
    <row r="761" spans="1:24" x14ac:dyDescent="0.3">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81"/>
      <c r="T761" s="386"/>
      <c r="U761" s="383"/>
      <c r="V761" s="383"/>
      <c r="W761" s="383"/>
      <c r="X761" s="385"/>
    </row>
    <row r="762" spans="1:24" x14ac:dyDescent="0.3">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81"/>
      <c r="T762" s="386"/>
      <c r="U762" s="383"/>
      <c r="V762" s="383"/>
      <c r="W762" s="383"/>
      <c r="X762" s="385"/>
    </row>
    <row r="763" spans="1:24" x14ac:dyDescent="0.3">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81"/>
      <c r="T763" s="386"/>
      <c r="U763" s="383"/>
      <c r="V763" s="383"/>
      <c r="W763" s="383"/>
      <c r="X763" s="385"/>
    </row>
    <row r="764" spans="1:24" x14ac:dyDescent="0.3">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81"/>
      <c r="T764" s="386"/>
      <c r="U764" s="383"/>
      <c r="V764" s="383"/>
      <c r="W764" s="383"/>
      <c r="X764" s="385"/>
    </row>
    <row r="765" spans="1:24" x14ac:dyDescent="0.3">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81"/>
      <c r="T765" s="386"/>
      <c r="U765" s="383"/>
      <c r="V765" s="383"/>
      <c r="W765" s="383"/>
      <c r="X765" s="385"/>
    </row>
    <row r="766" spans="1:24" x14ac:dyDescent="0.3">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81"/>
      <c r="T766" s="386"/>
      <c r="U766" s="383"/>
      <c r="V766" s="383"/>
      <c r="W766" s="383"/>
      <c r="X766" s="385"/>
    </row>
    <row r="767" spans="1:24" x14ac:dyDescent="0.3">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81"/>
      <c r="T767" s="386"/>
      <c r="U767" s="383"/>
      <c r="V767" s="383"/>
      <c r="W767" s="383"/>
      <c r="X767" s="385"/>
    </row>
    <row r="768" spans="1:24" x14ac:dyDescent="0.3">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81"/>
      <c r="T768" s="386"/>
      <c r="U768" s="383"/>
      <c r="V768" s="383"/>
      <c r="W768" s="383"/>
      <c r="X768" s="385"/>
    </row>
    <row r="769" spans="1:24" x14ac:dyDescent="0.3">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81"/>
      <c r="T769" s="386"/>
      <c r="U769" s="383"/>
      <c r="V769" s="383"/>
      <c r="W769" s="383"/>
      <c r="X769" s="385"/>
    </row>
    <row r="770" spans="1:24" x14ac:dyDescent="0.3">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81"/>
      <c r="T770" s="386"/>
      <c r="U770" s="383"/>
      <c r="V770" s="383"/>
      <c r="W770" s="383"/>
      <c r="X770" s="385"/>
    </row>
    <row r="771" spans="1:24" x14ac:dyDescent="0.3">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81"/>
      <c r="T771" s="386"/>
      <c r="U771" s="383"/>
      <c r="V771" s="383"/>
      <c r="W771" s="383"/>
      <c r="X771" s="385"/>
    </row>
    <row r="772" spans="1:24" x14ac:dyDescent="0.3">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81"/>
      <c r="T772" s="386"/>
      <c r="U772" s="383"/>
      <c r="V772" s="383"/>
      <c r="W772" s="383"/>
      <c r="X772" s="385"/>
    </row>
    <row r="773" spans="1:24" x14ac:dyDescent="0.3">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81"/>
      <c r="T773" s="386"/>
      <c r="U773" s="383"/>
      <c r="V773" s="383"/>
      <c r="W773" s="383"/>
      <c r="X773" s="385"/>
    </row>
    <row r="774" spans="1:24" x14ac:dyDescent="0.3">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81"/>
      <c r="T774" s="386"/>
      <c r="U774" s="383"/>
      <c r="V774" s="383"/>
      <c r="W774" s="383"/>
      <c r="X774" s="385"/>
    </row>
    <row r="775" spans="1:24" x14ac:dyDescent="0.3">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81"/>
      <c r="T775" s="386"/>
      <c r="U775" s="383"/>
      <c r="V775" s="383"/>
      <c r="W775" s="383"/>
      <c r="X775" s="385"/>
    </row>
    <row r="776" spans="1:24" x14ac:dyDescent="0.3">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81"/>
      <c r="T776" s="386"/>
      <c r="U776" s="383"/>
      <c r="V776" s="383"/>
      <c r="W776" s="383"/>
      <c r="X776" s="385"/>
    </row>
    <row r="777" spans="1:24" x14ac:dyDescent="0.3">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81"/>
      <c r="T777" s="386"/>
      <c r="U777" s="383"/>
      <c r="V777" s="383"/>
      <c r="W777" s="383"/>
      <c r="X777" s="385"/>
    </row>
    <row r="778" spans="1:24" x14ac:dyDescent="0.3">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81"/>
      <c r="T778" s="386"/>
      <c r="U778" s="383"/>
      <c r="V778" s="383"/>
      <c r="W778" s="383"/>
      <c r="X778" s="385"/>
    </row>
    <row r="779" spans="1:24" x14ac:dyDescent="0.3">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81"/>
      <c r="T779" s="386"/>
      <c r="U779" s="383"/>
      <c r="V779" s="383"/>
      <c r="W779" s="383"/>
      <c r="X779" s="385"/>
    </row>
    <row r="780" spans="1:24" x14ac:dyDescent="0.3">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81"/>
      <c r="T780" s="386"/>
      <c r="U780" s="383"/>
      <c r="V780" s="383"/>
      <c r="W780" s="383"/>
      <c r="X780" s="385"/>
    </row>
    <row r="781" spans="1:24" x14ac:dyDescent="0.3">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81"/>
      <c r="T781" s="386"/>
      <c r="U781" s="383"/>
      <c r="V781" s="383"/>
      <c r="W781" s="383"/>
      <c r="X781" s="385"/>
    </row>
    <row r="782" spans="1:24" x14ac:dyDescent="0.3">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81"/>
      <c r="T782" s="386"/>
      <c r="U782" s="383"/>
      <c r="V782" s="383"/>
      <c r="W782" s="383"/>
      <c r="X782" s="385"/>
    </row>
    <row r="783" spans="1:24" x14ac:dyDescent="0.3">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81"/>
      <c r="T783" s="386"/>
      <c r="U783" s="383"/>
      <c r="V783" s="383"/>
      <c r="W783" s="383"/>
      <c r="X783" s="385"/>
    </row>
    <row r="784" spans="1:24" x14ac:dyDescent="0.3">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81"/>
      <c r="T784" s="386"/>
      <c r="U784" s="383"/>
      <c r="V784" s="383"/>
      <c r="W784" s="383"/>
      <c r="X784" s="385"/>
    </row>
    <row r="785" spans="1:24" x14ac:dyDescent="0.3">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81"/>
      <c r="T785" s="386"/>
      <c r="U785" s="383"/>
      <c r="V785" s="383"/>
      <c r="W785" s="383"/>
      <c r="X785" s="385"/>
    </row>
    <row r="786" spans="1:24" x14ac:dyDescent="0.3">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81"/>
      <c r="T786" s="386"/>
      <c r="U786" s="383"/>
      <c r="V786" s="383"/>
      <c r="W786" s="383"/>
      <c r="X786" s="385"/>
    </row>
    <row r="787" spans="1:24" x14ac:dyDescent="0.3">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81"/>
      <c r="T787" s="386"/>
      <c r="U787" s="383"/>
      <c r="V787" s="383"/>
      <c r="W787" s="383"/>
      <c r="X787" s="385"/>
    </row>
    <row r="788" spans="1:24" x14ac:dyDescent="0.3">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81"/>
      <c r="T788" s="386"/>
      <c r="U788" s="383"/>
      <c r="V788" s="383"/>
      <c r="W788" s="383"/>
      <c r="X788" s="385"/>
    </row>
    <row r="789" spans="1:24" x14ac:dyDescent="0.3">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81"/>
      <c r="T789" s="386"/>
      <c r="U789" s="383"/>
      <c r="V789" s="383"/>
      <c r="W789" s="383"/>
      <c r="X789" s="385"/>
    </row>
    <row r="790" spans="1:24" x14ac:dyDescent="0.3">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81"/>
      <c r="T790" s="386"/>
      <c r="U790" s="383"/>
      <c r="V790" s="383"/>
      <c r="W790" s="383"/>
      <c r="X790" s="385"/>
    </row>
    <row r="791" spans="1:24" x14ac:dyDescent="0.3">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81"/>
      <c r="T791" s="386"/>
      <c r="U791" s="383"/>
      <c r="V791" s="383"/>
      <c r="W791" s="383"/>
      <c r="X791" s="385"/>
    </row>
    <row r="792" spans="1:24" x14ac:dyDescent="0.3">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81"/>
      <c r="T792" s="386"/>
      <c r="U792" s="383"/>
      <c r="V792" s="383"/>
      <c r="W792" s="383"/>
      <c r="X792" s="385"/>
    </row>
    <row r="793" spans="1:24" x14ac:dyDescent="0.3">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81"/>
      <c r="T793" s="386"/>
      <c r="U793" s="383"/>
      <c r="V793" s="383"/>
      <c r="W793" s="383"/>
      <c r="X793" s="385"/>
    </row>
    <row r="794" spans="1:24" x14ac:dyDescent="0.3">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81"/>
      <c r="T794" s="386"/>
      <c r="U794" s="383"/>
      <c r="V794" s="383"/>
      <c r="W794" s="383"/>
      <c r="X794" s="385"/>
    </row>
    <row r="795" spans="1:24" x14ac:dyDescent="0.3">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81"/>
      <c r="T795" s="386"/>
      <c r="U795" s="383"/>
      <c r="V795" s="383"/>
      <c r="W795" s="383"/>
      <c r="X795" s="385"/>
    </row>
    <row r="796" spans="1:24" x14ac:dyDescent="0.3">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81"/>
      <c r="T796" s="386"/>
      <c r="U796" s="383"/>
      <c r="V796" s="383"/>
      <c r="W796" s="383"/>
      <c r="X796" s="385"/>
    </row>
    <row r="797" spans="1:24" x14ac:dyDescent="0.3">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81"/>
      <c r="T797" s="386"/>
      <c r="U797" s="383"/>
      <c r="V797" s="383"/>
      <c r="W797" s="383"/>
      <c r="X797" s="385"/>
    </row>
    <row r="798" spans="1:24" x14ac:dyDescent="0.3">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80"/>
      <c r="T798" s="386"/>
      <c r="U798" s="383"/>
      <c r="V798" s="383"/>
      <c r="W798" s="383"/>
      <c r="X798" s="385"/>
    </row>
    <row r="799" spans="1:24" x14ac:dyDescent="0.3">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80"/>
      <c r="T799" s="386"/>
      <c r="U799" s="383"/>
      <c r="V799" s="383"/>
      <c r="W799" s="383"/>
      <c r="X799" s="385"/>
    </row>
    <row r="800" spans="1:24" x14ac:dyDescent="0.3">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80"/>
      <c r="T800" s="386"/>
      <c r="U800" s="383"/>
      <c r="V800" s="383"/>
      <c r="W800" s="383"/>
      <c r="X800" s="385"/>
    </row>
    <row r="801" spans="1:24" x14ac:dyDescent="0.3">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9"/>
      <c r="T801" s="386"/>
      <c r="U801" s="383"/>
      <c r="V801" s="383"/>
      <c r="W801" s="383"/>
      <c r="X801" s="385"/>
    </row>
    <row r="802" spans="1:24" x14ac:dyDescent="0.3">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9"/>
      <c r="T802" s="386"/>
      <c r="U802" s="383"/>
      <c r="V802" s="383"/>
      <c r="W802" s="383"/>
      <c r="X802" s="385"/>
    </row>
    <row r="803" spans="1:24" x14ac:dyDescent="0.3">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9"/>
      <c r="T803" s="386"/>
      <c r="U803" s="383"/>
      <c r="V803" s="383"/>
      <c r="W803" s="383"/>
      <c r="X803" s="385"/>
    </row>
    <row r="804" spans="1:24" x14ac:dyDescent="0.3">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9"/>
      <c r="T804" s="386"/>
      <c r="U804" s="383"/>
      <c r="V804" s="383"/>
      <c r="W804" s="383"/>
      <c r="X804" s="385"/>
    </row>
    <row r="805" spans="1:24" x14ac:dyDescent="0.3">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9"/>
      <c r="T805" s="386"/>
      <c r="U805" s="383"/>
      <c r="V805" s="383"/>
      <c r="W805" s="383"/>
      <c r="X805" s="385"/>
    </row>
    <row r="806" spans="1:24" x14ac:dyDescent="0.3">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8"/>
      <c r="T806" s="386"/>
      <c r="U806" s="383"/>
      <c r="V806" s="383"/>
      <c r="W806" s="383"/>
      <c r="X806" s="385"/>
    </row>
    <row r="807" spans="1:24" x14ac:dyDescent="0.3">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8"/>
      <c r="T807" s="386"/>
      <c r="U807" s="383"/>
      <c r="V807" s="383"/>
      <c r="W807" s="383"/>
      <c r="X807" s="385"/>
    </row>
    <row r="808" spans="1:24" x14ac:dyDescent="0.3">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8"/>
      <c r="T808" s="386"/>
      <c r="U808" s="383"/>
      <c r="V808" s="383"/>
      <c r="W808" s="383"/>
      <c r="X808" s="385"/>
    </row>
    <row r="809" spans="1:24" x14ac:dyDescent="0.3">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8"/>
      <c r="T809" s="386"/>
      <c r="U809" s="383"/>
      <c r="V809" s="383"/>
      <c r="W809" s="383"/>
      <c r="X809" s="385"/>
    </row>
    <row r="810" spans="1:24" x14ac:dyDescent="0.3">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8"/>
      <c r="T810" s="386"/>
      <c r="U810" s="383"/>
      <c r="V810" s="383"/>
      <c r="W810" s="383"/>
      <c r="X810" s="385"/>
    </row>
    <row r="811" spans="1:24" x14ac:dyDescent="0.3">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8"/>
      <c r="T811" s="386"/>
      <c r="U811" s="383"/>
      <c r="V811" s="383"/>
      <c r="W811" s="383"/>
      <c r="X811" s="385"/>
    </row>
    <row r="812" spans="1:24" x14ac:dyDescent="0.3">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8"/>
      <c r="T812" s="386"/>
      <c r="U812" s="383"/>
      <c r="V812" s="383"/>
      <c r="W812" s="383"/>
      <c r="X812" s="385"/>
    </row>
    <row r="813" spans="1:24" x14ac:dyDescent="0.3">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8"/>
      <c r="T813" s="386"/>
      <c r="U813" s="383"/>
      <c r="V813" s="383"/>
      <c r="W813" s="383"/>
      <c r="X813" s="385"/>
    </row>
    <row r="814" spans="1:24" x14ac:dyDescent="0.3">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8"/>
      <c r="T814" s="386"/>
      <c r="U814" s="383"/>
      <c r="V814" s="383"/>
      <c r="W814" s="383"/>
      <c r="X814" s="385"/>
    </row>
    <row r="815" spans="1:24" x14ac:dyDescent="0.3">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x14ac:dyDescent="0.3">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x14ac:dyDescent="0.3">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x14ac:dyDescent="0.3">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x14ac:dyDescent="0.3">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76"/>
      <c r="T819" s="386"/>
      <c r="U819" s="383"/>
      <c r="V819" s="383"/>
      <c r="W819" s="383"/>
      <c r="X819" s="385"/>
    </row>
    <row r="820" spans="1:24" x14ac:dyDescent="0.3">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76"/>
      <c r="T820" s="386"/>
      <c r="U820" s="383"/>
      <c r="V820" s="383"/>
      <c r="W820" s="383"/>
      <c r="X820" s="385"/>
    </row>
    <row r="821" spans="1:24" x14ac:dyDescent="0.3">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76"/>
      <c r="T821" s="386"/>
      <c r="U821" s="383"/>
      <c r="V821" s="383"/>
      <c r="W821" s="383"/>
      <c r="X821" s="385"/>
    </row>
    <row r="822" spans="1:24" x14ac:dyDescent="0.3">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76"/>
      <c r="T822" s="386"/>
      <c r="U822" s="383"/>
      <c r="V822" s="383"/>
      <c r="W822" s="383"/>
      <c r="X822" s="385"/>
    </row>
    <row r="823" spans="1:24" x14ac:dyDescent="0.3">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76"/>
      <c r="T823" s="386"/>
      <c r="U823" s="383"/>
      <c r="V823" s="383"/>
      <c r="W823" s="383"/>
      <c r="X823" s="385"/>
    </row>
    <row r="824" spans="1:24" x14ac:dyDescent="0.3">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76"/>
      <c r="T824" s="386"/>
      <c r="U824" s="383"/>
      <c r="V824" s="383"/>
      <c r="W824" s="383"/>
      <c r="X824" s="385"/>
    </row>
    <row r="825" spans="1:24" x14ac:dyDescent="0.3">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76"/>
      <c r="T825" s="386"/>
      <c r="U825" s="383"/>
      <c r="V825" s="383"/>
      <c r="W825" s="383"/>
      <c r="X825" s="385"/>
    </row>
    <row r="826" spans="1:24" x14ac:dyDescent="0.3">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76"/>
      <c r="T826" s="386"/>
      <c r="U826" s="383"/>
      <c r="V826" s="383"/>
      <c r="W826" s="383"/>
      <c r="X826" s="385"/>
    </row>
    <row r="827" spans="1:24" x14ac:dyDescent="0.3">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76"/>
      <c r="T827" s="386"/>
      <c r="U827" s="383"/>
      <c r="V827" s="383"/>
      <c r="W827" s="383"/>
      <c r="X827" s="385"/>
    </row>
    <row r="828" spans="1:24" x14ac:dyDescent="0.3">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76"/>
      <c r="T828" s="386"/>
      <c r="U828" s="383"/>
      <c r="V828" s="383"/>
      <c r="W828" s="383"/>
      <c r="X828" s="385"/>
    </row>
    <row r="829" spans="1:24" x14ac:dyDescent="0.3">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76"/>
      <c r="T829" s="386"/>
      <c r="U829" s="383"/>
      <c r="V829" s="383"/>
      <c r="W829" s="383"/>
      <c r="X829" s="385"/>
    </row>
    <row r="830" spans="1:24" x14ac:dyDescent="0.3">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76"/>
      <c r="T830" s="386"/>
      <c r="U830" s="383"/>
      <c r="V830" s="383"/>
      <c r="W830" s="383"/>
      <c r="X830" s="385"/>
    </row>
    <row r="831" spans="1:24" x14ac:dyDescent="0.3">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76"/>
      <c r="T831" s="386"/>
      <c r="U831" s="383"/>
      <c r="V831" s="383"/>
      <c r="W831" s="383"/>
      <c r="X831" s="385"/>
    </row>
    <row r="832" spans="1:24" x14ac:dyDescent="0.3">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76"/>
      <c r="T832" s="386"/>
      <c r="U832" s="383"/>
      <c r="V832" s="383"/>
      <c r="W832" s="383"/>
      <c r="X832" s="385"/>
    </row>
    <row r="833" spans="1:24" x14ac:dyDescent="0.3">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76"/>
      <c r="T833" s="386"/>
      <c r="U833" s="383"/>
      <c r="V833" s="383"/>
      <c r="W833" s="383"/>
      <c r="X833" s="385"/>
    </row>
    <row r="834" spans="1:24" x14ac:dyDescent="0.3">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76"/>
      <c r="T834" s="386"/>
      <c r="U834" s="383"/>
      <c r="V834" s="383"/>
      <c r="W834" s="383"/>
      <c r="X834" s="385"/>
    </row>
    <row r="835" spans="1:24" x14ac:dyDescent="0.3">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76"/>
      <c r="T835" s="386"/>
      <c r="U835" s="383"/>
      <c r="V835" s="383"/>
      <c r="W835" s="383"/>
      <c r="X835" s="385"/>
    </row>
    <row r="836" spans="1:24" x14ac:dyDescent="0.3">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76"/>
      <c r="T836" s="386"/>
      <c r="U836" s="383"/>
      <c r="V836" s="383"/>
      <c r="W836" s="383"/>
      <c r="X836" s="385"/>
    </row>
    <row r="837" spans="1:24" x14ac:dyDescent="0.3">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76"/>
      <c r="T837" s="386"/>
      <c r="U837" s="383"/>
      <c r="V837" s="383"/>
      <c r="W837" s="383"/>
      <c r="X837" s="385"/>
    </row>
    <row r="838" spans="1:24" x14ac:dyDescent="0.3">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76"/>
      <c r="T838" s="386"/>
      <c r="U838" s="383"/>
      <c r="V838" s="383"/>
      <c r="W838" s="383"/>
      <c r="X838" s="385"/>
    </row>
    <row r="839" spans="1:24" x14ac:dyDescent="0.3">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76"/>
      <c r="T839" s="386"/>
      <c r="U839" s="383"/>
      <c r="V839" s="383"/>
      <c r="W839" s="383"/>
      <c r="X839" s="385"/>
    </row>
    <row r="840" spans="1:24" x14ac:dyDescent="0.3">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76"/>
      <c r="T840" s="386"/>
      <c r="U840" s="383"/>
      <c r="V840" s="383"/>
      <c r="W840" s="383"/>
      <c r="X840" s="385"/>
    </row>
    <row r="841" spans="1:24" x14ac:dyDescent="0.3">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N841" s="467"/>
      <c r="P841" s="476"/>
      <c r="T841" s="386"/>
      <c r="U841" s="383"/>
      <c r="V841" s="383"/>
      <c r="W841" s="383"/>
      <c r="X841" s="385"/>
    </row>
    <row r="842" spans="1:24" x14ac:dyDescent="0.3">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N842" s="467"/>
      <c r="P842" s="476"/>
      <c r="T842" s="386"/>
      <c r="U842" s="383"/>
      <c r="V842" s="383"/>
      <c r="W842" s="383"/>
      <c r="X842" s="385"/>
    </row>
    <row r="843" spans="1:24" x14ac:dyDescent="0.3">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N843" s="467"/>
      <c r="P843" s="476"/>
      <c r="T843" s="386"/>
      <c r="U843" s="383"/>
      <c r="V843" s="383"/>
      <c r="W843" s="383"/>
      <c r="X843" s="385"/>
    </row>
    <row r="844" spans="1:24" x14ac:dyDescent="0.3">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N844" s="467"/>
      <c r="P844" s="476"/>
      <c r="T844" s="386"/>
      <c r="U844" s="383"/>
      <c r="V844" s="383"/>
      <c r="W844" s="383"/>
      <c r="X844" s="385"/>
    </row>
    <row r="845" spans="1:24" x14ac:dyDescent="0.3">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N845" s="467"/>
      <c r="P845" s="476"/>
      <c r="T845" s="386"/>
      <c r="U845" s="383"/>
      <c r="V845" s="383"/>
      <c r="W845" s="383"/>
      <c r="X845" s="385"/>
    </row>
    <row r="846" spans="1:24" x14ac:dyDescent="0.3">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N846" s="467"/>
      <c r="P846" s="476"/>
      <c r="T846" s="386"/>
      <c r="U846" s="383"/>
      <c r="V846" s="383"/>
      <c r="W846" s="383"/>
      <c r="X846" s="385"/>
    </row>
    <row r="847" spans="1:24" x14ac:dyDescent="0.3">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N847" s="467"/>
      <c r="P847" s="476"/>
      <c r="T847" s="386"/>
      <c r="U847" s="383"/>
      <c r="V847" s="383"/>
      <c r="W847" s="383"/>
      <c r="X847" s="385"/>
    </row>
    <row r="848" spans="1:24" x14ac:dyDescent="0.3">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N848" s="467"/>
      <c r="P848" s="476"/>
      <c r="T848" s="386"/>
      <c r="U848" s="383"/>
      <c r="V848" s="383"/>
      <c r="W848" s="383"/>
      <c r="X848" s="385"/>
    </row>
    <row r="849" spans="1:24" x14ac:dyDescent="0.3">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N849" s="467"/>
      <c r="P849" s="476"/>
      <c r="T849" s="386"/>
      <c r="U849" s="383"/>
      <c r="V849" s="383"/>
      <c r="W849" s="383"/>
      <c r="X849" s="385"/>
    </row>
    <row r="850" spans="1:24" x14ac:dyDescent="0.3">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N850" s="467"/>
      <c r="P850" s="476"/>
      <c r="T850" s="386"/>
      <c r="U850" s="383"/>
      <c r="V850" s="383"/>
      <c r="W850" s="383"/>
      <c r="X850" s="385"/>
    </row>
    <row r="851" spans="1:24" x14ac:dyDescent="0.3">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N851" s="467"/>
      <c r="P851" s="476"/>
      <c r="T851" s="386"/>
      <c r="U851" s="383"/>
      <c r="V851" s="383"/>
      <c r="W851" s="383"/>
      <c r="X851" s="385"/>
    </row>
    <row r="852" spans="1:24" x14ac:dyDescent="0.3">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N852" s="467"/>
      <c r="P852" s="476"/>
      <c r="T852" s="386"/>
      <c r="U852" s="383"/>
      <c r="V852" s="383"/>
      <c r="W852" s="383"/>
      <c r="X852" s="385"/>
    </row>
    <row r="853" spans="1:24" x14ac:dyDescent="0.3">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N853" s="467"/>
      <c r="P853" s="476"/>
      <c r="T853" s="386"/>
      <c r="U853" s="383"/>
      <c r="V853" s="383"/>
      <c r="W853" s="383"/>
      <c r="X853" s="385"/>
    </row>
    <row r="854" spans="1:24" x14ac:dyDescent="0.3">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N854" s="467"/>
      <c r="P854" s="476"/>
      <c r="T854" s="386"/>
      <c r="U854" s="383"/>
      <c r="V854" s="383"/>
      <c r="W854" s="383"/>
      <c r="X854" s="385"/>
    </row>
    <row r="855" spans="1:24" x14ac:dyDescent="0.3">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N855" s="467"/>
      <c r="P855" s="476"/>
      <c r="T855" s="386"/>
      <c r="U855" s="383"/>
      <c r="V855" s="383"/>
      <c r="W855" s="383"/>
      <c r="X855" s="385"/>
    </row>
    <row r="856" spans="1:24" x14ac:dyDescent="0.3">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N856" s="467"/>
      <c r="P856" s="476"/>
      <c r="T856" s="386"/>
      <c r="U856" s="383"/>
      <c r="V856" s="383"/>
      <c r="W856" s="383"/>
      <c r="X856" s="385"/>
    </row>
    <row r="857" spans="1:24" x14ac:dyDescent="0.3">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N857" s="467"/>
      <c r="P857" s="476"/>
      <c r="T857" s="386"/>
      <c r="U857" s="383"/>
      <c r="V857" s="383"/>
      <c r="W857" s="383"/>
      <c r="X857" s="385"/>
    </row>
    <row r="858" spans="1:24" x14ac:dyDescent="0.3">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N858" s="467"/>
      <c r="P858" s="476"/>
      <c r="T858" s="386"/>
      <c r="U858" s="383"/>
      <c r="V858" s="383"/>
      <c r="W858" s="383"/>
      <c r="X858" s="385"/>
    </row>
    <row r="859" spans="1:24" x14ac:dyDescent="0.3">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N859" s="467"/>
      <c r="P859" s="476"/>
      <c r="T859" s="386"/>
      <c r="U859" s="383"/>
      <c r="V859" s="383"/>
      <c r="W859" s="383"/>
      <c r="X859" s="385"/>
    </row>
    <row r="860" spans="1:24" x14ac:dyDescent="0.3">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N860" s="467"/>
      <c r="P860" s="476"/>
      <c r="T860" s="386"/>
      <c r="U860" s="383"/>
      <c r="V860" s="383"/>
      <c r="W860" s="383"/>
      <c r="X860" s="385"/>
    </row>
    <row r="861" spans="1:24" x14ac:dyDescent="0.3">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N861" s="467"/>
      <c r="P861" s="476"/>
      <c r="T861" s="386"/>
      <c r="U861" s="383"/>
      <c r="V861" s="383"/>
      <c r="W861" s="383"/>
      <c r="X861" s="385"/>
    </row>
    <row r="862" spans="1:24" x14ac:dyDescent="0.3">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N862" s="467"/>
      <c r="P862" s="476"/>
      <c r="T862" s="386"/>
      <c r="U862" s="383"/>
      <c r="V862" s="383"/>
      <c r="W862" s="383"/>
      <c r="X862" s="385"/>
    </row>
    <row r="863" spans="1:24" x14ac:dyDescent="0.3">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N863" s="467"/>
      <c r="P863" s="476"/>
      <c r="T863" s="386"/>
      <c r="U863" s="383"/>
      <c r="V863" s="383"/>
      <c r="W863" s="383"/>
      <c r="X863" s="385"/>
    </row>
    <row r="864" spans="1:24" x14ac:dyDescent="0.3">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N864" s="467"/>
      <c r="P864" s="466"/>
      <c r="T864" s="386"/>
      <c r="U864" s="383"/>
      <c r="V864" s="383"/>
      <c r="W864" s="383"/>
      <c r="X864" s="385"/>
    </row>
    <row r="865" spans="1:24" x14ac:dyDescent="0.3">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N865" s="467"/>
      <c r="P865" s="466"/>
      <c r="T865" s="386"/>
      <c r="U865" s="383"/>
      <c r="V865" s="383"/>
      <c r="W865" s="383"/>
      <c r="X865" s="385"/>
    </row>
    <row r="866" spans="1:24" x14ac:dyDescent="0.3">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N866" s="467"/>
      <c r="P866" s="466"/>
      <c r="T866" s="386"/>
      <c r="U866" s="383"/>
      <c r="V866" s="383"/>
      <c r="W866" s="383"/>
      <c r="X866" s="385"/>
    </row>
    <row r="867" spans="1:24" x14ac:dyDescent="0.3">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N867" s="467"/>
      <c r="P867" s="466"/>
      <c r="T867" s="386"/>
      <c r="U867" s="383"/>
      <c r="V867" s="383"/>
      <c r="W867" s="383"/>
      <c r="X867" s="385"/>
    </row>
    <row r="868" spans="1:24" x14ac:dyDescent="0.3">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N868" s="467"/>
      <c r="P868" s="466"/>
      <c r="T868" s="386"/>
      <c r="U868" s="383"/>
      <c r="V868" s="383"/>
      <c r="W868" s="383"/>
      <c r="X868" s="385"/>
    </row>
    <row r="869" spans="1:24" x14ac:dyDescent="0.3">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N869" s="467"/>
      <c r="P869" s="466"/>
      <c r="T869" s="386"/>
      <c r="U869" s="383"/>
      <c r="V869" s="383"/>
      <c r="W869" s="383"/>
      <c r="X869" s="385"/>
    </row>
    <row r="870" spans="1:24" x14ac:dyDescent="0.3">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N870" s="467"/>
      <c r="P870" s="466"/>
      <c r="T870" s="386"/>
      <c r="U870" s="383"/>
      <c r="V870" s="383"/>
      <c r="W870" s="383"/>
      <c r="X870" s="385"/>
    </row>
    <row r="871" spans="1:24" x14ac:dyDescent="0.3">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N871" s="467"/>
      <c r="P871" s="466"/>
      <c r="T871" s="386"/>
      <c r="U871" s="383"/>
      <c r="V871" s="383"/>
      <c r="W871" s="383"/>
      <c r="X871" s="385"/>
    </row>
    <row r="872" spans="1:24" x14ac:dyDescent="0.3">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N872" s="467"/>
      <c r="P872" s="466"/>
      <c r="T872" s="386"/>
      <c r="U872" s="383"/>
      <c r="V872" s="383"/>
      <c r="W872" s="383"/>
      <c r="X872" s="385"/>
    </row>
    <row r="873" spans="1:24" x14ac:dyDescent="0.3">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N873" s="467"/>
      <c r="P873" s="466"/>
      <c r="T873" s="386"/>
      <c r="U873" s="383"/>
      <c r="V873" s="383"/>
      <c r="W873" s="383"/>
      <c r="X873" s="385"/>
    </row>
    <row r="874" spans="1:24" x14ac:dyDescent="0.3">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N874" s="467"/>
      <c r="P874" s="466"/>
      <c r="T874" s="386"/>
      <c r="U874" s="383"/>
      <c r="V874" s="383"/>
      <c r="W874" s="383"/>
      <c r="X874" s="385"/>
    </row>
    <row r="875" spans="1:24" x14ac:dyDescent="0.3">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N875" s="467"/>
      <c r="P875" s="466"/>
      <c r="T875" s="386"/>
      <c r="U875" s="383"/>
      <c r="V875" s="383"/>
      <c r="W875" s="383"/>
      <c r="X875" s="385"/>
    </row>
    <row r="876" spans="1:24" x14ac:dyDescent="0.3">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N876" s="467"/>
      <c r="P876" s="466"/>
      <c r="T876" s="386"/>
      <c r="U876" s="383"/>
      <c r="V876" s="383"/>
      <c r="W876" s="383"/>
      <c r="X876" s="385"/>
    </row>
    <row r="877" spans="1:24" x14ac:dyDescent="0.3">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6"/>
      <c r="T877" s="386"/>
      <c r="U877" s="383"/>
      <c r="V877" s="383"/>
      <c r="W877" s="383"/>
      <c r="X877" s="385"/>
    </row>
    <row r="878" spans="1:24" x14ac:dyDescent="0.3">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6"/>
      <c r="T878" s="386"/>
      <c r="U878" s="383"/>
      <c r="V878" s="383"/>
      <c r="W878" s="383"/>
      <c r="X878" s="385"/>
    </row>
    <row r="879" spans="1:24" x14ac:dyDescent="0.3">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6"/>
      <c r="T879" s="386"/>
      <c r="U879" s="383"/>
      <c r="V879" s="383"/>
      <c r="W879" s="383"/>
      <c r="X879" s="385"/>
    </row>
    <row r="880" spans="1:24" x14ac:dyDescent="0.3">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66"/>
      <c r="T880" s="386"/>
      <c r="U880" s="383"/>
      <c r="V880" s="383"/>
      <c r="W880" s="383"/>
      <c r="X880" s="385"/>
    </row>
    <row r="881" spans="1:24" x14ac:dyDescent="0.3">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66"/>
      <c r="T881" s="386"/>
      <c r="U881" s="383"/>
      <c r="V881" s="383"/>
      <c r="W881" s="383"/>
      <c r="X881" s="385"/>
    </row>
    <row r="882" spans="1:24" x14ac:dyDescent="0.3">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66"/>
      <c r="T882" s="386"/>
      <c r="U882" s="383"/>
      <c r="V882" s="383"/>
      <c r="W882" s="383"/>
      <c r="X882" s="385"/>
    </row>
    <row r="883" spans="1:24" x14ac:dyDescent="0.3">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66"/>
      <c r="T883" s="386"/>
      <c r="U883" s="383"/>
      <c r="V883" s="383"/>
      <c r="W883" s="383"/>
      <c r="X883" s="385"/>
    </row>
    <row r="884" spans="1:24" x14ac:dyDescent="0.3">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66"/>
      <c r="T884" s="386"/>
      <c r="U884" s="383"/>
      <c r="V884" s="383"/>
      <c r="W884" s="383"/>
      <c r="X884" s="385"/>
    </row>
    <row r="885" spans="1:24" x14ac:dyDescent="0.3">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66"/>
      <c r="T885" s="386"/>
      <c r="U885" s="383"/>
      <c r="V885" s="383"/>
      <c r="W885" s="383"/>
      <c r="X885" s="385"/>
    </row>
    <row r="886" spans="1:24" x14ac:dyDescent="0.3">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66"/>
      <c r="T886" s="386"/>
      <c r="U886" s="383"/>
      <c r="V886" s="383"/>
      <c r="W886" s="383"/>
      <c r="X886" s="385"/>
    </row>
    <row r="887" spans="1:24" x14ac:dyDescent="0.3">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66"/>
      <c r="T887" s="386"/>
      <c r="U887" s="383"/>
      <c r="V887" s="383"/>
      <c r="W887" s="383"/>
      <c r="X887" s="385"/>
    </row>
    <row r="888" spans="1:24" x14ac:dyDescent="0.3">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66"/>
      <c r="T888" s="386"/>
      <c r="U888" s="383"/>
      <c r="V888" s="383"/>
      <c r="W888" s="383"/>
      <c r="X888" s="385"/>
    </row>
    <row r="889" spans="1:24" x14ac:dyDescent="0.3">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66"/>
      <c r="T889" s="386"/>
      <c r="U889" s="383"/>
      <c r="V889" s="383"/>
      <c r="W889" s="383"/>
      <c r="X889" s="385"/>
    </row>
    <row r="890" spans="1:24" x14ac:dyDescent="0.3">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6"/>
      <c r="T890" s="386"/>
      <c r="U890" s="383"/>
      <c r="V890" s="383"/>
      <c r="W890" s="383"/>
      <c r="X890" s="385"/>
    </row>
    <row r="891" spans="1:24" x14ac:dyDescent="0.3">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6"/>
      <c r="T891" s="386"/>
      <c r="U891" s="383"/>
      <c r="V891" s="383"/>
      <c r="W891" s="383"/>
      <c r="X891" s="385"/>
    </row>
    <row r="892" spans="1:24" x14ac:dyDescent="0.3">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6"/>
      <c r="T892" s="386"/>
      <c r="U892" s="383"/>
      <c r="V892" s="383"/>
      <c r="W892" s="383"/>
      <c r="X892" s="385"/>
    </row>
    <row r="893" spans="1:24" x14ac:dyDescent="0.3">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6"/>
      <c r="T893" s="386"/>
      <c r="U893" s="383"/>
      <c r="V893" s="383"/>
      <c r="W893" s="383"/>
      <c r="X893" s="385"/>
    </row>
    <row r="894" spans="1:24" x14ac:dyDescent="0.3">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6"/>
      <c r="T894" s="386"/>
      <c r="U894" s="383"/>
      <c r="V894" s="383"/>
      <c r="W894" s="383"/>
      <c r="X894" s="385"/>
    </row>
    <row r="895" spans="1:24" x14ac:dyDescent="0.3">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P895" s="466"/>
      <c r="T895" s="386"/>
      <c r="U895" s="383"/>
      <c r="V895" s="383"/>
      <c r="W895" s="383"/>
      <c r="X895" s="385"/>
    </row>
    <row r="896" spans="1:24" x14ac:dyDescent="0.3">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P896" s="466"/>
      <c r="T896" s="386"/>
      <c r="U896" s="383"/>
      <c r="V896" s="383"/>
      <c r="W896" s="383"/>
      <c r="X896" s="385"/>
    </row>
    <row r="897" spans="1:24" x14ac:dyDescent="0.3">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P897" s="411"/>
      <c r="T897" s="386"/>
      <c r="U897" s="383"/>
      <c r="V897" s="383"/>
      <c r="W897" s="383"/>
      <c r="X897" s="385"/>
    </row>
    <row r="898" spans="1:24" x14ac:dyDescent="0.3">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P898" s="411"/>
      <c r="T898" s="386"/>
      <c r="U898" s="383"/>
      <c r="V898" s="383"/>
      <c r="W898" s="383"/>
      <c r="X898" s="385"/>
    </row>
    <row r="899" spans="1:24" x14ac:dyDescent="0.3">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P899" s="411"/>
      <c r="T899" s="386"/>
      <c r="U899" s="383"/>
      <c r="V899" s="383"/>
      <c r="W899" s="383"/>
      <c r="X899" s="385"/>
    </row>
    <row r="900" spans="1:24" x14ac:dyDescent="0.3">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P900" s="411"/>
      <c r="T900" s="386"/>
      <c r="U900" s="383"/>
      <c r="V900" s="383"/>
      <c r="W900" s="383"/>
      <c r="X900" s="385"/>
    </row>
    <row r="901" spans="1:24" x14ac:dyDescent="0.3">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P901" s="411"/>
      <c r="T901" s="386"/>
      <c r="U901" s="383"/>
      <c r="V901" s="383"/>
      <c r="W901" s="383"/>
      <c r="X901" s="385"/>
    </row>
    <row r="902" spans="1:24" x14ac:dyDescent="0.3">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P902" s="411"/>
      <c r="T902" s="386"/>
      <c r="U902" s="383"/>
      <c r="V902" s="383"/>
      <c r="W902" s="383"/>
      <c r="X902" s="385"/>
    </row>
    <row r="903" spans="1:24" x14ac:dyDescent="0.3">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P903" s="411"/>
      <c r="T903" s="386"/>
      <c r="U903" s="383"/>
      <c r="V903" s="383"/>
      <c r="W903" s="383"/>
      <c r="X903" s="385"/>
    </row>
    <row r="904" spans="1:24" x14ac:dyDescent="0.3">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P904" s="411"/>
      <c r="T904" s="386"/>
      <c r="U904" s="383"/>
      <c r="V904" s="383"/>
      <c r="W904" s="383"/>
      <c r="X904" s="385"/>
    </row>
    <row r="905" spans="1:24" x14ac:dyDescent="0.3">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P905" s="411"/>
      <c r="T905" s="386"/>
      <c r="U905" s="383"/>
      <c r="V905" s="383"/>
      <c r="W905" s="383"/>
      <c r="X905" s="385"/>
    </row>
    <row r="906" spans="1:24" x14ac:dyDescent="0.3">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P906" s="411"/>
      <c r="T906" s="386"/>
      <c r="U906" s="383"/>
      <c r="V906" s="383"/>
      <c r="W906" s="383"/>
      <c r="X906" s="385"/>
    </row>
    <row r="907" spans="1:24" x14ac:dyDescent="0.3">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P907" s="467"/>
      <c r="T907" s="386"/>
      <c r="U907" s="383"/>
      <c r="V907" s="383"/>
      <c r="W907" s="383"/>
      <c r="X907" s="385"/>
    </row>
    <row r="908" spans="1:24" x14ac:dyDescent="0.3">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P908" s="467"/>
      <c r="T908" s="386"/>
      <c r="U908" s="383"/>
      <c r="V908" s="383"/>
      <c r="W908" s="383"/>
      <c r="X908" s="385"/>
    </row>
    <row r="909" spans="1:24" x14ac:dyDescent="0.3">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P909" s="467"/>
      <c r="T909" s="386"/>
      <c r="U909" s="383"/>
      <c r="V909" s="383"/>
      <c r="W909" s="383"/>
      <c r="X909" s="385"/>
    </row>
    <row r="910" spans="1:24" x14ac:dyDescent="0.3">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P910" s="467"/>
      <c r="T910" s="386"/>
      <c r="U910" s="383"/>
      <c r="V910" s="383"/>
      <c r="W910" s="383"/>
      <c r="X910" s="385"/>
    </row>
    <row r="911" spans="1:24" x14ac:dyDescent="0.3">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P911" s="467"/>
      <c r="T911" s="386"/>
      <c r="U911" s="383"/>
      <c r="V911" s="383"/>
      <c r="W911" s="383"/>
      <c r="X911" s="385"/>
    </row>
    <row r="912" spans="1:24" x14ac:dyDescent="0.3">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P912" s="467"/>
      <c r="T912" s="386"/>
      <c r="U912" s="383"/>
      <c r="V912" s="383"/>
      <c r="W912" s="383"/>
      <c r="X912" s="385"/>
    </row>
    <row r="913" spans="1:24" x14ac:dyDescent="0.3">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P913" s="467"/>
      <c r="T913" s="386"/>
      <c r="U913" s="383"/>
      <c r="V913" s="383"/>
      <c r="W913" s="383"/>
      <c r="X913" s="385"/>
    </row>
    <row r="914" spans="1:24" x14ac:dyDescent="0.3">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P914" s="467"/>
      <c r="T914" s="386"/>
      <c r="U914" s="383"/>
      <c r="V914" s="383"/>
      <c r="W914" s="383"/>
      <c r="X914" s="385"/>
    </row>
    <row r="915" spans="1:24" x14ac:dyDescent="0.3">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P915" s="467"/>
      <c r="T915" s="386"/>
      <c r="U915" s="383"/>
      <c r="V915" s="383"/>
      <c r="W915" s="383"/>
      <c r="X915" s="385"/>
    </row>
    <row r="916" spans="1:24" x14ac:dyDescent="0.3">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P916" s="467"/>
      <c r="T916" s="386"/>
      <c r="U916" s="383"/>
      <c r="V916" s="383"/>
      <c r="W916" s="383"/>
      <c r="X916" s="385"/>
    </row>
    <row r="917" spans="1:24" x14ac:dyDescent="0.3">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P917" s="467"/>
      <c r="T917" s="386"/>
      <c r="U917" s="383"/>
      <c r="V917" s="383"/>
      <c r="W917" s="383"/>
      <c r="X917" s="385"/>
    </row>
    <row r="918" spans="1:24" x14ac:dyDescent="0.3">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P918" s="467"/>
      <c r="T918" s="386"/>
      <c r="U918" s="383"/>
      <c r="V918" s="383"/>
      <c r="W918" s="383"/>
      <c r="X918" s="385"/>
    </row>
    <row r="919" spans="1:24" x14ac:dyDescent="0.3">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P919" s="467"/>
      <c r="T919" s="386"/>
      <c r="U919" s="383"/>
      <c r="V919" s="383"/>
      <c r="W919" s="383"/>
      <c r="X919" s="385"/>
    </row>
    <row r="920" spans="1:24" x14ac:dyDescent="0.3">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P920" s="467"/>
      <c r="T920" s="386"/>
      <c r="U920" s="383"/>
      <c r="V920" s="383"/>
      <c r="W920" s="383"/>
      <c r="X920" s="385"/>
    </row>
    <row r="921" spans="1:24" x14ac:dyDescent="0.3">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P921" s="467"/>
      <c r="T921" s="386"/>
      <c r="U921" s="383"/>
      <c r="V921" s="383"/>
      <c r="W921" s="383"/>
      <c r="X921" s="385"/>
    </row>
    <row r="922" spans="1:24" x14ac:dyDescent="0.3">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P922" s="467"/>
      <c r="T922" s="386"/>
      <c r="U922" s="383"/>
      <c r="V922" s="383"/>
      <c r="W922" s="383"/>
      <c r="X922" s="385"/>
    </row>
    <row r="923" spans="1:24" x14ac:dyDescent="0.3">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P923" s="467"/>
      <c r="T923" s="386"/>
      <c r="U923" s="383"/>
      <c r="V923" s="383"/>
      <c r="W923" s="383"/>
      <c r="X923" s="385"/>
    </row>
    <row r="924" spans="1:24" x14ac:dyDescent="0.3">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P924" s="467"/>
      <c r="T924" s="386"/>
      <c r="U924" s="383"/>
      <c r="V924" s="383"/>
      <c r="W924" s="383"/>
      <c r="X924" s="385"/>
    </row>
    <row r="925" spans="1:24" x14ac:dyDescent="0.3">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P925" s="467"/>
      <c r="T925" s="386"/>
      <c r="U925" s="383"/>
      <c r="V925" s="383"/>
      <c r="W925" s="383"/>
      <c r="X925" s="385"/>
    </row>
    <row r="926" spans="1:24" x14ac:dyDescent="0.3">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P926" s="467"/>
      <c r="T926" s="386"/>
      <c r="U926" s="383"/>
      <c r="V926" s="383"/>
      <c r="W926" s="383"/>
      <c r="X926" s="385"/>
    </row>
    <row r="927" spans="1:24" x14ac:dyDescent="0.3">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P927" s="467"/>
      <c r="T927" s="386"/>
      <c r="U927" s="383"/>
      <c r="V927" s="383"/>
      <c r="W927" s="383"/>
      <c r="X927" s="385"/>
    </row>
    <row r="928" spans="1:24" x14ac:dyDescent="0.3">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P928" s="467"/>
      <c r="T928" s="386"/>
      <c r="U928" s="383"/>
      <c r="V928" s="383"/>
      <c r="W928" s="383"/>
      <c r="X928" s="385"/>
    </row>
    <row r="929" spans="1:24" x14ac:dyDescent="0.3">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P929" s="467"/>
      <c r="T929" s="386"/>
      <c r="U929" s="383"/>
      <c r="V929" s="383"/>
      <c r="W929" s="383"/>
      <c r="X929" s="385"/>
    </row>
    <row r="930" spans="1:24" x14ac:dyDescent="0.3">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P930" s="467"/>
      <c r="T930" s="386"/>
      <c r="U930" s="383"/>
      <c r="V930" s="383"/>
      <c r="W930" s="383"/>
      <c r="X930" s="385"/>
    </row>
    <row r="931" spans="1:24" x14ac:dyDescent="0.3">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402"/>
      <c r="P931" s="467"/>
      <c r="T931" s="386"/>
      <c r="U931" s="383"/>
      <c r="V931" s="383"/>
      <c r="W931" s="383"/>
      <c r="X931" s="385"/>
    </row>
    <row r="932" spans="1:24" x14ac:dyDescent="0.3">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99"/>
      <c r="P932" s="467"/>
      <c r="T932" s="386"/>
      <c r="U932" s="383"/>
      <c r="V932" s="383"/>
      <c r="W932" s="383"/>
      <c r="X932" s="385"/>
    </row>
    <row r="933" spans="1:24" x14ac:dyDescent="0.3">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99"/>
      <c r="P933" s="467"/>
      <c r="T933" s="386"/>
      <c r="U933" s="383"/>
      <c r="V933" s="383"/>
      <c r="W933" s="383"/>
      <c r="X933" s="385"/>
    </row>
    <row r="934" spans="1:24" x14ac:dyDescent="0.3">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99"/>
      <c r="P934" s="467"/>
      <c r="T934" s="386"/>
      <c r="U934" s="383"/>
      <c r="V934" s="383"/>
      <c r="W934" s="383"/>
      <c r="X934" s="385"/>
    </row>
    <row r="935" spans="1:24" x14ac:dyDescent="0.3">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98"/>
      <c r="P935" s="467"/>
      <c r="T935" s="386"/>
      <c r="U935" s="383"/>
      <c r="V935" s="383"/>
      <c r="W935" s="383"/>
      <c r="X935" s="385"/>
    </row>
    <row r="936" spans="1:24" x14ac:dyDescent="0.3">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97"/>
      <c r="P936" s="467"/>
      <c r="T936" s="386"/>
      <c r="U936" s="383"/>
      <c r="V936" s="383"/>
      <c r="W936" s="383"/>
      <c r="X936" s="385"/>
    </row>
    <row r="937" spans="1:24" x14ac:dyDescent="0.3">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97"/>
      <c r="P937" s="467"/>
      <c r="T937" s="386"/>
      <c r="U937" s="383"/>
      <c r="V937" s="383"/>
      <c r="W937" s="383"/>
      <c r="X937" s="385"/>
    </row>
    <row r="938" spans="1:24" x14ac:dyDescent="0.3">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90"/>
      <c r="P938" s="467"/>
      <c r="T938" s="386"/>
      <c r="U938" s="383"/>
      <c r="V938" s="383"/>
      <c r="W938" s="383"/>
      <c r="X938" s="385"/>
    </row>
    <row r="939" spans="1:24" x14ac:dyDescent="0.3">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90"/>
      <c r="P939" s="467"/>
      <c r="T939" s="386"/>
      <c r="U939" s="383"/>
      <c r="V939" s="383"/>
      <c r="W939" s="383"/>
      <c r="X939" s="385"/>
    </row>
    <row r="940" spans="1:24" x14ac:dyDescent="0.3">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90"/>
      <c r="P940" s="467"/>
      <c r="T940" s="386"/>
      <c r="U940" s="383"/>
      <c r="V940" s="383"/>
      <c r="W940" s="383"/>
      <c r="X940" s="385"/>
    </row>
    <row r="941" spans="1:24" x14ac:dyDescent="0.3">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90"/>
      <c r="P941" s="467"/>
      <c r="T941" s="386"/>
      <c r="U941" s="383"/>
      <c r="V941" s="383"/>
      <c r="W941" s="383"/>
      <c r="X941" s="385"/>
    </row>
    <row r="942" spans="1:24" x14ac:dyDescent="0.3">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90"/>
      <c r="P942" s="467"/>
      <c r="T942" s="386"/>
      <c r="U942" s="383"/>
      <c r="V942" s="383"/>
      <c r="W942" s="383"/>
      <c r="X942" s="385"/>
    </row>
    <row r="943" spans="1:24" x14ac:dyDescent="0.3">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90"/>
      <c r="P943" s="467"/>
      <c r="T943" s="386"/>
      <c r="U943" s="383"/>
      <c r="V943" s="383"/>
      <c r="W943" s="383"/>
      <c r="X943" s="385"/>
    </row>
    <row r="944" spans="1:24" x14ac:dyDescent="0.3">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90"/>
      <c r="P944" s="467"/>
      <c r="T944" s="386"/>
      <c r="U944" s="383"/>
      <c r="V944" s="383"/>
      <c r="W944" s="383"/>
      <c r="X944" s="385"/>
    </row>
    <row r="945" spans="1:24" x14ac:dyDescent="0.3">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87"/>
      <c r="P945" s="467"/>
      <c r="T945" s="386"/>
      <c r="U945" s="383"/>
      <c r="V945" s="383"/>
      <c r="W945" s="383"/>
      <c r="X945" s="385"/>
    </row>
    <row r="946" spans="1:24" x14ac:dyDescent="0.3">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87"/>
      <c r="P946" s="467"/>
      <c r="T946" s="386"/>
      <c r="U946" s="383"/>
      <c r="V946" s="383"/>
      <c r="W946" s="383"/>
      <c r="X946" s="385"/>
    </row>
    <row r="947" spans="1:24" x14ac:dyDescent="0.3">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7"/>
      <c r="P947" s="467"/>
      <c r="T947" s="386"/>
      <c r="U947" s="383"/>
      <c r="V947" s="383"/>
      <c r="W947" s="383"/>
      <c r="X947" s="385"/>
    </row>
    <row r="948" spans="1:24" x14ac:dyDescent="0.3">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7"/>
      <c r="P948" s="467"/>
      <c r="T948" s="386"/>
      <c r="U948" s="383"/>
      <c r="V948" s="383"/>
      <c r="W948" s="383"/>
      <c r="X948" s="385"/>
    </row>
    <row r="949" spans="1:24" x14ac:dyDescent="0.3">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7"/>
      <c r="P949" s="467"/>
      <c r="T949" s="386"/>
      <c r="U949" s="383"/>
      <c r="V949" s="383"/>
      <c r="W949" s="383"/>
      <c r="X949" s="385"/>
    </row>
    <row r="950" spans="1:24" x14ac:dyDescent="0.3">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x14ac:dyDescent="0.3">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x14ac:dyDescent="0.3">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x14ac:dyDescent="0.3">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x14ac:dyDescent="0.3">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x14ac:dyDescent="0.3">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x14ac:dyDescent="0.3">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x14ac:dyDescent="0.3">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x14ac:dyDescent="0.3">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x14ac:dyDescent="0.3">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x14ac:dyDescent="0.3">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x14ac:dyDescent="0.3">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x14ac:dyDescent="0.3">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x14ac:dyDescent="0.3">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x14ac:dyDescent="0.3">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x14ac:dyDescent="0.3">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x14ac:dyDescent="0.3">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x14ac:dyDescent="0.3">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x14ac:dyDescent="0.3">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x14ac:dyDescent="0.3">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x14ac:dyDescent="0.3">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x14ac:dyDescent="0.3">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x14ac:dyDescent="0.3">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x14ac:dyDescent="0.3">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x14ac:dyDescent="0.3">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x14ac:dyDescent="0.3">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x14ac:dyDescent="0.3">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x14ac:dyDescent="0.3">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x14ac:dyDescent="0.3">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x14ac:dyDescent="0.3">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x14ac:dyDescent="0.3">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x14ac:dyDescent="0.3">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x14ac:dyDescent="0.3">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x14ac:dyDescent="0.3">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x14ac:dyDescent="0.3">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x14ac:dyDescent="0.3">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x14ac:dyDescent="0.3">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x14ac:dyDescent="0.3">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x14ac:dyDescent="0.3">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x14ac:dyDescent="0.3">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x14ac:dyDescent="0.3">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x14ac:dyDescent="0.3">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x14ac:dyDescent="0.3">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x14ac:dyDescent="0.3">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x14ac:dyDescent="0.3">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x14ac:dyDescent="0.3">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x14ac:dyDescent="0.3">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x14ac:dyDescent="0.3">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x14ac:dyDescent="0.3">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x14ac:dyDescent="0.3">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x14ac:dyDescent="0.3">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x14ac:dyDescent="0.3">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x14ac:dyDescent="0.3">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x14ac:dyDescent="0.3">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x14ac:dyDescent="0.3">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x14ac:dyDescent="0.3">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x14ac:dyDescent="0.3">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x14ac:dyDescent="0.3">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x14ac:dyDescent="0.3">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x14ac:dyDescent="0.3">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x14ac:dyDescent="0.3">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x14ac:dyDescent="0.3">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x14ac:dyDescent="0.3">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x14ac:dyDescent="0.3">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x14ac:dyDescent="0.3">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x14ac:dyDescent="0.3">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x14ac:dyDescent="0.3">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x14ac:dyDescent="0.3">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x14ac:dyDescent="0.3">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x14ac:dyDescent="0.3">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x14ac:dyDescent="0.3">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x14ac:dyDescent="0.3">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x14ac:dyDescent="0.3">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x14ac:dyDescent="0.3">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x14ac:dyDescent="0.3">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x14ac:dyDescent="0.3">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x14ac:dyDescent="0.3">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x14ac:dyDescent="0.3">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x14ac:dyDescent="0.3">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x14ac:dyDescent="0.3">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x14ac:dyDescent="0.3">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x14ac:dyDescent="0.3">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x14ac:dyDescent="0.3">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x14ac:dyDescent="0.3">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x14ac:dyDescent="0.3">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x14ac:dyDescent="0.3">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x14ac:dyDescent="0.3">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x14ac:dyDescent="0.3">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x14ac:dyDescent="0.3">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x14ac:dyDescent="0.3">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x14ac:dyDescent="0.3">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x14ac:dyDescent="0.3">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x14ac:dyDescent="0.3">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x14ac:dyDescent="0.3">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x14ac:dyDescent="0.3">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x14ac:dyDescent="0.3">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x14ac:dyDescent="0.3">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x14ac:dyDescent="0.3">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x14ac:dyDescent="0.3">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x14ac:dyDescent="0.3">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x14ac:dyDescent="0.3">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x14ac:dyDescent="0.3">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x14ac:dyDescent="0.3">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x14ac:dyDescent="0.3">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x14ac:dyDescent="0.3">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x14ac:dyDescent="0.3">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x14ac:dyDescent="0.3">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x14ac:dyDescent="0.3">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x14ac:dyDescent="0.3">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x14ac:dyDescent="0.3">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x14ac:dyDescent="0.3">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x14ac:dyDescent="0.3">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x14ac:dyDescent="0.3">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x14ac:dyDescent="0.3">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x14ac:dyDescent="0.3">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x14ac:dyDescent="0.3">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x14ac:dyDescent="0.3">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x14ac:dyDescent="0.3">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x14ac:dyDescent="0.3">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x14ac:dyDescent="0.3">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x14ac:dyDescent="0.3">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x14ac:dyDescent="0.3">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x14ac:dyDescent="0.3">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x14ac:dyDescent="0.3">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x14ac:dyDescent="0.3">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x14ac:dyDescent="0.3">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x14ac:dyDescent="0.3">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x14ac:dyDescent="0.3">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x14ac:dyDescent="0.3">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x14ac:dyDescent="0.3">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x14ac:dyDescent="0.3">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x14ac:dyDescent="0.3">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x14ac:dyDescent="0.3">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x14ac:dyDescent="0.3">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x14ac:dyDescent="0.3">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x14ac:dyDescent="0.3">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x14ac:dyDescent="0.3">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x14ac:dyDescent="0.3">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x14ac:dyDescent="0.3">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x14ac:dyDescent="0.3">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x14ac:dyDescent="0.3">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x14ac:dyDescent="0.3">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x14ac:dyDescent="0.3">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x14ac:dyDescent="0.3">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x14ac:dyDescent="0.3">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x14ac:dyDescent="0.3">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x14ac:dyDescent="0.3">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x14ac:dyDescent="0.3">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x14ac:dyDescent="0.3">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P1098" s="467"/>
      <c r="T1098" s="386"/>
      <c r="U1098" s="383"/>
      <c r="V1098" s="383"/>
      <c r="W1098" s="383"/>
      <c r="X1098" s="385"/>
    </row>
    <row r="1099" spans="1:24" x14ac:dyDescent="0.3">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P1099" s="467"/>
      <c r="T1099" s="386"/>
      <c r="U1099" s="383"/>
      <c r="V1099" s="383"/>
      <c r="W1099" s="383"/>
      <c r="X1099" s="385"/>
    </row>
    <row r="1100" spans="1:24" x14ac:dyDescent="0.3">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P1100" s="467"/>
      <c r="T1100" s="386"/>
      <c r="U1100" s="383"/>
      <c r="V1100" s="383"/>
      <c r="W1100" s="383"/>
      <c r="X1100" s="385"/>
    </row>
    <row r="1101" spans="1:24" x14ac:dyDescent="0.3">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P1101" s="467"/>
      <c r="T1101" s="386"/>
      <c r="U1101" s="383"/>
      <c r="V1101" s="383"/>
      <c r="W1101" s="383"/>
      <c r="X1101" s="385"/>
    </row>
    <row r="1102" spans="1:24" x14ac:dyDescent="0.3">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P1102" s="467"/>
      <c r="T1102" s="386"/>
      <c r="U1102" s="383"/>
      <c r="V1102" s="383"/>
      <c r="W1102" s="383"/>
      <c r="X1102" s="385"/>
    </row>
    <row r="1103" spans="1:24" x14ac:dyDescent="0.3">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P1103" s="467"/>
      <c r="T1103" s="386"/>
      <c r="U1103" s="383"/>
      <c r="V1103" s="383"/>
      <c r="W1103" s="383"/>
      <c r="X1103" s="385"/>
    </row>
    <row r="1104" spans="1:24" x14ac:dyDescent="0.3">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P1104" s="467"/>
      <c r="T1104" s="386"/>
      <c r="U1104" s="383"/>
      <c r="V1104" s="383"/>
      <c r="W1104" s="383"/>
      <c r="X1104" s="385"/>
    </row>
    <row r="1105" spans="1:24" x14ac:dyDescent="0.3">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P1105" s="467"/>
      <c r="T1105" s="386"/>
      <c r="U1105" s="383"/>
      <c r="V1105" s="383"/>
      <c r="W1105" s="383"/>
      <c r="X1105" s="385"/>
    </row>
    <row r="1106" spans="1:24" x14ac:dyDescent="0.3">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P1106" s="467"/>
      <c r="T1106" s="386"/>
      <c r="U1106" s="383"/>
      <c r="V1106" s="383"/>
      <c r="W1106" s="383"/>
      <c r="X1106" s="385"/>
    </row>
    <row r="1107" spans="1:24" x14ac:dyDescent="0.3">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P1107" s="467"/>
      <c r="T1107" s="386"/>
      <c r="U1107" s="383"/>
      <c r="V1107" s="383"/>
      <c r="W1107" s="383"/>
      <c r="X1107" s="385"/>
    </row>
    <row r="1108" spans="1:24" x14ac:dyDescent="0.3">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P1108" s="467"/>
      <c r="T1108" s="386"/>
      <c r="U1108" s="383"/>
      <c r="V1108" s="383"/>
      <c r="W1108" s="383"/>
      <c r="X1108" s="385"/>
    </row>
    <row r="1109" spans="1:24" x14ac:dyDescent="0.3">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P1109" s="467"/>
      <c r="T1109" s="386"/>
      <c r="U1109" s="383"/>
      <c r="V1109" s="383"/>
      <c r="W1109" s="383"/>
      <c r="X1109" s="385"/>
    </row>
    <row r="1110" spans="1:24" x14ac:dyDescent="0.3">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P1110" s="467"/>
      <c r="T1110" s="386"/>
      <c r="U1110" s="383"/>
      <c r="V1110" s="383"/>
      <c r="W1110" s="383"/>
      <c r="X1110" s="385"/>
    </row>
    <row r="1111" spans="1:24" x14ac:dyDescent="0.3">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P1111" s="467"/>
      <c r="T1111" s="386"/>
      <c r="U1111" s="383"/>
      <c r="V1111" s="383"/>
      <c r="W1111" s="383"/>
      <c r="X1111" s="385"/>
    </row>
    <row r="1112" spans="1:24" x14ac:dyDescent="0.3">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P1112" s="467"/>
      <c r="T1112" s="386"/>
      <c r="U1112" s="383"/>
      <c r="V1112" s="383"/>
      <c r="W1112" s="383"/>
      <c r="X1112" s="385"/>
    </row>
    <row r="1113" spans="1:24" x14ac:dyDescent="0.3">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P1113" s="467"/>
      <c r="T1113" s="386"/>
      <c r="U1113" s="383"/>
      <c r="V1113" s="383"/>
      <c r="W1113" s="383"/>
      <c r="X1113" s="385"/>
    </row>
    <row r="1114" spans="1:24" x14ac:dyDescent="0.3">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P1114" s="467"/>
      <c r="T1114" s="386"/>
      <c r="U1114" s="383"/>
      <c r="V1114" s="383"/>
      <c r="W1114" s="383"/>
      <c r="X1114" s="385"/>
    </row>
    <row r="1115" spans="1:24" x14ac:dyDescent="0.3">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P1115" s="467"/>
      <c r="T1115" s="386"/>
      <c r="U1115" s="383"/>
      <c r="V1115" s="383"/>
      <c r="W1115" s="383"/>
      <c r="X1115" s="385"/>
    </row>
    <row r="1116" spans="1:24" x14ac:dyDescent="0.3">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P1116" s="467"/>
      <c r="T1116" s="386"/>
      <c r="U1116" s="383"/>
      <c r="V1116" s="383"/>
      <c r="W1116" s="383"/>
      <c r="X1116" s="385"/>
    </row>
    <row r="1117" spans="1:24" x14ac:dyDescent="0.3">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P1117" s="467"/>
      <c r="T1117" s="386"/>
      <c r="U1117" s="383"/>
      <c r="V1117" s="383"/>
      <c r="W1117" s="383"/>
      <c r="X1117" s="385"/>
    </row>
    <row r="1118" spans="1:24" x14ac:dyDescent="0.3">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P1118" s="467"/>
      <c r="T1118" s="386"/>
      <c r="U1118" s="383"/>
      <c r="V1118" s="383"/>
      <c r="W1118" s="383"/>
      <c r="X1118" s="385"/>
    </row>
    <row r="1119" spans="1:24" x14ac:dyDescent="0.3">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P1119" s="467"/>
      <c r="T1119" s="386"/>
      <c r="U1119" s="383"/>
      <c r="V1119" s="383"/>
      <c r="W1119" s="383"/>
      <c r="X1119" s="385"/>
    </row>
    <row r="1120" spans="1:24" x14ac:dyDescent="0.3">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P1120" s="467"/>
      <c r="T1120" s="386"/>
      <c r="U1120" s="383"/>
      <c r="V1120" s="383"/>
      <c r="W1120" s="383"/>
      <c r="X1120" s="385"/>
    </row>
    <row r="1121" spans="1:24" x14ac:dyDescent="0.3">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P1121" s="467"/>
      <c r="T1121" s="386"/>
      <c r="U1121" s="383"/>
      <c r="V1121" s="383"/>
      <c r="W1121" s="383"/>
      <c r="X1121" s="385"/>
    </row>
    <row r="1122" spans="1:24" x14ac:dyDescent="0.3">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P1122" s="467"/>
      <c r="T1122" s="386"/>
      <c r="U1122" s="383"/>
      <c r="V1122" s="383"/>
      <c r="W1122" s="383"/>
      <c r="X1122" s="385"/>
    </row>
    <row r="1123" spans="1:24" x14ac:dyDescent="0.3">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P1123" s="467"/>
      <c r="T1123" s="386"/>
      <c r="U1123" s="383"/>
      <c r="V1123" s="383"/>
      <c r="W1123" s="383"/>
      <c r="X1123" s="385"/>
    </row>
    <row r="1124" spans="1:24" x14ac:dyDescent="0.3">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P1124" s="467"/>
      <c r="T1124" s="386"/>
      <c r="U1124" s="383"/>
      <c r="V1124" s="383"/>
      <c r="W1124" s="383"/>
      <c r="X1124" s="385"/>
    </row>
    <row r="1125" spans="1:24" x14ac:dyDescent="0.3">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P1125" s="467"/>
      <c r="T1125" s="386"/>
      <c r="U1125" s="383"/>
      <c r="V1125" s="383"/>
      <c r="W1125" s="383"/>
      <c r="X1125" s="385"/>
    </row>
    <row r="1126" spans="1:24" x14ac:dyDescent="0.3">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P1126" s="467"/>
      <c r="T1126" s="386"/>
      <c r="U1126" s="383"/>
      <c r="V1126" s="383"/>
      <c r="W1126" s="383"/>
      <c r="X1126" s="385"/>
    </row>
    <row r="1127" spans="1:24" x14ac:dyDescent="0.3">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P1127" s="467"/>
      <c r="T1127" s="386"/>
      <c r="U1127" s="383"/>
      <c r="V1127" s="383"/>
      <c r="W1127" s="383"/>
      <c r="X1127" s="385"/>
    </row>
    <row r="1128" spans="1:24" x14ac:dyDescent="0.3">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P1128" s="467"/>
      <c r="T1128" s="386"/>
      <c r="U1128" s="383"/>
      <c r="V1128" s="383"/>
      <c r="W1128" s="383"/>
      <c r="X1128" s="385"/>
    </row>
    <row r="1129" spans="1:24" x14ac:dyDescent="0.3">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P1129" s="467"/>
      <c r="T1129" s="386"/>
      <c r="U1129" s="383"/>
      <c r="V1129" s="383"/>
      <c r="W1129" s="383"/>
      <c r="X1129" s="385"/>
    </row>
    <row r="1130" spans="1:24" x14ac:dyDescent="0.3">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P1130" s="467"/>
      <c r="T1130" s="386"/>
      <c r="U1130" s="383"/>
      <c r="V1130" s="383"/>
      <c r="W1130" s="383"/>
      <c r="X1130" s="385"/>
    </row>
    <row r="1131" spans="1:24" x14ac:dyDescent="0.3">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P1131" s="467"/>
      <c r="T1131" s="386"/>
      <c r="U1131" s="383"/>
      <c r="V1131" s="383"/>
      <c r="W1131" s="383"/>
      <c r="X1131" s="385"/>
    </row>
    <row r="1132" spans="1:24" x14ac:dyDescent="0.3">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P1132" s="467"/>
      <c r="T1132" s="386"/>
      <c r="U1132" s="383"/>
      <c r="V1132" s="383"/>
      <c r="W1132" s="383"/>
      <c r="X1132" s="385"/>
    </row>
    <row r="1133" spans="1:24" x14ac:dyDescent="0.3">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P1133" s="467"/>
      <c r="T1133" s="386"/>
      <c r="U1133" s="383"/>
      <c r="V1133" s="383"/>
      <c r="W1133" s="383"/>
      <c r="X1133" s="385"/>
    </row>
    <row r="1134" spans="1:24" x14ac:dyDescent="0.3">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P1134" s="467"/>
      <c r="T1134" s="386"/>
      <c r="U1134" s="383"/>
      <c r="V1134" s="383"/>
      <c r="W1134" s="383"/>
      <c r="X1134" s="385"/>
    </row>
    <row r="1135" spans="1:24" x14ac:dyDescent="0.3">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P1135" s="467"/>
      <c r="T1135" s="386"/>
      <c r="U1135" s="383"/>
      <c r="V1135" s="383"/>
      <c r="W1135" s="383"/>
      <c r="X1135" s="385"/>
    </row>
    <row r="1136" spans="1:24" x14ac:dyDescent="0.3">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P1136" s="467"/>
      <c r="T1136" s="386"/>
      <c r="U1136" s="383"/>
      <c r="V1136" s="383"/>
      <c r="W1136" s="383"/>
      <c r="X1136" s="385"/>
    </row>
    <row r="1137" spans="1:24" x14ac:dyDescent="0.3">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P1137" s="467"/>
      <c r="T1137" s="386"/>
      <c r="U1137" s="383"/>
      <c r="V1137" s="383"/>
      <c r="W1137" s="383"/>
      <c r="X1137" s="385"/>
    </row>
    <row r="1138" spans="1:24" x14ac:dyDescent="0.3">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P1138" s="467"/>
      <c r="T1138" s="386"/>
      <c r="U1138" s="383"/>
      <c r="V1138" s="383"/>
      <c r="W1138" s="383"/>
      <c r="X1138" s="385"/>
    </row>
    <row r="1139" spans="1:24" x14ac:dyDescent="0.3">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P1139" s="467"/>
      <c r="T1139" s="386"/>
      <c r="U1139" s="383"/>
      <c r="V1139" s="383"/>
      <c r="W1139" s="383"/>
      <c r="X1139" s="385"/>
    </row>
    <row r="1140" spans="1:24" x14ac:dyDescent="0.3">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P1140" s="467"/>
      <c r="T1140" s="386"/>
      <c r="U1140" s="383"/>
      <c r="V1140" s="383"/>
      <c r="W1140" s="383"/>
      <c r="X1140" s="385"/>
    </row>
    <row r="1141" spans="1:24" x14ac:dyDescent="0.3">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P1141" s="467"/>
      <c r="T1141" s="386"/>
      <c r="U1141" s="383"/>
      <c r="V1141" s="383"/>
      <c r="W1141" s="383"/>
      <c r="X1141" s="385"/>
    </row>
    <row r="1142" spans="1:24" x14ac:dyDescent="0.3">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P1142" s="467"/>
      <c r="T1142" s="386"/>
      <c r="U1142" s="383"/>
      <c r="V1142" s="383"/>
      <c r="W1142" s="383"/>
      <c r="X1142" s="385"/>
    </row>
    <row r="1143" spans="1:24" x14ac:dyDescent="0.3">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x14ac:dyDescent="0.3">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x14ac:dyDescent="0.3">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x14ac:dyDescent="0.3">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x14ac:dyDescent="0.3">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x14ac:dyDescent="0.3">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x14ac:dyDescent="0.3">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x14ac:dyDescent="0.3">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x14ac:dyDescent="0.3">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x14ac:dyDescent="0.3">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T1152" s="386"/>
      <c r="U1152" s="383"/>
      <c r="V1152" s="383"/>
      <c r="W1152" s="383"/>
      <c r="X1152" s="385"/>
    </row>
    <row r="1153" spans="1:24" x14ac:dyDescent="0.3">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T1153" s="386"/>
      <c r="U1153" s="383"/>
      <c r="V1153" s="383"/>
      <c r="W1153" s="383"/>
      <c r="X1153" s="385"/>
    </row>
    <row r="1154" spans="1:24" x14ac:dyDescent="0.3">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T1154" s="386"/>
      <c r="U1154" s="383"/>
      <c r="V1154" s="383"/>
      <c r="W1154" s="383"/>
      <c r="X1154" s="385"/>
    </row>
    <row r="1155" spans="1:24" x14ac:dyDescent="0.3">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T1155" s="386"/>
      <c r="U1155" s="383"/>
      <c r="V1155" s="383"/>
      <c r="W1155" s="383"/>
      <c r="X1155" s="385"/>
    </row>
    <row r="1156" spans="1:24" x14ac:dyDescent="0.3">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T1156" s="386"/>
      <c r="U1156" s="383"/>
      <c r="V1156" s="383"/>
      <c r="W1156" s="383"/>
      <c r="X1156" s="385"/>
    </row>
    <row r="1157" spans="1:24" x14ac:dyDescent="0.3">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T1157" s="386"/>
      <c r="U1157" s="383"/>
      <c r="V1157" s="383"/>
      <c r="W1157" s="383"/>
      <c r="X1157" s="385"/>
    </row>
    <row r="1158" spans="1:24" x14ac:dyDescent="0.3">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T1158" s="386"/>
      <c r="U1158" s="383"/>
      <c r="V1158" s="383"/>
      <c r="W1158" s="383"/>
      <c r="X1158" s="385"/>
    </row>
    <row r="1159" spans="1:24" x14ac:dyDescent="0.3">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T1159" s="386"/>
      <c r="U1159" s="383"/>
      <c r="V1159" s="383"/>
      <c r="W1159" s="383"/>
      <c r="X1159" s="385"/>
    </row>
    <row r="1160" spans="1:24" x14ac:dyDescent="0.3">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T1160" s="386"/>
      <c r="U1160" s="383"/>
      <c r="V1160" s="383"/>
      <c r="W1160" s="383"/>
      <c r="X1160" s="385"/>
    </row>
    <row r="1161" spans="1:24" x14ac:dyDescent="0.3">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T1161" s="386"/>
      <c r="U1161" s="383"/>
      <c r="V1161" s="383"/>
      <c r="W1161" s="383"/>
      <c r="X1161" s="385"/>
    </row>
    <row r="1162" spans="1:24" x14ac:dyDescent="0.3">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T1162" s="386"/>
      <c r="U1162" s="383"/>
      <c r="V1162" s="383"/>
      <c r="W1162" s="383"/>
      <c r="X1162" s="385"/>
    </row>
    <row r="1163" spans="1:24" x14ac:dyDescent="0.3">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T1163" s="386"/>
      <c r="U1163" s="383"/>
      <c r="V1163" s="383"/>
      <c r="W1163" s="383"/>
      <c r="X1163" s="385"/>
    </row>
    <row r="1164" spans="1:24" x14ac:dyDescent="0.3">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T1164" s="386"/>
      <c r="U1164" s="383"/>
      <c r="V1164" s="383"/>
      <c r="W1164" s="383"/>
      <c r="X1164" s="385"/>
    </row>
    <row r="1165" spans="1:24" x14ac:dyDescent="0.3">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T1165" s="386"/>
      <c r="U1165" s="383"/>
      <c r="V1165" s="383"/>
      <c r="W1165" s="383"/>
      <c r="X1165" s="385"/>
    </row>
    <row r="1166" spans="1:24" x14ac:dyDescent="0.3">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T1166" s="386"/>
      <c r="U1166" s="383"/>
      <c r="V1166" s="383"/>
      <c r="W1166" s="383"/>
      <c r="X1166" s="385"/>
    </row>
    <row r="1167" spans="1:24" x14ac:dyDescent="0.3">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T1167" s="386"/>
      <c r="U1167" s="383"/>
      <c r="V1167" s="383"/>
      <c r="W1167" s="383"/>
      <c r="X1167" s="385"/>
    </row>
    <row r="1168" spans="1:24" x14ac:dyDescent="0.3">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T1168" s="386"/>
      <c r="U1168" s="383"/>
      <c r="V1168" s="383"/>
      <c r="W1168" s="383"/>
      <c r="X1168" s="385"/>
    </row>
    <row r="1169" spans="1:24" x14ac:dyDescent="0.3">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T1169" s="386"/>
      <c r="U1169" s="383"/>
      <c r="V1169" s="383"/>
      <c r="W1169" s="383"/>
      <c r="X1169" s="385"/>
    </row>
    <row r="1170" spans="1:24" x14ac:dyDescent="0.3">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T1170" s="386"/>
      <c r="U1170" s="383"/>
      <c r="V1170" s="383"/>
      <c r="W1170" s="383"/>
      <c r="X1170" s="385"/>
    </row>
    <row r="1171" spans="1:24" x14ac:dyDescent="0.3">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T1171" s="386"/>
      <c r="U1171" s="383"/>
      <c r="V1171" s="383"/>
      <c r="W1171" s="383"/>
      <c r="X1171" s="385"/>
    </row>
    <row r="1172" spans="1:24" x14ac:dyDescent="0.3">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T1172" s="386"/>
      <c r="U1172" s="383"/>
      <c r="V1172" s="383"/>
      <c r="W1172" s="383"/>
      <c r="X1172" s="385"/>
    </row>
    <row r="1173" spans="1:24" x14ac:dyDescent="0.3">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T1173" s="386"/>
      <c r="U1173" s="383"/>
      <c r="V1173" s="383"/>
      <c r="W1173" s="383"/>
      <c r="X1173" s="385"/>
    </row>
    <row r="1174" spans="1:24" x14ac:dyDescent="0.3">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T1174" s="386"/>
      <c r="U1174" s="383"/>
      <c r="V1174" s="383"/>
      <c r="W1174" s="383"/>
      <c r="X1174" s="385"/>
    </row>
    <row r="1175" spans="1:24" x14ac:dyDescent="0.3">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T1175" s="386"/>
      <c r="U1175" s="383"/>
      <c r="V1175" s="383"/>
      <c r="W1175" s="383"/>
      <c r="X1175" s="385"/>
    </row>
    <row r="1176" spans="1:24" x14ac:dyDescent="0.3">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T1176" s="386"/>
      <c r="U1176" s="383"/>
      <c r="V1176" s="383"/>
      <c r="W1176" s="383"/>
      <c r="X1176" s="385"/>
    </row>
    <row r="1177" spans="1:24" x14ac:dyDescent="0.3">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T1177" s="386"/>
      <c r="U1177" s="383"/>
      <c r="V1177" s="383"/>
      <c r="W1177" s="383"/>
      <c r="X1177" s="385"/>
    </row>
    <row r="1178" spans="1:24" x14ac:dyDescent="0.3">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T1178" s="386"/>
      <c r="U1178" s="383"/>
      <c r="V1178" s="383"/>
      <c r="W1178" s="383"/>
      <c r="X1178" s="385"/>
    </row>
    <row r="1179" spans="1:24" x14ac:dyDescent="0.3">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T1179" s="386"/>
      <c r="U1179" s="383"/>
      <c r="V1179" s="383"/>
      <c r="W1179" s="383"/>
      <c r="X1179" s="385"/>
    </row>
    <row r="1180" spans="1:24" x14ac:dyDescent="0.3">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T1180" s="386"/>
      <c r="U1180" s="383"/>
      <c r="V1180" s="383"/>
      <c r="W1180" s="383"/>
      <c r="X1180" s="385"/>
    </row>
    <row r="1181" spans="1:24" x14ac:dyDescent="0.3">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T1181" s="386"/>
      <c r="U1181" s="383"/>
      <c r="V1181" s="383"/>
      <c r="W1181" s="383"/>
      <c r="X1181" s="385"/>
    </row>
    <row r="1182" spans="1:24" x14ac:dyDescent="0.3">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T1182" s="386"/>
      <c r="U1182" s="383"/>
      <c r="V1182" s="383"/>
      <c r="W1182" s="383"/>
      <c r="X1182" s="385"/>
    </row>
    <row r="1183" spans="1:24" x14ac:dyDescent="0.3">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T1183" s="386"/>
      <c r="U1183" s="383"/>
      <c r="V1183" s="383"/>
      <c r="W1183" s="383"/>
      <c r="X1183" s="385"/>
    </row>
    <row r="1184" spans="1:24" x14ac:dyDescent="0.3">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T1184" s="386"/>
      <c r="U1184" s="383"/>
      <c r="V1184" s="383"/>
      <c r="W1184" s="383"/>
      <c r="X1184" s="385"/>
    </row>
    <row r="1185" spans="1:24" x14ac:dyDescent="0.3">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T1185" s="386"/>
      <c r="U1185" s="383"/>
      <c r="V1185" s="383"/>
      <c r="W1185" s="383"/>
      <c r="X1185" s="385"/>
    </row>
    <row r="1186" spans="1:24" x14ac:dyDescent="0.3">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T1186" s="386"/>
      <c r="U1186" s="383"/>
      <c r="V1186" s="383"/>
      <c r="W1186" s="383"/>
      <c r="X1186" s="385"/>
    </row>
    <row r="1187" spans="1:24" x14ac:dyDescent="0.3">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T1187" s="386"/>
      <c r="U1187" s="383"/>
      <c r="V1187" s="383"/>
      <c r="W1187" s="383"/>
      <c r="X1187" s="385"/>
    </row>
    <row r="1188" spans="1:24" x14ac:dyDescent="0.3">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T1188" s="386"/>
      <c r="U1188" s="383"/>
      <c r="V1188" s="383"/>
      <c r="W1188" s="383"/>
      <c r="X1188" s="385"/>
    </row>
    <row r="1189" spans="1:24" x14ac:dyDescent="0.3">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T1189" s="386"/>
      <c r="U1189" s="383"/>
      <c r="V1189" s="383"/>
      <c r="W1189" s="383"/>
      <c r="X1189" s="385"/>
    </row>
    <row r="1190" spans="1:24" x14ac:dyDescent="0.3">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T1190" s="386"/>
      <c r="U1190" s="383"/>
      <c r="V1190" s="383"/>
      <c r="W1190" s="383"/>
      <c r="X1190" s="385"/>
    </row>
    <row r="1191" spans="1:24" x14ac:dyDescent="0.3">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T1191" s="386"/>
      <c r="U1191" s="383"/>
      <c r="V1191" s="383"/>
      <c r="W1191" s="383"/>
      <c r="X1191" s="385"/>
    </row>
    <row r="1192" spans="1:24" x14ac:dyDescent="0.3">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T1192" s="386"/>
      <c r="U1192" s="383"/>
      <c r="V1192" s="383"/>
      <c r="W1192" s="383"/>
      <c r="X1192" s="385"/>
    </row>
    <row r="1193" spans="1:24" x14ac:dyDescent="0.3">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T1193" s="386"/>
      <c r="U1193" s="383"/>
      <c r="V1193" s="383"/>
      <c r="W1193" s="383"/>
      <c r="X1193" s="385"/>
    </row>
    <row r="1194" spans="1:24" x14ac:dyDescent="0.3">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T1194" s="386"/>
      <c r="U1194" s="383"/>
      <c r="V1194" s="383"/>
      <c r="W1194" s="383"/>
      <c r="X1194" s="385"/>
    </row>
    <row r="1195" spans="1:24" x14ac:dyDescent="0.3">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T1195" s="386"/>
      <c r="U1195" s="383"/>
      <c r="V1195" s="383"/>
      <c r="W1195" s="383"/>
      <c r="X1195" s="385"/>
    </row>
    <row r="1196" spans="1:24" x14ac:dyDescent="0.3">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T1196" s="386"/>
      <c r="U1196" s="383"/>
      <c r="V1196" s="383"/>
      <c r="W1196" s="383"/>
      <c r="X1196" s="385"/>
    </row>
    <row r="1197" spans="1:24" x14ac:dyDescent="0.3">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10"/>
      <c r="T1197" s="386"/>
      <c r="U1197" s="383"/>
      <c r="V1197" s="383"/>
      <c r="W1197" s="383"/>
      <c r="X1197" s="385"/>
    </row>
    <row r="1198" spans="1:24" x14ac:dyDescent="0.3">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10"/>
      <c r="T1198" s="386"/>
      <c r="U1198" s="383"/>
      <c r="V1198" s="383"/>
      <c r="W1198" s="383"/>
      <c r="X1198" s="385"/>
    </row>
    <row r="1199" spans="1:24" x14ac:dyDescent="0.3">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10"/>
      <c r="T1199" s="386"/>
      <c r="U1199" s="383"/>
      <c r="V1199" s="383"/>
      <c r="W1199" s="383"/>
      <c r="X1199" s="385"/>
    </row>
    <row r="1200" spans="1:24" x14ac:dyDescent="0.3">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10"/>
      <c r="T1200" s="386"/>
      <c r="U1200" s="383"/>
      <c r="V1200" s="383"/>
      <c r="W1200" s="383"/>
      <c r="X1200" s="385"/>
    </row>
    <row r="1201" spans="1:24" x14ac:dyDescent="0.3">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10"/>
      <c r="T1201" s="386"/>
      <c r="U1201" s="383"/>
      <c r="V1201" s="383"/>
      <c r="W1201" s="383"/>
      <c r="X1201" s="385"/>
    </row>
    <row r="1202" spans="1:24" x14ac:dyDescent="0.3">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10"/>
      <c r="T1202" s="386"/>
      <c r="U1202" s="383"/>
      <c r="V1202" s="383"/>
      <c r="W1202" s="383"/>
      <c r="X1202" s="385"/>
    </row>
    <row r="1203" spans="1:24" x14ac:dyDescent="0.3">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10"/>
      <c r="T1203" s="386"/>
      <c r="U1203" s="383"/>
      <c r="V1203" s="383"/>
      <c r="W1203" s="383"/>
      <c r="X1203" s="385"/>
    </row>
    <row r="1204" spans="1:24" x14ac:dyDescent="0.3">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10"/>
      <c r="T1204" s="386"/>
      <c r="U1204" s="383"/>
      <c r="V1204" s="383"/>
      <c r="W1204" s="383"/>
      <c r="X1204" s="385"/>
    </row>
    <row r="1205" spans="1:24" x14ac:dyDescent="0.3">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10"/>
      <c r="T1205" s="386"/>
      <c r="U1205" s="383"/>
      <c r="V1205" s="383"/>
      <c r="W1205" s="383"/>
      <c r="X1205" s="385"/>
    </row>
    <row r="1206" spans="1:24" x14ac:dyDescent="0.3">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10"/>
      <c r="T1206" s="386"/>
      <c r="U1206" s="383"/>
      <c r="V1206" s="383"/>
      <c r="W1206" s="383"/>
      <c r="X1206" s="385"/>
    </row>
    <row r="1207" spans="1:24" x14ac:dyDescent="0.3">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10"/>
      <c r="T1207" s="386"/>
      <c r="U1207" s="383"/>
      <c r="V1207" s="383"/>
      <c r="W1207" s="383"/>
      <c r="X1207" s="385"/>
    </row>
    <row r="1208" spans="1:24" x14ac:dyDescent="0.3">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10"/>
      <c r="T1208" s="386"/>
      <c r="U1208" s="383"/>
      <c r="V1208" s="383"/>
      <c r="W1208" s="383"/>
      <c r="X1208" s="385"/>
    </row>
    <row r="1209" spans="1:24" x14ac:dyDescent="0.3">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10"/>
      <c r="T1209" s="386"/>
      <c r="U1209" s="383"/>
      <c r="V1209" s="383"/>
      <c r="W1209" s="383"/>
      <c r="X1209" s="385"/>
    </row>
    <row r="1210" spans="1:24" x14ac:dyDescent="0.3">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10"/>
      <c r="T1210" s="386"/>
      <c r="U1210" s="383"/>
      <c r="V1210" s="383"/>
      <c r="W1210" s="383"/>
      <c r="X1210" s="385"/>
    </row>
    <row r="1211" spans="1:24" x14ac:dyDescent="0.3">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9"/>
      <c r="T1211" s="386"/>
      <c r="U1211" s="383"/>
      <c r="V1211" s="383"/>
      <c r="W1211" s="383"/>
      <c r="X1211" s="385"/>
    </row>
    <row r="1212" spans="1:24" x14ac:dyDescent="0.3">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9"/>
      <c r="T1212" s="386"/>
      <c r="U1212" s="383"/>
      <c r="V1212" s="383"/>
      <c r="W1212" s="383"/>
      <c r="X1212" s="385"/>
    </row>
    <row r="1213" spans="1:24" x14ac:dyDescent="0.3">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9"/>
      <c r="T1213" s="386"/>
      <c r="U1213" s="383"/>
      <c r="V1213" s="383"/>
      <c r="W1213" s="383"/>
      <c r="X1213" s="385"/>
    </row>
    <row r="1214" spans="1:24" x14ac:dyDescent="0.3">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9"/>
      <c r="T1214" s="386"/>
      <c r="U1214" s="383"/>
      <c r="V1214" s="383"/>
      <c r="W1214" s="383"/>
      <c r="X1214" s="385"/>
    </row>
    <row r="1215" spans="1:24" x14ac:dyDescent="0.3">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9"/>
      <c r="T1215" s="386"/>
      <c r="U1215" s="383"/>
      <c r="V1215" s="383"/>
      <c r="W1215" s="383"/>
      <c r="X1215" s="385"/>
    </row>
    <row r="1216" spans="1:24" x14ac:dyDescent="0.3">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9"/>
      <c r="T1216" s="386"/>
      <c r="U1216" s="383"/>
      <c r="V1216" s="383"/>
      <c r="W1216" s="383"/>
      <c r="X1216" s="385"/>
    </row>
    <row r="1217" spans="1:24" x14ac:dyDescent="0.3">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9"/>
      <c r="T1217" s="386"/>
      <c r="U1217" s="383"/>
      <c r="V1217" s="383"/>
      <c r="W1217" s="383"/>
      <c r="X1217" s="385"/>
    </row>
    <row r="1218" spans="1:24" x14ac:dyDescent="0.3">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9"/>
      <c r="T1218" s="386"/>
      <c r="U1218" s="383"/>
      <c r="V1218" s="383"/>
      <c r="W1218" s="383"/>
      <c r="X1218" s="385"/>
    </row>
    <row r="1219" spans="1:24" x14ac:dyDescent="0.3">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9"/>
      <c r="T1219" s="386"/>
      <c r="U1219" s="383"/>
      <c r="V1219" s="383"/>
      <c r="W1219" s="383"/>
      <c r="X1219" s="385"/>
    </row>
    <row r="1220" spans="1:24" x14ac:dyDescent="0.3">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9"/>
      <c r="T1220" s="386"/>
      <c r="U1220" s="383"/>
      <c r="V1220" s="383"/>
      <c r="W1220" s="383"/>
      <c r="X1220" s="385"/>
    </row>
    <row r="1221" spans="1:24" x14ac:dyDescent="0.3">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9"/>
      <c r="T1221" s="386"/>
      <c r="U1221" s="383"/>
      <c r="V1221" s="383"/>
      <c r="W1221" s="383"/>
      <c r="X1221" s="385"/>
    </row>
    <row r="1222" spans="1:24" x14ac:dyDescent="0.3">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9"/>
      <c r="T1222" s="386"/>
      <c r="U1222" s="383"/>
      <c r="V1222" s="383"/>
      <c r="W1222" s="383"/>
      <c r="X1222" s="385"/>
    </row>
    <row r="1223" spans="1:24" x14ac:dyDescent="0.3">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8"/>
      <c r="T1223" s="386"/>
      <c r="U1223" s="383"/>
      <c r="V1223" s="383"/>
      <c r="W1223" s="383"/>
      <c r="X1223" s="385"/>
    </row>
    <row r="1224" spans="1:24" x14ac:dyDescent="0.3">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8"/>
      <c r="T1224" s="386"/>
      <c r="U1224" s="383"/>
      <c r="V1224" s="383"/>
      <c r="W1224" s="383"/>
      <c r="X1224" s="385"/>
    </row>
    <row r="1225" spans="1:24" x14ac:dyDescent="0.3">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8"/>
      <c r="T1225" s="386"/>
      <c r="U1225" s="383"/>
      <c r="V1225" s="383"/>
      <c r="W1225" s="383"/>
      <c r="X1225" s="385"/>
    </row>
    <row r="1226" spans="1:24" x14ac:dyDescent="0.3">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8"/>
      <c r="T1226" s="386"/>
      <c r="U1226" s="383"/>
      <c r="V1226" s="383"/>
      <c r="W1226" s="383"/>
      <c r="X1226" s="385"/>
    </row>
    <row r="1227" spans="1:24" x14ac:dyDescent="0.3">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8"/>
      <c r="T1227" s="386"/>
      <c r="U1227" s="383"/>
      <c r="V1227" s="383"/>
      <c r="W1227" s="383"/>
      <c r="X1227" s="385"/>
    </row>
    <row r="1228" spans="1:24" x14ac:dyDescent="0.3">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7"/>
      <c r="T1228" s="386"/>
      <c r="U1228" s="383"/>
      <c r="V1228" s="383"/>
      <c r="W1228" s="383"/>
      <c r="X1228" s="385"/>
    </row>
    <row r="1229" spans="1:24" x14ac:dyDescent="0.3">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7"/>
      <c r="T1229" s="386"/>
      <c r="U1229" s="383"/>
      <c r="V1229" s="383"/>
      <c r="W1229" s="383"/>
      <c r="X1229" s="385"/>
    </row>
    <row r="1230" spans="1:24" x14ac:dyDescent="0.3">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7"/>
      <c r="T1230" s="386"/>
      <c r="U1230" s="383"/>
      <c r="V1230" s="383"/>
      <c r="W1230" s="383"/>
      <c r="X1230" s="385"/>
    </row>
    <row r="1231" spans="1:24" x14ac:dyDescent="0.3">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7"/>
      <c r="T1231" s="386"/>
      <c r="U1231" s="383"/>
      <c r="V1231" s="383"/>
      <c r="W1231" s="383"/>
      <c r="X1231" s="385"/>
    </row>
    <row r="1232" spans="1:24" x14ac:dyDescent="0.3">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7"/>
      <c r="T1232" s="386"/>
      <c r="U1232" s="383"/>
      <c r="V1232" s="383"/>
      <c r="W1232" s="383"/>
      <c r="X1232" s="385"/>
    </row>
    <row r="1233" spans="1:24" x14ac:dyDescent="0.3">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7"/>
      <c r="T1233" s="386"/>
      <c r="U1233" s="383"/>
      <c r="V1233" s="383"/>
      <c r="W1233" s="383"/>
      <c r="X1233" s="385"/>
    </row>
    <row r="1234" spans="1:24" x14ac:dyDescent="0.3">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7"/>
      <c r="T1234" s="386"/>
      <c r="U1234" s="383"/>
      <c r="V1234" s="383"/>
      <c r="W1234" s="383"/>
      <c r="X1234" s="385"/>
    </row>
    <row r="1235" spans="1:24" x14ac:dyDescent="0.3">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7"/>
      <c r="T1235" s="386"/>
      <c r="U1235" s="383"/>
      <c r="V1235" s="383"/>
      <c r="W1235" s="383"/>
      <c r="X1235" s="385"/>
    </row>
    <row r="1236" spans="1:24" x14ac:dyDescent="0.3">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7"/>
      <c r="T1236" s="386"/>
      <c r="U1236" s="383"/>
      <c r="V1236" s="383"/>
      <c r="W1236" s="383"/>
      <c r="X1236" s="385"/>
    </row>
    <row r="1237" spans="1:24" x14ac:dyDescent="0.3">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7"/>
      <c r="T1237" s="386"/>
      <c r="U1237" s="383"/>
      <c r="V1237" s="383"/>
      <c r="W1237" s="383"/>
      <c r="X1237" s="385"/>
    </row>
    <row r="1238" spans="1:24" x14ac:dyDescent="0.3">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7"/>
      <c r="T1238" s="386"/>
      <c r="U1238" s="383"/>
      <c r="V1238" s="383"/>
      <c r="W1238" s="383"/>
      <c r="X1238" s="385"/>
    </row>
    <row r="1239" spans="1:24" x14ac:dyDescent="0.3">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6"/>
      <c r="T1239" s="386"/>
      <c r="U1239" s="383"/>
      <c r="V1239" s="383"/>
      <c r="W1239" s="383"/>
      <c r="X1239" s="385"/>
    </row>
    <row r="1240" spans="1:24" x14ac:dyDescent="0.3">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6"/>
      <c r="T1240" s="386"/>
      <c r="U1240" s="383"/>
      <c r="V1240" s="383"/>
      <c r="W1240" s="383"/>
      <c r="X1240" s="385"/>
    </row>
    <row r="1241" spans="1:24" x14ac:dyDescent="0.3">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6"/>
      <c r="T1241" s="386"/>
      <c r="U1241" s="383"/>
      <c r="V1241" s="383"/>
      <c r="W1241" s="383"/>
      <c r="X1241" s="385"/>
    </row>
    <row r="1242" spans="1:24" x14ac:dyDescent="0.3">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x14ac:dyDescent="0.3">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x14ac:dyDescent="0.3">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x14ac:dyDescent="0.3">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x14ac:dyDescent="0.3">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x14ac:dyDescent="0.3">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x14ac:dyDescent="0.3">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x14ac:dyDescent="0.3">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x14ac:dyDescent="0.3">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x14ac:dyDescent="0.3">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x14ac:dyDescent="0.3">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x14ac:dyDescent="0.3">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x14ac:dyDescent="0.3">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x14ac:dyDescent="0.3">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x14ac:dyDescent="0.3">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x14ac:dyDescent="0.3">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x14ac:dyDescent="0.3">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x14ac:dyDescent="0.3">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x14ac:dyDescent="0.3">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x14ac:dyDescent="0.3">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x14ac:dyDescent="0.3">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x14ac:dyDescent="0.3">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x14ac:dyDescent="0.3">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x14ac:dyDescent="0.3">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x14ac:dyDescent="0.3">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x14ac:dyDescent="0.3">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x14ac:dyDescent="0.3">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x14ac:dyDescent="0.3">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x14ac:dyDescent="0.3">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x14ac:dyDescent="0.3">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x14ac:dyDescent="0.3">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x14ac:dyDescent="0.3">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x14ac:dyDescent="0.3">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x14ac:dyDescent="0.3">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x14ac:dyDescent="0.3">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x14ac:dyDescent="0.3">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x14ac:dyDescent="0.3">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x14ac:dyDescent="0.3">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x14ac:dyDescent="0.3">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x14ac:dyDescent="0.3">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x14ac:dyDescent="0.3">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x14ac:dyDescent="0.3">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x14ac:dyDescent="0.3">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x14ac:dyDescent="0.3">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x14ac:dyDescent="0.3">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x14ac:dyDescent="0.3">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x14ac:dyDescent="0.3">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x14ac:dyDescent="0.3">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x14ac:dyDescent="0.3">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x14ac:dyDescent="0.3">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x14ac:dyDescent="0.3">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x14ac:dyDescent="0.3">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x14ac:dyDescent="0.3">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x14ac:dyDescent="0.3">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x14ac:dyDescent="0.3">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x14ac:dyDescent="0.3">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x14ac:dyDescent="0.3">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x14ac:dyDescent="0.3">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x14ac:dyDescent="0.3">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x14ac:dyDescent="0.3">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x14ac:dyDescent="0.3">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x14ac:dyDescent="0.3">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x14ac:dyDescent="0.3">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x14ac:dyDescent="0.3">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x14ac:dyDescent="0.3">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x14ac:dyDescent="0.3">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x14ac:dyDescent="0.3">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x14ac:dyDescent="0.3">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x14ac:dyDescent="0.3">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x14ac:dyDescent="0.3">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x14ac:dyDescent="0.3">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x14ac:dyDescent="0.3">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x14ac:dyDescent="0.3">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x14ac:dyDescent="0.3">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x14ac:dyDescent="0.3">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x14ac:dyDescent="0.3">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x14ac:dyDescent="0.3">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x14ac:dyDescent="0.3">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x14ac:dyDescent="0.3">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402"/>
      <c r="T1320" s="386"/>
      <c r="U1320" s="383"/>
      <c r="V1320" s="383"/>
      <c r="W1320" s="383"/>
      <c r="X1320" s="385"/>
    </row>
    <row r="1321" spans="1:24" x14ac:dyDescent="0.3">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402"/>
      <c r="T1321" s="386"/>
      <c r="U1321" s="383"/>
      <c r="V1321" s="383"/>
      <c r="W1321" s="383"/>
      <c r="X1321" s="385"/>
    </row>
    <row r="1322" spans="1:24" x14ac:dyDescent="0.3">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402"/>
      <c r="T1322" s="386"/>
      <c r="U1322" s="383"/>
      <c r="V1322" s="383"/>
      <c r="W1322" s="383"/>
      <c r="X1322" s="385"/>
    </row>
    <row r="1323" spans="1:24" x14ac:dyDescent="0.3">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402"/>
      <c r="T1323" s="386"/>
      <c r="U1323" s="383"/>
      <c r="V1323" s="383"/>
      <c r="W1323" s="383"/>
      <c r="X1323" s="385"/>
    </row>
    <row r="1324" spans="1:24" x14ac:dyDescent="0.3">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402"/>
      <c r="T1324" s="386"/>
      <c r="U1324" s="383"/>
      <c r="V1324" s="383"/>
      <c r="W1324" s="383"/>
      <c r="X1324" s="385"/>
    </row>
    <row r="1325" spans="1:24" x14ac:dyDescent="0.3">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402"/>
      <c r="T1325" s="386"/>
      <c r="U1325" s="383"/>
      <c r="V1325" s="383"/>
      <c r="W1325" s="383"/>
      <c r="X1325" s="385"/>
    </row>
    <row r="1326" spans="1:24" x14ac:dyDescent="0.3">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402"/>
      <c r="T1326" s="386"/>
      <c r="U1326" s="383"/>
      <c r="V1326" s="383"/>
      <c r="W1326" s="383"/>
      <c r="X1326" s="385"/>
    </row>
    <row r="1327" spans="1:24" x14ac:dyDescent="0.3">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402"/>
      <c r="T1327" s="386"/>
      <c r="U1327" s="383"/>
      <c r="V1327" s="383"/>
      <c r="W1327" s="383"/>
      <c r="X1327" s="385"/>
    </row>
    <row r="1328" spans="1:24" x14ac:dyDescent="0.3">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402"/>
      <c r="T1328" s="386"/>
      <c r="U1328" s="383"/>
      <c r="V1328" s="383"/>
      <c r="W1328" s="383"/>
      <c r="X1328" s="385"/>
    </row>
    <row r="1329" spans="1:24" x14ac:dyDescent="0.3">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402"/>
      <c r="T1329" s="386"/>
      <c r="U1329" s="383"/>
      <c r="V1329" s="383"/>
      <c r="W1329" s="383"/>
      <c r="X1329" s="385"/>
    </row>
    <row r="1330" spans="1:24" x14ac:dyDescent="0.3">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402"/>
      <c r="T1330" s="386"/>
      <c r="U1330" s="383"/>
      <c r="V1330" s="383"/>
      <c r="W1330" s="383"/>
      <c r="X1330" s="385"/>
    </row>
    <row r="1331" spans="1:24" x14ac:dyDescent="0.3">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402"/>
      <c r="T1331" s="386"/>
      <c r="U1331" s="383"/>
      <c r="V1331" s="383"/>
      <c r="W1331" s="383"/>
      <c r="X1331" s="385"/>
    </row>
    <row r="1332" spans="1:24" x14ac:dyDescent="0.3">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402"/>
      <c r="T1332" s="386"/>
      <c r="U1332" s="383"/>
      <c r="V1332" s="383"/>
      <c r="W1332" s="383"/>
      <c r="X1332" s="385"/>
    </row>
    <row r="1333" spans="1:24" x14ac:dyDescent="0.3">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402"/>
      <c r="T1333" s="386"/>
      <c r="U1333" s="383"/>
      <c r="V1333" s="383"/>
      <c r="W1333" s="383"/>
      <c r="X1333" s="385"/>
    </row>
    <row r="1334" spans="1:24" x14ac:dyDescent="0.3">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402"/>
      <c r="T1334" s="386"/>
      <c r="U1334" s="383"/>
      <c r="V1334" s="383"/>
      <c r="W1334" s="383"/>
      <c r="X1334" s="385"/>
    </row>
    <row r="1335" spans="1:24" x14ac:dyDescent="0.3">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402"/>
      <c r="T1335" s="386"/>
      <c r="U1335" s="383"/>
      <c r="V1335" s="383"/>
      <c r="W1335" s="383"/>
      <c r="X1335" s="385"/>
    </row>
    <row r="1336" spans="1:24" x14ac:dyDescent="0.3">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402"/>
      <c r="T1336" s="386"/>
      <c r="U1336" s="383"/>
      <c r="V1336" s="383"/>
      <c r="W1336" s="383"/>
      <c r="X1336" s="385"/>
    </row>
    <row r="1337" spans="1:24" x14ac:dyDescent="0.3">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402"/>
      <c r="T1337" s="386"/>
      <c r="U1337" s="383"/>
      <c r="V1337" s="383"/>
      <c r="W1337" s="383"/>
      <c r="X1337" s="385"/>
    </row>
    <row r="1338" spans="1:24" x14ac:dyDescent="0.3">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402"/>
      <c r="T1338" s="386"/>
      <c r="U1338" s="383"/>
      <c r="V1338" s="383"/>
      <c r="W1338" s="383"/>
      <c r="X1338" s="385"/>
    </row>
    <row r="1339" spans="1:24" x14ac:dyDescent="0.3">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402"/>
      <c r="T1339" s="386"/>
      <c r="U1339" s="383"/>
      <c r="V1339" s="383"/>
      <c r="W1339" s="383"/>
      <c r="X1339" s="385"/>
    </row>
    <row r="1340" spans="1:24" x14ac:dyDescent="0.3">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402"/>
      <c r="T1340" s="386"/>
      <c r="U1340" s="383"/>
      <c r="V1340" s="383"/>
      <c r="W1340" s="383"/>
      <c r="X1340" s="385"/>
    </row>
    <row r="1341" spans="1:24" x14ac:dyDescent="0.3">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402"/>
      <c r="T1341" s="386"/>
      <c r="U1341" s="383"/>
      <c r="V1341" s="383"/>
      <c r="W1341" s="383"/>
      <c r="X1341" s="385"/>
    </row>
    <row r="1342" spans="1:24" x14ac:dyDescent="0.3">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402"/>
      <c r="T1342" s="386"/>
      <c r="U1342" s="383"/>
      <c r="V1342" s="383"/>
      <c r="W1342" s="383"/>
      <c r="X1342" s="385"/>
    </row>
    <row r="1343" spans="1:24" x14ac:dyDescent="0.3">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402"/>
      <c r="T1343" s="386"/>
      <c r="U1343" s="383"/>
      <c r="V1343" s="383"/>
      <c r="W1343" s="383"/>
      <c r="X1343" s="385"/>
    </row>
    <row r="1344" spans="1:24" x14ac:dyDescent="0.3">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402"/>
      <c r="T1344" s="386"/>
      <c r="U1344" s="383"/>
      <c r="V1344" s="383"/>
      <c r="W1344" s="383"/>
      <c r="X1344" s="385"/>
    </row>
    <row r="1345" spans="1:24" x14ac:dyDescent="0.3">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402"/>
      <c r="T1345" s="386"/>
      <c r="U1345" s="383"/>
      <c r="V1345" s="383"/>
      <c r="W1345" s="383"/>
      <c r="X1345" s="385"/>
    </row>
    <row r="1346" spans="1:24" x14ac:dyDescent="0.3">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402"/>
      <c r="T1346" s="386"/>
      <c r="U1346" s="383"/>
      <c r="V1346" s="383"/>
      <c r="W1346" s="383"/>
      <c r="X1346" s="385"/>
    </row>
    <row r="1347" spans="1:24" x14ac:dyDescent="0.3">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402"/>
      <c r="T1347" s="386"/>
      <c r="U1347" s="383"/>
      <c r="V1347" s="383"/>
      <c r="W1347" s="383"/>
      <c r="X1347" s="385"/>
    </row>
    <row r="1348" spans="1:24" x14ac:dyDescent="0.3">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402"/>
      <c r="T1348" s="386"/>
      <c r="U1348" s="383"/>
      <c r="V1348" s="383"/>
      <c r="W1348" s="383"/>
      <c r="X1348" s="385"/>
    </row>
    <row r="1349" spans="1:24" x14ac:dyDescent="0.3">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402"/>
      <c r="T1349" s="386"/>
      <c r="U1349" s="383"/>
      <c r="V1349" s="383"/>
      <c r="W1349" s="383"/>
      <c r="X1349" s="385"/>
    </row>
    <row r="1350" spans="1:24" x14ac:dyDescent="0.3">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402"/>
      <c r="T1350" s="386"/>
      <c r="U1350" s="383"/>
      <c r="V1350" s="383"/>
      <c r="W1350" s="383"/>
      <c r="X1350" s="385"/>
    </row>
    <row r="1351" spans="1:24" x14ac:dyDescent="0.3">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402"/>
      <c r="T1351" s="386"/>
      <c r="U1351" s="383"/>
      <c r="V1351" s="383"/>
      <c r="W1351" s="383"/>
      <c r="X1351" s="385"/>
    </row>
    <row r="1352" spans="1:24" x14ac:dyDescent="0.3">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402"/>
      <c r="T1352" s="386"/>
      <c r="U1352" s="383"/>
      <c r="V1352" s="383"/>
      <c r="W1352" s="383"/>
      <c r="X1352" s="385"/>
    </row>
    <row r="1353" spans="1:24" x14ac:dyDescent="0.3">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402"/>
      <c r="T1353" s="386"/>
      <c r="U1353" s="383"/>
      <c r="V1353" s="383"/>
      <c r="W1353" s="383"/>
      <c r="X1353" s="385"/>
    </row>
    <row r="1354" spans="1:24" x14ac:dyDescent="0.3">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402"/>
      <c r="T1354" s="386"/>
      <c r="U1354" s="383"/>
      <c r="V1354" s="383"/>
      <c r="W1354" s="383"/>
      <c r="X1354" s="385"/>
    </row>
    <row r="1355" spans="1:24" x14ac:dyDescent="0.3">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402"/>
      <c r="T1355" s="386"/>
      <c r="U1355" s="383"/>
      <c r="V1355" s="383"/>
      <c r="W1355" s="383"/>
      <c r="X1355" s="385"/>
    </row>
    <row r="1356" spans="1:24" x14ac:dyDescent="0.3">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402"/>
      <c r="T1356" s="386"/>
      <c r="U1356" s="383"/>
      <c r="V1356" s="383"/>
      <c r="W1356" s="383"/>
      <c r="X1356" s="385"/>
    </row>
    <row r="1357" spans="1:24" x14ac:dyDescent="0.3">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402"/>
      <c r="T1357" s="386"/>
      <c r="U1357" s="383"/>
      <c r="V1357" s="383"/>
      <c r="W1357" s="383"/>
      <c r="X1357" s="385"/>
    </row>
    <row r="1358" spans="1:24" x14ac:dyDescent="0.3">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402"/>
      <c r="T1358" s="386"/>
      <c r="U1358" s="383"/>
      <c r="V1358" s="383"/>
      <c r="W1358" s="383"/>
      <c r="X1358" s="385"/>
    </row>
    <row r="1359" spans="1:24" x14ac:dyDescent="0.3">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402"/>
      <c r="T1359" s="386"/>
      <c r="U1359" s="383"/>
      <c r="V1359" s="383"/>
      <c r="W1359" s="383"/>
      <c r="X1359" s="385"/>
    </row>
    <row r="1360" spans="1:24" x14ac:dyDescent="0.3">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402"/>
      <c r="T1360" s="386"/>
      <c r="U1360" s="383"/>
      <c r="V1360" s="383"/>
      <c r="W1360" s="383"/>
      <c r="X1360" s="385"/>
    </row>
    <row r="1361" spans="1:24" x14ac:dyDescent="0.3">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402"/>
      <c r="T1361" s="386"/>
      <c r="U1361" s="383"/>
      <c r="V1361" s="383"/>
      <c r="W1361" s="383"/>
      <c r="X1361" s="385"/>
    </row>
    <row r="1362" spans="1:24" x14ac:dyDescent="0.3">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402"/>
      <c r="T1362" s="386"/>
      <c r="U1362" s="383"/>
      <c r="V1362" s="383"/>
      <c r="W1362" s="383"/>
      <c r="X1362" s="385"/>
    </row>
    <row r="1363" spans="1:24" x14ac:dyDescent="0.3">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402"/>
      <c r="T1363" s="386"/>
      <c r="U1363" s="383"/>
      <c r="V1363" s="383"/>
      <c r="W1363" s="383"/>
      <c r="X1363" s="385"/>
    </row>
    <row r="1364" spans="1:24" x14ac:dyDescent="0.3">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402"/>
      <c r="T1364" s="386"/>
      <c r="U1364" s="383"/>
      <c r="V1364" s="383"/>
      <c r="W1364" s="383"/>
      <c r="X1364" s="385"/>
    </row>
    <row r="1365" spans="1:24" x14ac:dyDescent="0.3">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9"/>
      <c r="T1365" s="386"/>
      <c r="U1365" s="383"/>
      <c r="V1365" s="383"/>
      <c r="W1365" s="383"/>
      <c r="X1365" s="385"/>
    </row>
    <row r="1366" spans="1:24" x14ac:dyDescent="0.3">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9"/>
      <c r="T1366" s="386"/>
      <c r="U1366" s="383"/>
      <c r="V1366" s="383"/>
      <c r="W1366" s="383"/>
      <c r="X1366" s="385"/>
    </row>
    <row r="1367" spans="1:24" x14ac:dyDescent="0.3">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9"/>
      <c r="T1367" s="386"/>
      <c r="U1367" s="383"/>
      <c r="V1367" s="383"/>
      <c r="W1367" s="383"/>
      <c r="X1367" s="385"/>
    </row>
    <row r="1368" spans="1:24" x14ac:dyDescent="0.3">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9"/>
      <c r="T1368" s="386"/>
      <c r="U1368" s="383"/>
      <c r="V1368" s="383"/>
      <c r="W1368" s="383"/>
      <c r="X1368" s="385"/>
    </row>
    <row r="1369" spans="1:24" x14ac:dyDescent="0.3">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9"/>
      <c r="T1369" s="386"/>
      <c r="U1369" s="383"/>
      <c r="V1369" s="383"/>
      <c r="W1369" s="383"/>
      <c r="X1369" s="385"/>
    </row>
    <row r="1370" spans="1:24" x14ac:dyDescent="0.3">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9"/>
      <c r="T1370" s="386"/>
      <c r="U1370" s="383"/>
      <c r="V1370" s="383"/>
      <c r="W1370" s="383"/>
      <c r="X1370" s="385"/>
    </row>
    <row r="1371" spans="1:24" x14ac:dyDescent="0.3">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9"/>
      <c r="T1371" s="386"/>
      <c r="U1371" s="383"/>
      <c r="V1371" s="383"/>
      <c r="W1371" s="383"/>
      <c r="X1371" s="385"/>
    </row>
    <row r="1372" spans="1:24" x14ac:dyDescent="0.3">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9"/>
      <c r="T1372" s="386"/>
      <c r="U1372" s="383"/>
      <c r="V1372" s="383"/>
      <c r="W1372" s="383"/>
      <c r="X1372" s="385"/>
    </row>
    <row r="1373" spans="1:24" x14ac:dyDescent="0.3">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9"/>
      <c r="T1373" s="386"/>
      <c r="U1373" s="383"/>
      <c r="V1373" s="383"/>
      <c r="W1373" s="383"/>
      <c r="X1373" s="385"/>
    </row>
    <row r="1374" spans="1:24" x14ac:dyDescent="0.3">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x14ac:dyDescent="0.3">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x14ac:dyDescent="0.3">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x14ac:dyDescent="0.3">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x14ac:dyDescent="0.3">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x14ac:dyDescent="0.3">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x14ac:dyDescent="0.3">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x14ac:dyDescent="0.3">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x14ac:dyDescent="0.3">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x14ac:dyDescent="0.3">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x14ac:dyDescent="0.3">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x14ac:dyDescent="0.3">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x14ac:dyDescent="0.3">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x14ac:dyDescent="0.3">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x14ac:dyDescent="0.3">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x14ac:dyDescent="0.3">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x14ac:dyDescent="0.3">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x14ac:dyDescent="0.3">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x14ac:dyDescent="0.3">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x14ac:dyDescent="0.3">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90"/>
      <c r="T1393" s="386"/>
      <c r="U1393" s="383"/>
      <c r="V1393" s="383"/>
      <c r="W1393" s="383"/>
      <c r="X1393" s="385"/>
    </row>
    <row r="1394" spans="1:24" x14ac:dyDescent="0.3">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90"/>
      <c r="T1394" s="386"/>
      <c r="U1394" s="383"/>
      <c r="V1394" s="383"/>
      <c r="W1394" s="383"/>
      <c r="X1394" s="385"/>
    </row>
    <row r="1395" spans="1:24" x14ac:dyDescent="0.3">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90"/>
      <c r="T1395" s="386"/>
      <c r="U1395" s="383"/>
      <c r="V1395" s="383"/>
      <c r="W1395" s="383"/>
      <c r="X1395" s="385"/>
    </row>
    <row r="1396" spans="1:24" x14ac:dyDescent="0.3">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90"/>
      <c r="T1396" s="386"/>
      <c r="U1396" s="383"/>
      <c r="V1396" s="383"/>
      <c r="W1396" s="383"/>
      <c r="X1396" s="385"/>
    </row>
    <row r="1397" spans="1:24" x14ac:dyDescent="0.3">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90"/>
      <c r="T1397" s="386"/>
      <c r="U1397" s="383"/>
      <c r="V1397" s="383"/>
      <c r="W1397" s="383"/>
      <c r="X1397" s="385"/>
    </row>
    <row r="1398" spans="1:24" x14ac:dyDescent="0.3">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90"/>
      <c r="T1398" s="386"/>
      <c r="U1398" s="383"/>
      <c r="V1398" s="383"/>
      <c r="W1398" s="383"/>
      <c r="X1398" s="385"/>
    </row>
    <row r="1399" spans="1:24" x14ac:dyDescent="0.3">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90"/>
      <c r="T1399" s="386"/>
      <c r="U1399" s="383"/>
      <c r="V1399" s="383"/>
      <c r="W1399" s="383"/>
      <c r="X1399" s="385"/>
    </row>
    <row r="1400" spans="1:24" x14ac:dyDescent="0.3">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90"/>
      <c r="T1400" s="386"/>
      <c r="U1400" s="383"/>
      <c r="V1400" s="383"/>
      <c r="W1400" s="383"/>
      <c r="X1400" s="385"/>
    </row>
    <row r="1401" spans="1:24" x14ac:dyDescent="0.3">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90"/>
      <c r="T1401" s="386"/>
      <c r="U1401" s="383"/>
      <c r="V1401" s="383"/>
      <c r="W1401" s="383"/>
      <c r="X1401" s="385"/>
    </row>
    <row r="1402" spans="1:24" x14ac:dyDescent="0.3">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90"/>
      <c r="T1402" s="386"/>
      <c r="U1402" s="383"/>
      <c r="V1402" s="383"/>
      <c r="W1402" s="383"/>
      <c r="X1402" s="385"/>
    </row>
    <row r="1403" spans="1:24" x14ac:dyDescent="0.3">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90"/>
      <c r="T1403" s="386"/>
      <c r="U1403" s="383"/>
      <c r="V1403" s="383"/>
      <c r="W1403" s="383"/>
      <c r="X1403" s="385"/>
    </row>
    <row r="1404" spans="1:24" x14ac:dyDescent="0.3">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90"/>
      <c r="T1404" s="386"/>
      <c r="U1404" s="383"/>
      <c r="V1404" s="383"/>
      <c r="W1404" s="383"/>
      <c r="X1404" s="385"/>
    </row>
    <row r="1405" spans="1:24" x14ac:dyDescent="0.3">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90"/>
      <c r="T1405" s="386"/>
      <c r="U1405" s="383"/>
      <c r="V1405" s="383"/>
      <c r="W1405" s="383"/>
      <c r="X1405" s="385"/>
    </row>
    <row r="1406" spans="1:24" x14ac:dyDescent="0.3">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90"/>
      <c r="T1406" s="386"/>
      <c r="U1406" s="383"/>
      <c r="V1406" s="383"/>
      <c r="W1406" s="383"/>
      <c r="X1406" s="385"/>
    </row>
    <row r="1407" spans="1:24" x14ac:dyDescent="0.3">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90"/>
      <c r="T1407" s="386"/>
      <c r="U1407" s="383"/>
      <c r="V1407" s="383"/>
      <c r="W1407" s="383"/>
      <c r="X1407" s="385"/>
    </row>
    <row r="1408" spans="1:24" x14ac:dyDescent="0.3">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90"/>
      <c r="T1408" s="386"/>
      <c r="U1408" s="383"/>
      <c r="V1408" s="383"/>
      <c r="W1408" s="383"/>
      <c r="X1408" s="385"/>
    </row>
    <row r="1409" spans="1:24" x14ac:dyDescent="0.3">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90"/>
      <c r="T1409" s="386"/>
      <c r="U1409" s="383"/>
      <c r="V1409" s="383"/>
      <c r="W1409" s="383"/>
      <c r="X1409" s="385"/>
    </row>
    <row r="1410" spans="1:24" x14ac:dyDescent="0.3">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90"/>
      <c r="T1410" s="386"/>
      <c r="U1410" s="383"/>
      <c r="V1410" s="383"/>
      <c r="W1410" s="383"/>
      <c r="X1410" s="385"/>
    </row>
    <row r="1411" spans="1:24" x14ac:dyDescent="0.3">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90"/>
      <c r="T1411" s="386"/>
      <c r="U1411" s="383"/>
      <c r="V1411" s="383"/>
      <c r="W1411" s="383"/>
      <c r="X1411" s="385"/>
    </row>
    <row r="1412" spans="1:24" x14ac:dyDescent="0.3">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90"/>
      <c r="T1412" s="386"/>
      <c r="U1412" s="383"/>
      <c r="V1412" s="383"/>
      <c r="W1412" s="383"/>
      <c r="X1412" s="385"/>
    </row>
    <row r="1413" spans="1:24" x14ac:dyDescent="0.3">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90"/>
      <c r="T1413" s="386"/>
      <c r="U1413" s="383"/>
      <c r="V1413" s="383"/>
      <c r="W1413" s="383"/>
      <c r="X1413" s="385"/>
    </row>
    <row r="1414" spans="1:24" x14ac:dyDescent="0.3">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90"/>
      <c r="T1414" s="386"/>
      <c r="U1414" s="383"/>
      <c r="V1414" s="383"/>
      <c r="W1414" s="383"/>
      <c r="X1414" s="385"/>
    </row>
    <row r="1415" spans="1:24" x14ac:dyDescent="0.3">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90"/>
      <c r="T1415" s="386"/>
      <c r="U1415" s="383"/>
      <c r="V1415" s="383"/>
      <c r="W1415" s="383"/>
      <c r="X1415" s="385"/>
    </row>
    <row r="1416" spans="1:24" x14ac:dyDescent="0.3">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90"/>
      <c r="T1416" s="386"/>
      <c r="U1416" s="383"/>
      <c r="V1416" s="383"/>
      <c r="W1416" s="383"/>
      <c r="X1416" s="385"/>
    </row>
    <row r="1417" spans="1:24" x14ac:dyDescent="0.3">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90"/>
      <c r="T1417" s="386"/>
      <c r="U1417" s="383"/>
      <c r="V1417" s="383"/>
      <c r="W1417" s="383"/>
      <c r="X1417" s="385"/>
    </row>
    <row r="1418" spans="1:24" x14ac:dyDescent="0.3">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90"/>
      <c r="T1418" s="386"/>
      <c r="U1418" s="383"/>
      <c r="V1418" s="383"/>
      <c r="W1418" s="383"/>
      <c r="X1418" s="385"/>
    </row>
    <row r="1419" spans="1:24" x14ac:dyDescent="0.3">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90"/>
      <c r="T1419" s="386"/>
      <c r="U1419" s="383"/>
      <c r="V1419" s="383"/>
      <c r="W1419" s="383"/>
      <c r="X1419" s="385"/>
    </row>
    <row r="1420" spans="1:24" x14ac:dyDescent="0.3">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90"/>
      <c r="T1420" s="386"/>
      <c r="U1420" s="383"/>
      <c r="V1420" s="383"/>
      <c r="W1420" s="383"/>
      <c r="X1420" s="385"/>
    </row>
    <row r="1421" spans="1:24" x14ac:dyDescent="0.3">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90"/>
      <c r="T1421" s="386"/>
      <c r="U1421" s="383"/>
      <c r="V1421" s="383"/>
      <c r="W1421" s="383"/>
      <c r="X1421" s="385"/>
    </row>
    <row r="1422" spans="1:24" x14ac:dyDescent="0.3">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90"/>
      <c r="T1422" s="386"/>
      <c r="U1422" s="383"/>
      <c r="V1422" s="383"/>
      <c r="W1422" s="383"/>
      <c r="X1422" s="385"/>
    </row>
    <row r="1423" spans="1:24" x14ac:dyDescent="0.3">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90"/>
      <c r="T1423" s="386"/>
      <c r="U1423" s="383"/>
      <c r="V1423" s="383"/>
      <c r="W1423" s="383"/>
      <c r="X1423" s="385"/>
    </row>
    <row r="1424" spans="1:24" x14ac:dyDescent="0.3">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90"/>
      <c r="T1424" s="386"/>
      <c r="U1424" s="383"/>
      <c r="V1424" s="383"/>
      <c r="W1424" s="383"/>
      <c r="X1424" s="385"/>
    </row>
    <row r="1425" spans="1:24" x14ac:dyDescent="0.3">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90"/>
      <c r="T1425" s="386"/>
      <c r="U1425" s="383"/>
      <c r="V1425" s="383"/>
      <c r="W1425" s="383"/>
      <c r="X1425" s="385"/>
    </row>
    <row r="1426" spans="1:24" x14ac:dyDescent="0.3">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90"/>
      <c r="T1426" s="386"/>
      <c r="U1426" s="383"/>
      <c r="V1426" s="383"/>
      <c r="W1426" s="383"/>
      <c r="X1426" s="385"/>
    </row>
    <row r="1427" spans="1:24" x14ac:dyDescent="0.3">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90"/>
      <c r="T1427" s="386"/>
      <c r="U1427" s="383"/>
      <c r="V1427" s="383"/>
      <c r="W1427" s="383"/>
      <c r="X1427" s="385"/>
    </row>
    <row r="1428" spans="1:24" x14ac:dyDescent="0.3">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90"/>
      <c r="T1428" s="386"/>
      <c r="U1428" s="383"/>
      <c r="V1428" s="383"/>
      <c r="W1428" s="383"/>
      <c r="X1428" s="385"/>
    </row>
    <row r="1429" spans="1:24" x14ac:dyDescent="0.3">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90"/>
      <c r="T1429" s="386"/>
      <c r="U1429" s="383"/>
      <c r="V1429" s="383"/>
      <c r="W1429" s="383"/>
      <c r="X1429" s="385"/>
    </row>
    <row r="1430" spans="1:24" x14ac:dyDescent="0.3">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90"/>
      <c r="T1430" s="386"/>
      <c r="U1430" s="383"/>
      <c r="V1430" s="383"/>
      <c r="W1430" s="383"/>
      <c r="X1430" s="385"/>
    </row>
    <row r="1431" spans="1:24" x14ac:dyDescent="0.3">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90"/>
      <c r="T1431" s="386"/>
      <c r="U1431" s="383"/>
      <c r="V1431" s="383"/>
      <c r="W1431" s="383"/>
      <c r="X1431" s="385"/>
    </row>
    <row r="1432" spans="1:24" x14ac:dyDescent="0.3">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90"/>
      <c r="T1432" s="386"/>
      <c r="U1432" s="383"/>
      <c r="V1432" s="383"/>
      <c r="W1432" s="383"/>
      <c r="X1432" s="385"/>
    </row>
    <row r="1433" spans="1:24" x14ac:dyDescent="0.3">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90"/>
      <c r="T1433" s="386"/>
      <c r="U1433" s="383"/>
      <c r="V1433" s="383"/>
      <c r="W1433" s="383"/>
      <c r="X1433" s="385"/>
    </row>
    <row r="1434" spans="1:24" x14ac:dyDescent="0.3">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90"/>
      <c r="T1434" s="386"/>
      <c r="U1434" s="383"/>
      <c r="V1434" s="383"/>
      <c r="W1434" s="383"/>
      <c r="X1434" s="385"/>
    </row>
    <row r="1435" spans="1:24" x14ac:dyDescent="0.3">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90"/>
      <c r="T1435" s="386"/>
      <c r="U1435" s="383"/>
      <c r="V1435" s="383"/>
      <c r="W1435" s="383"/>
      <c r="X1435" s="385"/>
    </row>
    <row r="1436" spans="1:24" x14ac:dyDescent="0.3">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90"/>
      <c r="T1436" s="386"/>
      <c r="U1436" s="383"/>
      <c r="V1436" s="383"/>
      <c r="W1436" s="383"/>
      <c r="X1436" s="385"/>
    </row>
    <row r="1437" spans="1:24" x14ac:dyDescent="0.3">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90"/>
      <c r="T1437" s="386"/>
      <c r="U1437" s="383"/>
      <c r="V1437" s="383"/>
      <c r="W1437" s="383"/>
      <c r="X1437" s="385"/>
    </row>
    <row r="1438" spans="1:24" x14ac:dyDescent="0.3">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89"/>
      <c r="T1438" s="386"/>
      <c r="U1438" s="383"/>
      <c r="V1438" s="383"/>
      <c r="W1438" s="383"/>
      <c r="X1438" s="385"/>
    </row>
    <row r="1439" spans="1:24" x14ac:dyDescent="0.3">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89"/>
      <c r="T1439" s="386"/>
      <c r="U1439" s="383"/>
      <c r="V1439" s="383"/>
      <c r="W1439" s="383"/>
      <c r="X1439" s="385"/>
    </row>
    <row r="1440" spans="1:24" x14ac:dyDescent="0.3">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89"/>
      <c r="T1440" s="386"/>
      <c r="U1440" s="383"/>
      <c r="V1440" s="383"/>
      <c r="W1440" s="383"/>
      <c r="X1440" s="385"/>
    </row>
    <row r="1441" spans="1:24" x14ac:dyDescent="0.3">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89"/>
      <c r="T1441" s="386"/>
      <c r="U1441" s="383"/>
      <c r="V1441" s="383"/>
      <c r="W1441" s="383"/>
      <c r="X1441" s="385"/>
    </row>
    <row r="1442" spans="1:24" x14ac:dyDescent="0.3">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7"/>
      <c r="T1442" s="386"/>
      <c r="U1442" s="383"/>
      <c r="V1442" s="383"/>
      <c r="W1442" s="383"/>
      <c r="X1442" s="385"/>
    </row>
    <row r="1443" spans="1:24" x14ac:dyDescent="0.3">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7"/>
      <c r="T1443" s="386"/>
      <c r="U1443" s="383"/>
      <c r="V1443" s="383"/>
      <c r="W1443" s="383"/>
      <c r="X1443" s="385"/>
    </row>
    <row r="1444" spans="1:24" x14ac:dyDescent="0.3">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7"/>
      <c r="T1444" s="386"/>
      <c r="U1444" s="383"/>
      <c r="V1444" s="383"/>
      <c r="W1444" s="383"/>
      <c r="X1444" s="385"/>
    </row>
    <row r="1445" spans="1:24" x14ac:dyDescent="0.3">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7"/>
      <c r="T1445" s="386"/>
      <c r="U1445" s="383"/>
      <c r="V1445" s="383"/>
      <c r="W1445" s="383"/>
      <c r="X1445" s="385"/>
    </row>
    <row r="1446" spans="1:24" x14ac:dyDescent="0.3">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7"/>
      <c r="T1446" s="386"/>
      <c r="U1446" s="383"/>
      <c r="V1446" s="383"/>
      <c r="W1446" s="383"/>
      <c r="X1446" s="385"/>
    </row>
    <row r="1447" spans="1:24" x14ac:dyDescent="0.3">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7"/>
      <c r="T1447" s="386"/>
      <c r="U1447" s="383"/>
      <c r="V1447" s="383"/>
      <c r="W1447" s="383"/>
      <c r="X1447" s="385"/>
    </row>
    <row r="1448" spans="1:24" x14ac:dyDescent="0.3">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7"/>
      <c r="T1448" s="386"/>
      <c r="U1448" s="383"/>
      <c r="V1448" s="383"/>
      <c r="W1448" s="383"/>
      <c r="X1448" s="385"/>
    </row>
    <row r="1449" spans="1:24" x14ac:dyDescent="0.3">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7"/>
      <c r="T1449" s="386"/>
      <c r="U1449" s="383"/>
      <c r="V1449" s="383"/>
      <c r="W1449" s="383"/>
      <c r="X1449" s="385"/>
    </row>
    <row r="1450" spans="1:24" x14ac:dyDescent="0.3">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7"/>
      <c r="T1450" s="386"/>
      <c r="U1450" s="383"/>
      <c r="V1450" s="383"/>
      <c r="W1450" s="383"/>
      <c r="X1450" s="385"/>
    </row>
    <row r="1451" spans="1:24" x14ac:dyDescent="0.3">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7"/>
      <c r="T1451" s="386"/>
      <c r="U1451" s="383"/>
      <c r="V1451" s="383"/>
      <c r="W1451" s="383"/>
      <c r="X1451" s="385"/>
    </row>
    <row r="1452" spans="1:24" x14ac:dyDescent="0.3">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7"/>
      <c r="T1452" s="386"/>
      <c r="U1452" s="383"/>
      <c r="V1452" s="383"/>
      <c r="W1452" s="383"/>
      <c r="X1452" s="385"/>
    </row>
    <row r="1453" spans="1:24" x14ac:dyDescent="0.3">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x14ac:dyDescent="0.3">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x14ac:dyDescent="0.3">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x14ac:dyDescent="0.3">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x14ac:dyDescent="0.3">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x14ac:dyDescent="0.3">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0"/>
      <c r="T1458" s="386"/>
      <c r="U1458" s="383"/>
      <c r="V1458" s="383"/>
      <c r="W1458" s="383"/>
      <c r="X1458" s="385"/>
    </row>
    <row r="1459" spans="1:24" x14ac:dyDescent="0.3">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x14ac:dyDescent="0.3">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x14ac:dyDescent="0.3">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x14ac:dyDescent="0.3">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x14ac:dyDescent="0.3">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x14ac:dyDescent="0.3">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x14ac:dyDescent="0.3">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x14ac:dyDescent="0.3">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x14ac:dyDescent="0.3">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x14ac:dyDescent="0.3">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x14ac:dyDescent="0.3">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x14ac:dyDescent="0.3">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x14ac:dyDescent="0.3">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x14ac:dyDescent="0.3">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x14ac:dyDescent="0.3">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x14ac:dyDescent="0.3">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x14ac:dyDescent="0.3">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x14ac:dyDescent="0.3">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x14ac:dyDescent="0.3">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x14ac:dyDescent="0.3">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x14ac:dyDescent="0.3">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x14ac:dyDescent="0.3">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x14ac:dyDescent="0.3">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x14ac:dyDescent="0.3">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x14ac:dyDescent="0.3">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x14ac:dyDescent="0.3">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x14ac:dyDescent="0.3">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x14ac:dyDescent="0.3">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x14ac:dyDescent="0.3">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x14ac:dyDescent="0.3">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x14ac:dyDescent="0.3">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x14ac:dyDescent="0.3">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x14ac:dyDescent="0.3">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x14ac:dyDescent="0.3">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x14ac:dyDescent="0.3">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x14ac:dyDescent="0.3">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x14ac:dyDescent="0.3">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x14ac:dyDescent="0.3">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x14ac:dyDescent="0.3">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x14ac:dyDescent="0.3">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x14ac:dyDescent="0.3">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x14ac:dyDescent="0.3">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x14ac:dyDescent="0.3">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x14ac:dyDescent="0.3">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x14ac:dyDescent="0.3">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x14ac:dyDescent="0.3">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x14ac:dyDescent="0.3">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x14ac:dyDescent="0.3">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x14ac:dyDescent="0.3">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x14ac:dyDescent="0.3">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x14ac:dyDescent="0.3">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x14ac:dyDescent="0.3">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x14ac:dyDescent="0.3">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x14ac:dyDescent="0.3">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x14ac:dyDescent="0.3">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x14ac:dyDescent="0.3">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x14ac:dyDescent="0.3">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x14ac:dyDescent="0.3">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x14ac:dyDescent="0.3">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x14ac:dyDescent="0.3">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x14ac:dyDescent="0.3">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x14ac:dyDescent="0.3">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x14ac:dyDescent="0.3">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x14ac:dyDescent="0.3">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x14ac:dyDescent="0.3">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x14ac:dyDescent="0.3">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x14ac:dyDescent="0.3">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x14ac:dyDescent="0.3">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x14ac:dyDescent="0.3">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x14ac:dyDescent="0.3">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x14ac:dyDescent="0.3">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x14ac:dyDescent="0.3">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x14ac:dyDescent="0.3">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x14ac:dyDescent="0.3">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x14ac:dyDescent="0.3">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x14ac:dyDescent="0.3">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x14ac:dyDescent="0.3">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x14ac:dyDescent="0.3">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x14ac:dyDescent="0.3">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x14ac:dyDescent="0.3">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x14ac:dyDescent="0.3">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x14ac:dyDescent="0.3">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x14ac:dyDescent="0.3">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x14ac:dyDescent="0.3">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x14ac:dyDescent="0.3">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x14ac:dyDescent="0.3">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x14ac:dyDescent="0.3">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x14ac:dyDescent="0.3">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x14ac:dyDescent="0.3">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x14ac:dyDescent="0.3">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x14ac:dyDescent="0.3">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x14ac:dyDescent="0.3">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x14ac:dyDescent="0.3">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x14ac:dyDescent="0.3">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x14ac:dyDescent="0.3">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x14ac:dyDescent="0.3">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x14ac:dyDescent="0.3">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x14ac:dyDescent="0.3">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x14ac:dyDescent="0.3">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x14ac:dyDescent="0.3">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x14ac:dyDescent="0.3">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x14ac:dyDescent="0.3">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x14ac:dyDescent="0.3">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x14ac:dyDescent="0.3">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x14ac:dyDescent="0.3">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x14ac:dyDescent="0.3">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x14ac:dyDescent="0.3">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x14ac:dyDescent="0.3">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x14ac:dyDescent="0.3">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x14ac:dyDescent="0.3">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x14ac:dyDescent="0.3">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x14ac:dyDescent="0.3">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x14ac:dyDescent="0.3">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x14ac:dyDescent="0.3">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x14ac:dyDescent="0.3">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x14ac:dyDescent="0.3">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x14ac:dyDescent="0.3">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x14ac:dyDescent="0.3">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x14ac:dyDescent="0.3">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x14ac:dyDescent="0.3">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x14ac:dyDescent="0.3">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x14ac:dyDescent="0.3">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x14ac:dyDescent="0.3">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x14ac:dyDescent="0.3">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x14ac:dyDescent="0.3">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x14ac:dyDescent="0.3">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x14ac:dyDescent="0.3">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x14ac:dyDescent="0.3">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x14ac:dyDescent="0.3">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x14ac:dyDescent="0.3">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x14ac:dyDescent="0.3">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x14ac:dyDescent="0.3">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x14ac:dyDescent="0.3">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x14ac:dyDescent="0.3">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x14ac:dyDescent="0.3">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x14ac:dyDescent="0.3">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x14ac:dyDescent="0.3">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x14ac:dyDescent="0.3">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x14ac:dyDescent="0.3">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x14ac:dyDescent="0.3">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x14ac:dyDescent="0.3">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x14ac:dyDescent="0.3">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x14ac:dyDescent="0.3">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x14ac:dyDescent="0.3">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x14ac:dyDescent="0.3">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x14ac:dyDescent="0.3">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x14ac:dyDescent="0.3">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x14ac:dyDescent="0.3">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x14ac:dyDescent="0.3">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x14ac:dyDescent="0.3">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x14ac:dyDescent="0.3">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x14ac:dyDescent="0.3">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x14ac:dyDescent="0.3">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x14ac:dyDescent="0.3">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x14ac:dyDescent="0.3">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x14ac:dyDescent="0.3">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x14ac:dyDescent="0.3">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x14ac:dyDescent="0.3">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x14ac:dyDescent="0.3">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x14ac:dyDescent="0.3">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x14ac:dyDescent="0.3">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x14ac:dyDescent="0.3">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x14ac:dyDescent="0.3">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x14ac:dyDescent="0.3">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x14ac:dyDescent="0.3">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x14ac:dyDescent="0.3">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x14ac:dyDescent="0.3">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x14ac:dyDescent="0.3">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x14ac:dyDescent="0.3">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x14ac:dyDescent="0.3">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x14ac:dyDescent="0.3">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x14ac:dyDescent="0.3">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x14ac:dyDescent="0.3">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x14ac:dyDescent="0.3">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x14ac:dyDescent="0.3">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x14ac:dyDescent="0.3">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x14ac:dyDescent="0.3">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x14ac:dyDescent="0.3">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x14ac:dyDescent="0.3">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x14ac:dyDescent="0.3">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x14ac:dyDescent="0.3">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x14ac:dyDescent="0.3">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x14ac:dyDescent="0.3">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x14ac:dyDescent="0.3">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x14ac:dyDescent="0.3">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x14ac:dyDescent="0.3">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x14ac:dyDescent="0.3">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x14ac:dyDescent="0.3">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x14ac:dyDescent="0.3">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x14ac:dyDescent="0.3">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x14ac:dyDescent="0.3">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x14ac:dyDescent="0.3">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x14ac:dyDescent="0.3">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x14ac:dyDescent="0.3">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x14ac:dyDescent="0.3">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x14ac:dyDescent="0.3">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x14ac:dyDescent="0.3">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x14ac:dyDescent="0.3">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x14ac:dyDescent="0.3">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x14ac:dyDescent="0.3">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x14ac:dyDescent="0.3">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x14ac:dyDescent="0.3">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x14ac:dyDescent="0.3">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x14ac:dyDescent="0.3">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x14ac:dyDescent="0.3">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x14ac:dyDescent="0.3">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x14ac:dyDescent="0.3">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x14ac:dyDescent="0.3">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x14ac:dyDescent="0.3">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x14ac:dyDescent="0.3">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x14ac:dyDescent="0.3">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x14ac:dyDescent="0.3">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x14ac:dyDescent="0.3">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x14ac:dyDescent="0.3">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x14ac:dyDescent="0.3">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x14ac:dyDescent="0.3">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x14ac:dyDescent="0.3">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x14ac:dyDescent="0.3">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x14ac:dyDescent="0.3">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x14ac:dyDescent="0.3">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x14ac:dyDescent="0.3">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x14ac:dyDescent="0.3">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x14ac:dyDescent="0.3">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x14ac:dyDescent="0.3">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x14ac:dyDescent="0.3">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x14ac:dyDescent="0.3">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x14ac:dyDescent="0.3">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x14ac:dyDescent="0.3">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x14ac:dyDescent="0.3">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x14ac:dyDescent="0.3">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x14ac:dyDescent="0.3">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x14ac:dyDescent="0.3">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x14ac:dyDescent="0.3">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x14ac:dyDescent="0.3">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x14ac:dyDescent="0.3">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x14ac:dyDescent="0.3">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x14ac:dyDescent="0.3">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x14ac:dyDescent="0.3">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x14ac:dyDescent="0.3">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x14ac:dyDescent="0.3">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x14ac:dyDescent="0.3">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x14ac:dyDescent="0.3">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x14ac:dyDescent="0.3">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x14ac:dyDescent="0.3">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x14ac:dyDescent="0.3">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x14ac:dyDescent="0.3">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x14ac:dyDescent="0.3">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x14ac:dyDescent="0.3">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x14ac:dyDescent="0.3">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x14ac:dyDescent="0.3">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x14ac:dyDescent="0.3">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x14ac:dyDescent="0.3">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x14ac:dyDescent="0.3">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x14ac:dyDescent="0.3">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x14ac:dyDescent="0.3">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x14ac:dyDescent="0.3">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x14ac:dyDescent="0.3">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x14ac:dyDescent="0.3">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x14ac:dyDescent="0.3">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x14ac:dyDescent="0.3">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x14ac:dyDescent="0.3">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x14ac:dyDescent="0.3">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x14ac:dyDescent="0.3">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x14ac:dyDescent="0.3">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x14ac:dyDescent="0.3">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x14ac:dyDescent="0.3">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x14ac:dyDescent="0.3">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x14ac:dyDescent="0.3">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x14ac:dyDescent="0.3">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x14ac:dyDescent="0.3">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x14ac:dyDescent="0.3">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x14ac:dyDescent="0.3">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x14ac:dyDescent="0.3">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x14ac:dyDescent="0.3">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x14ac:dyDescent="0.3">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x14ac:dyDescent="0.3">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x14ac:dyDescent="0.3">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x14ac:dyDescent="0.3">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x14ac:dyDescent="0.3">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x14ac:dyDescent="0.3">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x14ac:dyDescent="0.3">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x14ac:dyDescent="0.3">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x14ac:dyDescent="0.3">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x14ac:dyDescent="0.3">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x14ac:dyDescent="0.3">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x14ac:dyDescent="0.3">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x14ac:dyDescent="0.3">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x14ac:dyDescent="0.3">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x14ac:dyDescent="0.3">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x14ac:dyDescent="0.3">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x14ac:dyDescent="0.3">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x14ac:dyDescent="0.3">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x14ac:dyDescent="0.3">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x14ac:dyDescent="0.3">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x14ac:dyDescent="0.3">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x14ac:dyDescent="0.3">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x14ac:dyDescent="0.3">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x14ac:dyDescent="0.3">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x14ac:dyDescent="0.3">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x14ac:dyDescent="0.3">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x14ac:dyDescent="0.3">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x14ac:dyDescent="0.3">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x14ac:dyDescent="0.3">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x14ac:dyDescent="0.3">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x14ac:dyDescent="0.3">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x14ac:dyDescent="0.3">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x14ac:dyDescent="0.3">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x14ac:dyDescent="0.3">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x14ac:dyDescent="0.3">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x14ac:dyDescent="0.3">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x14ac:dyDescent="0.3">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x14ac:dyDescent="0.3">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x14ac:dyDescent="0.3">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x14ac:dyDescent="0.3">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x14ac:dyDescent="0.3">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x14ac:dyDescent="0.3">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x14ac:dyDescent="0.3">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x14ac:dyDescent="0.3">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x14ac:dyDescent="0.3">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x14ac:dyDescent="0.3">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x14ac:dyDescent="0.3">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x14ac:dyDescent="0.3">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x14ac:dyDescent="0.3">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x14ac:dyDescent="0.3">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x14ac:dyDescent="0.3">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x14ac:dyDescent="0.3">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x14ac:dyDescent="0.3">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x14ac:dyDescent="0.3">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x14ac:dyDescent="0.3">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x14ac:dyDescent="0.3">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x14ac:dyDescent="0.3">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x14ac:dyDescent="0.3">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x14ac:dyDescent="0.3">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x14ac:dyDescent="0.3">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x14ac:dyDescent="0.3">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376"/>
      <c r="P1793" s="376"/>
      <c r="T1793" s="386"/>
      <c r="U1793" s="383"/>
      <c r="V1793" s="383"/>
      <c r="W1793" s="383"/>
      <c r="X1793" s="385"/>
    </row>
    <row r="1794" spans="1:24" x14ac:dyDescent="0.3">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x14ac:dyDescent="0.3">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376"/>
      <c r="P1795" s="376"/>
      <c r="T1795" s="386"/>
      <c r="U1795" s="383"/>
      <c r="V1795" s="383"/>
      <c r="W1795" s="383"/>
      <c r="X1795" s="385"/>
    </row>
    <row r="1796" spans="1:24" x14ac:dyDescent="0.3">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x14ac:dyDescent="0.3">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x14ac:dyDescent="0.3">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x14ac:dyDescent="0.3">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376"/>
      <c r="P1799" s="376"/>
      <c r="T1799" s="386"/>
      <c r="U1799" s="383"/>
      <c r="V1799" s="383"/>
      <c r="W1799" s="383"/>
      <c r="X1799" s="385"/>
    </row>
    <row r="1800" spans="1:24" x14ac:dyDescent="0.3">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x14ac:dyDescent="0.3">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x14ac:dyDescent="0.3">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x14ac:dyDescent="0.3">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x14ac:dyDescent="0.3">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x14ac:dyDescent="0.3">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x14ac:dyDescent="0.3">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x14ac:dyDescent="0.3">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x14ac:dyDescent="0.3">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x14ac:dyDescent="0.3">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x14ac:dyDescent="0.3">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x14ac:dyDescent="0.3">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x14ac:dyDescent="0.3">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x14ac:dyDescent="0.3">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376"/>
      <c r="P1813" s="376"/>
      <c r="T1813" s="386"/>
      <c r="U1813" s="383"/>
      <c r="V1813" s="383"/>
      <c r="W1813" s="383"/>
      <c r="X1813" s="385"/>
    </row>
    <row r="1814" spans="1:24" x14ac:dyDescent="0.3">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x14ac:dyDescent="0.3">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x14ac:dyDescent="0.3">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x14ac:dyDescent="0.3">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x14ac:dyDescent="0.3">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x14ac:dyDescent="0.3">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376"/>
      <c r="T1819" s="386"/>
      <c r="U1819" s="383"/>
      <c r="V1819" s="383"/>
      <c r="W1819" s="383"/>
      <c r="X1819" s="385"/>
    </row>
    <row r="1820" spans="1:24" x14ac:dyDescent="0.3">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x14ac:dyDescent="0.3">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376"/>
      <c r="T1821" s="386"/>
      <c r="U1821" s="383"/>
      <c r="V1821" s="383"/>
      <c r="W1821" s="383"/>
      <c r="X1821" s="385"/>
    </row>
    <row r="1822" spans="1:24" x14ac:dyDescent="0.3">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x14ac:dyDescent="0.3">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x14ac:dyDescent="0.3">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x14ac:dyDescent="0.3">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x14ac:dyDescent="0.3">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x14ac:dyDescent="0.3">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376"/>
      <c r="T1827" s="386"/>
      <c r="U1827" s="383"/>
      <c r="V1827" s="383"/>
      <c r="W1827" s="383"/>
      <c r="X1827" s="385"/>
    </row>
    <row r="1828" spans="1:24" x14ac:dyDescent="0.3">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x14ac:dyDescent="0.3">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840"/>
      <c r="P1829" s="376"/>
      <c r="T1829" s="386"/>
      <c r="U1829" s="383"/>
      <c r="V1829" s="383"/>
      <c r="W1829" s="383"/>
      <c r="X1829" s="385"/>
    </row>
    <row r="1830" spans="1:24" x14ac:dyDescent="0.3">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x14ac:dyDescent="0.3">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x14ac:dyDescent="0.3">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x14ac:dyDescent="0.3">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x14ac:dyDescent="0.3">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x14ac:dyDescent="0.3">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x14ac:dyDescent="0.3">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x14ac:dyDescent="0.3">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x14ac:dyDescent="0.3">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x14ac:dyDescent="0.3">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x14ac:dyDescent="0.3">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x14ac:dyDescent="0.3">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x14ac:dyDescent="0.3">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x14ac:dyDescent="0.3">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x14ac:dyDescent="0.3">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x14ac:dyDescent="0.3">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x14ac:dyDescent="0.3">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x14ac:dyDescent="0.3">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376"/>
      <c r="T1847" s="386"/>
      <c r="U1847" s="383"/>
      <c r="V1847" s="383"/>
      <c r="W1847" s="383"/>
      <c r="X1847" s="385"/>
    </row>
    <row r="1848" spans="1:24" x14ac:dyDescent="0.3">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x14ac:dyDescent="0.3">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x14ac:dyDescent="0.3">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x14ac:dyDescent="0.3">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x14ac:dyDescent="0.3">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x14ac:dyDescent="0.3">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x14ac:dyDescent="0.3">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x14ac:dyDescent="0.3">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x14ac:dyDescent="0.3">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x14ac:dyDescent="0.3">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x14ac:dyDescent="0.3">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x14ac:dyDescent="0.3">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x14ac:dyDescent="0.3">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x14ac:dyDescent="0.3">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x14ac:dyDescent="0.3">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x14ac:dyDescent="0.3">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x14ac:dyDescent="0.3">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840"/>
      <c r="T1864" s="386"/>
      <c r="U1864" s="383"/>
      <c r="V1864" s="383"/>
      <c r="W1864" s="383"/>
      <c r="X1864" s="385"/>
    </row>
    <row r="1865" spans="1:24" x14ac:dyDescent="0.3">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x14ac:dyDescent="0.3">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x14ac:dyDescent="0.3">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x14ac:dyDescent="0.3">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x14ac:dyDescent="0.3">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x14ac:dyDescent="0.3">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x14ac:dyDescent="0.3">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x14ac:dyDescent="0.3">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x14ac:dyDescent="0.3">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x14ac:dyDescent="0.3">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x14ac:dyDescent="0.3">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x14ac:dyDescent="0.3">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x14ac:dyDescent="0.3">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x14ac:dyDescent="0.3">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x14ac:dyDescent="0.3">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x14ac:dyDescent="0.3">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x14ac:dyDescent="0.3">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x14ac:dyDescent="0.3">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x14ac:dyDescent="0.3">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x14ac:dyDescent="0.3">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x14ac:dyDescent="0.3">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x14ac:dyDescent="0.3">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x14ac:dyDescent="0.3">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x14ac:dyDescent="0.3">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x14ac:dyDescent="0.3">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x14ac:dyDescent="0.3">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x14ac:dyDescent="0.3">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x14ac:dyDescent="0.3">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x14ac:dyDescent="0.3">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x14ac:dyDescent="0.3">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x14ac:dyDescent="0.3">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x14ac:dyDescent="0.3">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x14ac:dyDescent="0.3">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x14ac:dyDescent="0.3">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x14ac:dyDescent="0.3">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x14ac:dyDescent="0.3">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x14ac:dyDescent="0.3">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x14ac:dyDescent="0.3">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x14ac:dyDescent="0.3">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x14ac:dyDescent="0.3">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x14ac:dyDescent="0.3">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x14ac:dyDescent="0.3">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x14ac:dyDescent="0.3">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x14ac:dyDescent="0.3">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x14ac:dyDescent="0.3">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x14ac:dyDescent="0.3">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x14ac:dyDescent="0.3">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x14ac:dyDescent="0.3">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x14ac:dyDescent="0.3">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x14ac:dyDescent="0.3">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x14ac:dyDescent="0.3">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x14ac:dyDescent="0.3">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x14ac:dyDescent="0.3">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x14ac:dyDescent="0.3">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x14ac:dyDescent="0.3">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x14ac:dyDescent="0.3">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x14ac:dyDescent="0.3">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x14ac:dyDescent="0.3">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x14ac:dyDescent="0.3">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x14ac:dyDescent="0.3">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x14ac:dyDescent="0.3">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x14ac:dyDescent="0.3">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x14ac:dyDescent="0.3">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x14ac:dyDescent="0.3">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x14ac:dyDescent="0.3">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x14ac:dyDescent="0.3">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x14ac:dyDescent="0.3">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x14ac:dyDescent="0.3">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x14ac:dyDescent="0.3">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x14ac:dyDescent="0.3">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x14ac:dyDescent="0.3">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x14ac:dyDescent="0.3">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x14ac:dyDescent="0.3">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x14ac:dyDescent="0.3">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x14ac:dyDescent="0.3">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x14ac:dyDescent="0.3">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x14ac:dyDescent="0.3">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x14ac:dyDescent="0.3">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x14ac:dyDescent="0.3">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x14ac:dyDescent="0.3">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x14ac:dyDescent="0.3">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x14ac:dyDescent="0.3">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x14ac:dyDescent="0.3">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x14ac:dyDescent="0.3">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x14ac:dyDescent="0.3">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x14ac:dyDescent="0.3">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x14ac:dyDescent="0.3">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x14ac:dyDescent="0.3">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x14ac:dyDescent="0.3">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x14ac:dyDescent="0.3">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x14ac:dyDescent="0.3">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x14ac:dyDescent="0.3">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x14ac:dyDescent="0.3">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x14ac:dyDescent="0.3">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x14ac:dyDescent="0.3">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x14ac:dyDescent="0.3">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x14ac:dyDescent="0.3">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x14ac:dyDescent="0.3">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x14ac:dyDescent="0.3">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x14ac:dyDescent="0.3">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x14ac:dyDescent="0.3">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x14ac:dyDescent="0.3">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x14ac:dyDescent="0.3">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x14ac:dyDescent="0.3">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x14ac:dyDescent="0.3">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x14ac:dyDescent="0.3">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x14ac:dyDescent="0.3">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x14ac:dyDescent="0.3">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x14ac:dyDescent="0.3">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x14ac:dyDescent="0.3">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x14ac:dyDescent="0.3">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x14ac:dyDescent="0.3">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x14ac:dyDescent="0.3">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x14ac:dyDescent="0.3">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x14ac:dyDescent="0.3">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x14ac:dyDescent="0.3">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x14ac:dyDescent="0.3">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x14ac:dyDescent="0.3">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x14ac:dyDescent="0.3">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x14ac:dyDescent="0.3">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x14ac:dyDescent="0.3">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x14ac:dyDescent="0.3">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x14ac:dyDescent="0.3">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x14ac:dyDescent="0.3">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x14ac:dyDescent="0.3">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x14ac:dyDescent="0.3">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x14ac:dyDescent="0.3">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x14ac:dyDescent="0.3">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x14ac:dyDescent="0.3">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x14ac:dyDescent="0.3">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x14ac:dyDescent="0.3">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x14ac:dyDescent="0.3">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x14ac:dyDescent="0.3">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x14ac:dyDescent="0.3">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x14ac:dyDescent="0.3">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x14ac:dyDescent="0.3">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x14ac:dyDescent="0.3">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x14ac:dyDescent="0.3">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x14ac:dyDescent="0.3">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x14ac:dyDescent="0.3">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x14ac:dyDescent="0.3">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x14ac:dyDescent="0.3">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x14ac:dyDescent="0.3">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x14ac:dyDescent="0.3">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x14ac:dyDescent="0.3">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x14ac:dyDescent="0.3">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x14ac:dyDescent="0.3">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x14ac:dyDescent="0.3">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x14ac:dyDescent="0.3">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x14ac:dyDescent="0.3">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x14ac:dyDescent="0.3">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x14ac:dyDescent="0.3">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x14ac:dyDescent="0.3">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x14ac:dyDescent="0.3">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x14ac:dyDescent="0.3">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x14ac:dyDescent="0.3">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x14ac:dyDescent="0.3">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x14ac:dyDescent="0.3">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x14ac:dyDescent="0.3">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x14ac:dyDescent="0.3">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x14ac:dyDescent="0.3">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x14ac:dyDescent="0.3">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x14ac:dyDescent="0.3">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x14ac:dyDescent="0.3">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x14ac:dyDescent="0.3">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x14ac:dyDescent="0.3">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x14ac:dyDescent="0.3">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x14ac:dyDescent="0.3">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x14ac:dyDescent="0.3">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x14ac:dyDescent="0.3">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x14ac:dyDescent="0.3">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x14ac:dyDescent="0.3">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x14ac:dyDescent="0.3">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x14ac:dyDescent="0.3">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x14ac:dyDescent="0.3">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x14ac:dyDescent="0.3">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x14ac:dyDescent="0.3">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x14ac:dyDescent="0.3">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x14ac:dyDescent="0.3">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x14ac:dyDescent="0.3">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x14ac:dyDescent="0.3">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x14ac:dyDescent="0.3">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x14ac:dyDescent="0.3">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x14ac:dyDescent="0.3">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x14ac:dyDescent="0.3">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x14ac:dyDescent="0.3">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x14ac:dyDescent="0.3">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x14ac:dyDescent="0.3">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x14ac:dyDescent="0.3">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x14ac:dyDescent="0.3">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x14ac:dyDescent="0.3">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x14ac:dyDescent="0.3">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x14ac:dyDescent="0.3">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x14ac:dyDescent="0.3">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x14ac:dyDescent="0.3">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x14ac:dyDescent="0.3">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x14ac:dyDescent="0.3">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x14ac:dyDescent="0.3">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x14ac:dyDescent="0.3">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x14ac:dyDescent="0.3">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x14ac:dyDescent="0.3">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x14ac:dyDescent="0.3">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x14ac:dyDescent="0.3">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x14ac:dyDescent="0.3">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x14ac:dyDescent="0.3">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x14ac:dyDescent="0.3">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x14ac:dyDescent="0.3">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x14ac:dyDescent="0.3">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x14ac:dyDescent="0.3">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x14ac:dyDescent="0.3">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x14ac:dyDescent="0.3">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x14ac:dyDescent="0.3">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x14ac:dyDescent="0.3">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x14ac:dyDescent="0.3">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x14ac:dyDescent="0.3">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x14ac:dyDescent="0.3">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x14ac:dyDescent="0.3">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x14ac:dyDescent="0.3">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x14ac:dyDescent="0.3">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x14ac:dyDescent="0.3">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x14ac:dyDescent="0.3">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x14ac:dyDescent="0.3">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x14ac:dyDescent="0.3">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x14ac:dyDescent="0.3">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x14ac:dyDescent="0.3">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x14ac:dyDescent="0.3">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x14ac:dyDescent="0.3">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x14ac:dyDescent="0.3">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x14ac:dyDescent="0.3">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x14ac:dyDescent="0.3">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x14ac:dyDescent="0.3">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x14ac:dyDescent="0.3">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x14ac:dyDescent="0.3">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x14ac:dyDescent="0.3">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x14ac:dyDescent="0.3">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x14ac:dyDescent="0.3">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x14ac:dyDescent="0.3">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x14ac:dyDescent="0.3">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x14ac:dyDescent="0.3">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x14ac:dyDescent="0.3">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x14ac:dyDescent="0.3">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x14ac:dyDescent="0.3">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x14ac:dyDescent="0.3">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x14ac:dyDescent="0.3">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x14ac:dyDescent="0.3">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x14ac:dyDescent="0.3">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x14ac:dyDescent="0.3">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x14ac:dyDescent="0.3">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x14ac:dyDescent="0.3">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x14ac:dyDescent="0.3">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x14ac:dyDescent="0.3">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x14ac:dyDescent="0.3">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x14ac:dyDescent="0.3">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x14ac:dyDescent="0.3">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x14ac:dyDescent="0.3">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x14ac:dyDescent="0.3">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x14ac:dyDescent="0.3">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x14ac:dyDescent="0.3">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x14ac:dyDescent="0.3">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x14ac:dyDescent="0.3">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x14ac:dyDescent="0.3">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x14ac:dyDescent="0.3">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x14ac:dyDescent="0.3">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x14ac:dyDescent="0.3">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x14ac:dyDescent="0.3">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x14ac:dyDescent="0.3">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x14ac:dyDescent="0.3">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x14ac:dyDescent="0.3">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x14ac:dyDescent="0.3">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x14ac:dyDescent="0.3">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x14ac:dyDescent="0.3">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x14ac:dyDescent="0.3">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x14ac:dyDescent="0.3">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x14ac:dyDescent="0.3">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x14ac:dyDescent="0.3">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x14ac:dyDescent="0.3">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x14ac:dyDescent="0.3">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x14ac:dyDescent="0.3">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x14ac:dyDescent="0.3">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x14ac:dyDescent="0.3">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x14ac:dyDescent="0.3">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x14ac:dyDescent="0.3">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x14ac:dyDescent="0.3">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x14ac:dyDescent="0.3">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x14ac:dyDescent="0.3">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x14ac:dyDescent="0.3">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x14ac:dyDescent="0.3">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x14ac:dyDescent="0.3">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x14ac:dyDescent="0.3">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x14ac:dyDescent="0.3">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x14ac:dyDescent="0.3">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x14ac:dyDescent="0.3">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x14ac:dyDescent="0.3">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x14ac:dyDescent="0.3">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x14ac:dyDescent="0.3">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x14ac:dyDescent="0.3">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x14ac:dyDescent="0.3">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x14ac:dyDescent="0.3">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x14ac:dyDescent="0.3">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x14ac:dyDescent="0.3">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x14ac:dyDescent="0.3">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x14ac:dyDescent="0.3">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x14ac:dyDescent="0.3">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x14ac:dyDescent="0.3">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x14ac:dyDescent="0.3">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x14ac:dyDescent="0.3">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x14ac:dyDescent="0.3">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x14ac:dyDescent="0.3">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x14ac:dyDescent="0.3">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x14ac:dyDescent="0.3">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x14ac:dyDescent="0.3">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x14ac:dyDescent="0.3">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x14ac:dyDescent="0.3">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x14ac:dyDescent="0.3">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x14ac:dyDescent="0.3">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x14ac:dyDescent="0.3">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x14ac:dyDescent="0.3">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x14ac:dyDescent="0.3">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x14ac:dyDescent="0.3">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x14ac:dyDescent="0.3">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x14ac:dyDescent="0.3">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x14ac:dyDescent="0.3">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x14ac:dyDescent="0.3">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x14ac:dyDescent="0.3">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x14ac:dyDescent="0.3">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x14ac:dyDescent="0.3">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x14ac:dyDescent="0.3">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x14ac:dyDescent="0.3">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x14ac:dyDescent="0.3">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x14ac:dyDescent="0.3">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x14ac:dyDescent="0.3">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x14ac:dyDescent="0.3">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x14ac:dyDescent="0.3">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x14ac:dyDescent="0.3">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x14ac:dyDescent="0.3">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x14ac:dyDescent="0.3">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x14ac:dyDescent="0.3">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x14ac:dyDescent="0.3">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x14ac:dyDescent="0.3">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x14ac:dyDescent="0.3">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x14ac:dyDescent="0.3">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x14ac:dyDescent="0.3">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x14ac:dyDescent="0.3">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x14ac:dyDescent="0.3">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x14ac:dyDescent="0.3">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x14ac:dyDescent="0.3">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x14ac:dyDescent="0.3">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x14ac:dyDescent="0.3">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x14ac:dyDescent="0.3">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x14ac:dyDescent="0.3">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x14ac:dyDescent="0.3">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x14ac:dyDescent="0.3">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x14ac:dyDescent="0.3">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x14ac:dyDescent="0.3">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x14ac:dyDescent="0.3">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x14ac:dyDescent="0.3">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x14ac:dyDescent="0.3">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x14ac:dyDescent="0.3">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x14ac:dyDescent="0.3">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x14ac:dyDescent="0.3">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x14ac:dyDescent="0.3">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x14ac:dyDescent="0.3">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x14ac:dyDescent="0.3">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x14ac:dyDescent="0.3">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x14ac:dyDescent="0.3">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x14ac:dyDescent="0.3">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x14ac:dyDescent="0.3">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x14ac:dyDescent="0.3">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x14ac:dyDescent="0.3">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x14ac:dyDescent="0.3">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x14ac:dyDescent="0.3">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x14ac:dyDescent="0.3">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x14ac:dyDescent="0.3">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x14ac:dyDescent="0.3">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x14ac:dyDescent="0.3">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x14ac:dyDescent="0.3">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x14ac:dyDescent="0.3">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x14ac:dyDescent="0.3">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x14ac:dyDescent="0.3">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x14ac:dyDescent="0.3">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x14ac:dyDescent="0.3">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x14ac:dyDescent="0.3">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x14ac:dyDescent="0.3">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x14ac:dyDescent="0.3">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x14ac:dyDescent="0.3">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x14ac:dyDescent="0.3">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x14ac:dyDescent="0.3">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x14ac:dyDescent="0.3">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x14ac:dyDescent="0.3">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x14ac:dyDescent="0.3">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x14ac:dyDescent="0.3">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x14ac:dyDescent="0.3">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x14ac:dyDescent="0.3">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x14ac:dyDescent="0.3">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x14ac:dyDescent="0.3">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x14ac:dyDescent="0.3">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x14ac:dyDescent="0.3">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x14ac:dyDescent="0.3">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x14ac:dyDescent="0.3">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x14ac:dyDescent="0.3">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x14ac:dyDescent="0.3">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x14ac:dyDescent="0.3">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x14ac:dyDescent="0.3">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x14ac:dyDescent="0.3">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x14ac:dyDescent="0.3">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x14ac:dyDescent="0.3">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x14ac:dyDescent="0.3">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x14ac:dyDescent="0.3">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x14ac:dyDescent="0.3">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x14ac:dyDescent="0.3">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x14ac:dyDescent="0.3">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x14ac:dyDescent="0.3">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x14ac:dyDescent="0.3">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x14ac:dyDescent="0.3">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x14ac:dyDescent="0.3">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x14ac:dyDescent="0.3">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x14ac:dyDescent="0.3">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x14ac:dyDescent="0.3">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x14ac:dyDescent="0.3">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x14ac:dyDescent="0.3">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x14ac:dyDescent="0.3">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x14ac:dyDescent="0.3">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x14ac:dyDescent="0.3">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x14ac:dyDescent="0.3">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x14ac:dyDescent="0.3">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x14ac:dyDescent="0.3">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x14ac:dyDescent="0.3">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x14ac:dyDescent="0.3">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x14ac:dyDescent="0.3">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x14ac:dyDescent="0.3">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x14ac:dyDescent="0.3">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x14ac:dyDescent="0.3">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x14ac:dyDescent="0.3">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x14ac:dyDescent="0.3">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x14ac:dyDescent="0.3">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x14ac:dyDescent="0.3">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x14ac:dyDescent="0.3">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x14ac:dyDescent="0.3">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x14ac:dyDescent="0.3">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x14ac:dyDescent="0.3">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x14ac:dyDescent="0.3">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x14ac:dyDescent="0.3">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x14ac:dyDescent="0.3">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x14ac:dyDescent="0.3">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x14ac:dyDescent="0.3">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x14ac:dyDescent="0.3">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x14ac:dyDescent="0.3">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x14ac:dyDescent="0.3">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x14ac:dyDescent="0.3">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x14ac:dyDescent="0.3">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x14ac:dyDescent="0.3">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x14ac:dyDescent="0.3">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x14ac:dyDescent="0.3">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x14ac:dyDescent="0.3">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x14ac:dyDescent="0.3">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x14ac:dyDescent="0.3">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x14ac:dyDescent="0.3">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x14ac:dyDescent="0.3">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x14ac:dyDescent="0.3">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x14ac:dyDescent="0.3">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x14ac:dyDescent="0.3">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x14ac:dyDescent="0.3">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x14ac:dyDescent="0.3">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x14ac:dyDescent="0.3">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x14ac:dyDescent="0.3">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x14ac:dyDescent="0.3">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x14ac:dyDescent="0.3">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x14ac:dyDescent="0.3">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x14ac:dyDescent="0.3">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x14ac:dyDescent="0.3">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x14ac:dyDescent="0.3">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x14ac:dyDescent="0.3">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x14ac:dyDescent="0.3">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x14ac:dyDescent="0.3">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x14ac:dyDescent="0.3">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x14ac:dyDescent="0.3">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x14ac:dyDescent="0.3">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x14ac:dyDescent="0.3">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x14ac:dyDescent="0.3">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x14ac:dyDescent="0.3">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x14ac:dyDescent="0.3">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x14ac:dyDescent="0.3">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x14ac:dyDescent="0.3">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x14ac:dyDescent="0.3">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x14ac:dyDescent="0.3">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x14ac:dyDescent="0.3">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x14ac:dyDescent="0.3">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x14ac:dyDescent="0.3">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x14ac:dyDescent="0.3">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x14ac:dyDescent="0.3">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x14ac:dyDescent="0.3">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x14ac:dyDescent="0.3">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x14ac:dyDescent="0.3">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x14ac:dyDescent="0.3">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x14ac:dyDescent="0.3">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x14ac:dyDescent="0.3">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x14ac:dyDescent="0.3">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x14ac:dyDescent="0.3">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x14ac:dyDescent="0.3">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x14ac:dyDescent="0.3">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x14ac:dyDescent="0.3">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x14ac:dyDescent="0.3">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x14ac:dyDescent="0.3">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x14ac:dyDescent="0.3">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x14ac:dyDescent="0.3">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x14ac:dyDescent="0.3">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x14ac:dyDescent="0.3">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x14ac:dyDescent="0.3">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x14ac:dyDescent="0.3">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x14ac:dyDescent="0.3">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x14ac:dyDescent="0.3">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x14ac:dyDescent="0.3">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x14ac:dyDescent="0.3">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x14ac:dyDescent="0.3">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x14ac:dyDescent="0.3">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x14ac:dyDescent="0.3">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x14ac:dyDescent="0.3">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x14ac:dyDescent="0.3">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x14ac:dyDescent="0.3">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x14ac:dyDescent="0.3">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x14ac:dyDescent="0.3">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x14ac:dyDescent="0.3">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x14ac:dyDescent="0.3">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x14ac:dyDescent="0.3">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x14ac:dyDescent="0.3">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x14ac:dyDescent="0.3">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x14ac:dyDescent="0.3">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x14ac:dyDescent="0.3">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x14ac:dyDescent="0.3">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x14ac:dyDescent="0.3">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x14ac:dyDescent="0.3">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x14ac:dyDescent="0.3">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x14ac:dyDescent="0.3">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x14ac:dyDescent="0.3">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x14ac:dyDescent="0.3">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x14ac:dyDescent="0.3">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x14ac:dyDescent="0.3">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x14ac:dyDescent="0.3">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x14ac:dyDescent="0.3">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x14ac:dyDescent="0.3">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x14ac:dyDescent="0.3">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x14ac:dyDescent="0.3">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x14ac:dyDescent="0.3">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x14ac:dyDescent="0.3">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x14ac:dyDescent="0.3">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x14ac:dyDescent="0.3">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x14ac:dyDescent="0.3">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x14ac:dyDescent="0.3">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x14ac:dyDescent="0.3">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x14ac:dyDescent="0.3">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x14ac:dyDescent="0.3">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x14ac:dyDescent="0.3">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x14ac:dyDescent="0.3">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x14ac:dyDescent="0.3">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x14ac:dyDescent="0.3">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x14ac:dyDescent="0.3">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x14ac:dyDescent="0.3">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x14ac:dyDescent="0.3">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x14ac:dyDescent="0.3">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x14ac:dyDescent="0.3">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x14ac:dyDescent="0.3">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x14ac:dyDescent="0.3">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x14ac:dyDescent="0.3">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x14ac:dyDescent="0.3">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x14ac:dyDescent="0.3">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x14ac:dyDescent="0.3">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x14ac:dyDescent="0.3">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x14ac:dyDescent="0.3">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x14ac:dyDescent="0.3">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x14ac:dyDescent="0.3">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x14ac:dyDescent="0.3">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x14ac:dyDescent="0.3">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x14ac:dyDescent="0.3">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x14ac:dyDescent="0.3">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x14ac:dyDescent="0.3">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x14ac:dyDescent="0.3">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x14ac:dyDescent="0.3">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x14ac:dyDescent="0.3">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x14ac:dyDescent="0.3">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x14ac:dyDescent="0.3">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x14ac:dyDescent="0.3">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x14ac:dyDescent="0.3">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x14ac:dyDescent="0.3">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x14ac:dyDescent="0.3">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x14ac:dyDescent="0.3">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x14ac:dyDescent="0.3">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x14ac:dyDescent="0.3">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x14ac:dyDescent="0.3">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x14ac:dyDescent="0.3">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x14ac:dyDescent="0.3">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x14ac:dyDescent="0.3">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x14ac:dyDescent="0.3">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x14ac:dyDescent="0.3">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x14ac:dyDescent="0.3">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x14ac:dyDescent="0.3">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x14ac:dyDescent="0.3">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x14ac:dyDescent="0.3">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x14ac:dyDescent="0.3">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x14ac:dyDescent="0.3">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x14ac:dyDescent="0.3">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x14ac:dyDescent="0.3">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x14ac:dyDescent="0.3">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x14ac:dyDescent="0.3">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x14ac:dyDescent="0.3">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x14ac:dyDescent="0.3">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x14ac:dyDescent="0.3">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x14ac:dyDescent="0.3">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x14ac:dyDescent="0.3">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x14ac:dyDescent="0.3">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x14ac:dyDescent="0.3">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x14ac:dyDescent="0.3">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x14ac:dyDescent="0.3">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x14ac:dyDescent="0.3">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x14ac:dyDescent="0.3">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x14ac:dyDescent="0.3">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x14ac:dyDescent="0.3">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x14ac:dyDescent="0.3">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x14ac:dyDescent="0.3">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x14ac:dyDescent="0.3">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x14ac:dyDescent="0.3">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x14ac:dyDescent="0.3">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x14ac:dyDescent="0.3">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x14ac:dyDescent="0.3">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x14ac:dyDescent="0.3">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x14ac:dyDescent="0.3">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x14ac:dyDescent="0.3">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x14ac:dyDescent="0.3">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x14ac:dyDescent="0.3">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x14ac:dyDescent="0.3">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x14ac:dyDescent="0.3">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x14ac:dyDescent="0.3">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x14ac:dyDescent="0.3">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x14ac:dyDescent="0.3">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x14ac:dyDescent="0.3">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x14ac:dyDescent="0.3">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x14ac:dyDescent="0.3">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x14ac:dyDescent="0.3">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x14ac:dyDescent="0.3">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x14ac:dyDescent="0.3">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x14ac:dyDescent="0.3">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x14ac:dyDescent="0.3">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x14ac:dyDescent="0.3">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x14ac:dyDescent="0.3">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x14ac:dyDescent="0.3">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x14ac:dyDescent="0.3">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x14ac:dyDescent="0.3">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x14ac:dyDescent="0.3">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x14ac:dyDescent="0.3">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x14ac:dyDescent="0.3">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x14ac:dyDescent="0.3">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x14ac:dyDescent="0.3">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x14ac:dyDescent="0.3">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x14ac:dyDescent="0.3">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x14ac:dyDescent="0.3">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x14ac:dyDescent="0.3">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x14ac:dyDescent="0.3">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x14ac:dyDescent="0.3">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x14ac:dyDescent="0.3">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x14ac:dyDescent="0.3">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x14ac:dyDescent="0.3">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x14ac:dyDescent="0.3">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x14ac:dyDescent="0.3">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x14ac:dyDescent="0.3">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x14ac:dyDescent="0.3">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x14ac:dyDescent="0.3">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x14ac:dyDescent="0.3">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x14ac:dyDescent="0.3">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x14ac:dyDescent="0.3">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x14ac:dyDescent="0.3">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x14ac:dyDescent="0.3">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x14ac:dyDescent="0.3">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x14ac:dyDescent="0.3">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x14ac:dyDescent="0.3">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x14ac:dyDescent="0.3">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x14ac:dyDescent="0.3">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x14ac:dyDescent="0.3">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x14ac:dyDescent="0.3">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x14ac:dyDescent="0.3">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x14ac:dyDescent="0.3">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x14ac:dyDescent="0.3">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x14ac:dyDescent="0.3">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x14ac:dyDescent="0.3">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x14ac:dyDescent="0.3">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x14ac:dyDescent="0.3">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x14ac:dyDescent="0.3">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x14ac:dyDescent="0.3">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x14ac:dyDescent="0.3">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x14ac:dyDescent="0.3">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x14ac:dyDescent="0.3">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x14ac:dyDescent="0.3">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x14ac:dyDescent="0.3">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x14ac:dyDescent="0.3">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x14ac:dyDescent="0.3">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x14ac:dyDescent="0.3">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x14ac:dyDescent="0.3">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x14ac:dyDescent="0.3">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x14ac:dyDescent="0.3">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x14ac:dyDescent="0.3">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x14ac:dyDescent="0.3">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x14ac:dyDescent="0.3">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x14ac:dyDescent="0.3">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x14ac:dyDescent="0.3">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x14ac:dyDescent="0.3">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x14ac:dyDescent="0.3">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x14ac:dyDescent="0.3">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x14ac:dyDescent="0.3">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x14ac:dyDescent="0.3">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x14ac:dyDescent="0.3">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x14ac:dyDescent="0.3">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x14ac:dyDescent="0.3">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x14ac:dyDescent="0.3">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x14ac:dyDescent="0.3">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x14ac:dyDescent="0.3">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x14ac:dyDescent="0.3">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x14ac:dyDescent="0.3">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x14ac:dyDescent="0.3">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x14ac:dyDescent="0.3">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x14ac:dyDescent="0.3">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x14ac:dyDescent="0.3">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x14ac:dyDescent="0.3">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x14ac:dyDescent="0.3">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x14ac:dyDescent="0.3">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x14ac:dyDescent="0.3">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x14ac:dyDescent="0.3">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x14ac:dyDescent="0.3">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x14ac:dyDescent="0.3">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x14ac:dyDescent="0.3">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x14ac:dyDescent="0.3">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x14ac:dyDescent="0.3">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x14ac:dyDescent="0.3">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x14ac:dyDescent="0.3">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x14ac:dyDescent="0.3">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x14ac:dyDescent="0.3">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x14ac:dyDescent="0.3">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x14ac:dyDescent="0.3">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x14ac:dyDescent="0.3">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x14ac:dyDescent="0.3">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x14ac:dyDescent="0.3">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x14ac:dyDescent="0.3">
      <c r="N2603" s="376"/>
      <c r="P2603" s="376"/>
    </row>
    <row r="2604" spans="1:16" x14ac:dyDescent="0.3">
      <c r="N2604" s="376"/>
      <c r="P2604" s="376"/>
    </row>
    <row r="2605" spans="1:16" x14ac:dyDescent="0.3">
      <c r="N2605" s="376"/>
      <c r="P2605" s="376"/>
    </row>
    <row r="2606" spans="1:16" x14ac:dyDescent="0.3">
      <c r="N2606" s="376"/>
      <c r="P2606" s="376"/>
    </row>
    <row r="2607" spans="1:16" x14ac:dyDescent="0.3">
      <c r="N2607" s="376"/>
      <c r="P2607" s="376"/>
    </row>
    <row r="2608" spans="1:16" x14ac:dyDescent="0.3">
      <c r="N2608" s="376"/>
      <c r="P2608" s="376"/>
    </row>
    <row r="2609" spans="14:16" x14ac:dyDescent="0.3">
      <c r="N2609" s="376"/>
      <c r="P2609" s="376"/>
    </row>
    <row r="2610" spans="14:16" x14ac:dyDescent="0.3">
      <c r="N2610" s="376"/>
      <c r="P2610" s="376"/>
    </row>
    <row r="2611" spans="14:16" x14ac:dyDescent="0.3">
      <c r="N2611" s="376"/>
      <c r="P2611" s="376"/>
    </row>
    <row r="2612" spans="14:16" x14ac:dyDescent="0.3">
      <c r="N2612" s="376"/>
      <c r="P2612" s="376"/>
    </row>
    <row r="2613" spans="14:16" x14ac:dyDescent="0.3">
      <c r="N2613" s="376"/>
      <c r="P2613" s="376"/>
    </row>
    <row r="2614" spans="14:16" x14ac:dyDescent="0.3">
      <c r="N2614" s="376"/>
      <c r="P2614" s="376"/>
    </row>
    <row r="2615" spans="14:16" x14ac:dyDescent="0.3">
      <c r="N2615" s="376"/>
      <c r="P2615" s="376"/>
    </row>
    <row r="2616" spans="14:16" x14ac:dyDescent="0.3">
      <c r="N2616" s="376"/>
      <c r="P2616" s="376"/>
    </row>
    <row r="2617" spans="14:16" x14ac:dyDescent="0.3">
      <c r="N2617" s="376"/>
      <c r="P2617" s="376"/>
    </row>
    <row r="2618" spans="14:16" x14ac:dyDescent="0.3">
      <c r="N2618" s="376"/>
      <c r="P2618" s="376"/>
    </row>
    <row r="2619" spans="14:16" x14ac:dyDescent="0.3">
      <c r="N2619" s="376"/>
      <c r="P2619" s="376"/>
    </row>
    <row r="2620" spans="14:16" x14ac:dyDescent="0.3">
      <c r="N2620" s="376"/>
      <c r="P2620" s="376"/>
    </row>
    <row r="2621" spans="14:16" x14ac:dyDescent="0.3">
      <c r="N2621" s="376"/>
      <c r="P2621" s="376"/>
    </row>
    <row r="2622" spans="14:16" x14ac:dyDescent="0.3">
      <c r="N2622" s="376"/>
      <c r="P2622" s="376"/>
    </row>
    <row r="2623" spans="14:16" x14ac:dyDescent="0.3">
      <c r="N2623" s="376"/>
      <c r="P2623" s="376"/>
    </row>
    <row r="2624" spans="14:16" x14ac:dyDescent="0.3">
      <c r="N2624" s="376"/>
      <c r="P2624" s="376"/>
    </row>
    <row r="2625" spans="14:16" x14ac:dyDescent="0.3">
      <c r="N2625" s="376"/>
      <c r="P2625" s="376"/>
    </row>
    <row r="2626" spans="14:16" x14ac:dyDescent="0.3">
      <c r="N2626" s="376"/>
      <c r="P2626" s="376"/>
    </row>
    <row r="2627" spans="14:16" x14ac:dyDescent="0.3">
      <c r="N2627" s="376"/>
      <c r="P2627" s="376"/>
    </row>
    <row r="2628" spans="14:16" x14ac:dyDescent="0.3">
      <c r="N2628" s="376"/>
      <c r="P2628" s="376"/>
    </row>
    <row r="2629" spans="14:16" x14ac:dyDescent="0.3">
      <c r="N2629" s="376"/>
      <c r="P2629" s="376"/>
    </row>
    <row r="2630" spans="14:16" x14ac:dyDescent="0.3">
      <c r="N2630" s="376"/>
      <c r="P2630" s="376"/>
    </row>
    <row r="2631" spans="14:16" x14ac:dyDescent="0.3">
      <c r="N2631" s="376"/>
      <c r="P2631" s="376"/>
    </row>
    <row r="2632" spans="14:16" x14ac:dyDescent="0.3">
      <c r="N2632" s="376"/>
      <c r="P2632" s="376"/>
    </row>
    <row r="2633" spans="14:16" x14ac:dyDescent="0.3">
      <c r="N2633" s="376"/>
      <c r="P2633" s="376"/>
    </row>
    <row r="2634" spans="14:16" x14ac:dyDescent="0.3">
      <c r="N2634" s="376"/>
      <c r="P2634" s="376"/>
    </row>
    <row r="2635" spans="14:16" x14ac:dyDescent="0.3">
      <c r="N2635" s="376"/>
      <c r="P2635" s="376"/>
    </row>
    <row r="2636" spans="14:16" x14ac:dyDescent="0.3">
      <c r="N2636" s="376"/>
      <c r="P2636" s="376"/>
    </row>
    <row r="2637" spans="14:16" x14ac:dyDescent="0.3">
      <c r="N2637" s="376"/>
      <c r="P2637" s="376"/>
    </row>
    <row r="2638" spans="14:16" x14ac:dyDescent="0.3">
      <c r="N2638" s="376"/>
      <c r="P2638" s="376"/>
    </row>
    <row r="2639" spans="14:16" x14ac:dyDescent="0.3">
      <c r="N2639" s="376"/>
      <c r="P2639" s="376"/>
    </row>
    <row r="2640" spans="14:16" x14ac:dyDescent="0.3">
      <c r="N2640" s="376"/>
      <c r="P2640" s="376"/>
    </row>
    <row r="2641" spans="14:16" x14ac:dyDescent="0.3">
      <c r="N2641" s="376"/>
      <c r="P2641" s="376"/>
    </row>
    <row r="2642" spans="14:16" x14ac:dyDescent="0.3">
      <c r="N2642" s="376"/>
      <c r="P2642" s="376"/>
    </row>
    <row r="2643" spans="14:16" x14ac:dyDescent="0.3">
      <c r="N2643" s="376"/>
      <c r="P2643" s="376"/>
    </row>
    <row r="2644" spans="14:16" x14ac:dyDescent="0.3">
      <c r="N2644" s="376"/>
      <c r="P2644" s="376"/>
    </row>
    <row r="2645" spans="14:16" x14ac:dyDescent="0.3">
      <c r="N2645" s="376"/>
      <c r="P2645" s="376"/>
    </row>
    <row r="2646" spans="14:16" x14ac:dyDescent="0.3">
      <c r="N2646" s="376"/>
      <c r="P2646" s="376"/>
    </row>
    <row r="2647" spans="14:16" x14ac:dyDescent="0.3">
      <c r="N2647" s="376"/>
      <c r="P2647" s="376"/>
    </row>
    <row r="2648" spans="14:16" x14ac:dyDescent="0.3">
      <c r="N2648" s="376"/>
      <c r="P2648" s="376"/>
    </row>
    <row r="2649" spans="14:16" x14ac:dyDescent="0.3">
      <c r="N2649" s="376"/>
      <c r="P2649" s="376"/>
    </row>
    <row r="2650" spans="14:16" x14ac:dyDescent="0.3">
      <c r="N2650" s="376"/>
      <c r="P2650" s="376"/>
    </row>
    <row r="2651" spans="14:16" x14ac:dyDescent="0.3">
      <c r="N2651" s="376"/>
      <c r="P2651" s="376"/>
    </row>
    <row r="2652" spans="14:16" x14ac:dyDescent="0.3">
      <c r="N2652" s="376"/>
      <c r="P2652" s="376"/>
    </row>
    <row r="2653" spans="14:16" x14ac:dyDescent="0.3">
      <c r="N2653" s="376"/>
      <c r="P2653" s="376"/>
    </row>
    <row r="2654" spans="14:16" x14ac:dyDescent="0.3">
      <c r="N2654" s="376"/>
      <c r="P2654" s="376"/>
    </row>
    <row r="2655" spans="14:16" x14ac:dyDescent="0.3">
      <c r="N2655" s="376"/>
      <c r="P2655" s="376"/>
    </row>
    <row r="2656" spans="14:16" x14ac:dyDescent="0.3">
      <c r="N2656" s="376"/>
      <c r="P2656" s="376"/>
    </row>
    <row r="2657" spans="14:16" x14ac:dyDescent="0.3">
      <c r="N2657" s="376"/>
      <c r="P2657" s="376"/>
    </row>
    <row r="2658" spans="14:16" x14ac:dyDescent="0.3">
      <c r="N2658" s="376"/>
      <c r="P2658" s="376"/>
    </row>
    <row r="2659" spans="14:16" x14ac:dyDescent="0.3">
      <c r="N2659" s="376"/>
      <c r="P2659" s="376"/>
    </row>
    <row r="2660" spans="14:16" x14ac:dyDescent="0.3">
      <c r="N2660" s="376"/>
      <c r="P2660" s="376"/>
    </row>
    <row r="2661" spans="14:16" x14ac:dyDescent="0.3">
      <c r="N2661" s="376"/>
      <c r="P2661" s="376"/>
    </row>
    <row r="2662" spans="14:16" x14ac:dyDescent="0.3">
      <c r="N2662" s="376"/>
      <c r="P2662" s="376"/>
    </row>
    <row r="2663" spans="14:16" x14ac:dyDescent="0.3">
      <c r="N2663" s="376"/>
      <c r="P2663" s="376"/>
    </row>
    <row r="2664" spans="14:16" x14ac:dyDescent="0.3">
      <c r="N2664" s="376"/>
      <c r="P2664" s="376"/>
    </row>
    <row r="2665" spans="14:16" x14ac:dyDescent="0.3">
      <c r="N2665" s="376"/>
      <c r="P2665" s="376"/>
    </row>
    <row r="2666" spans="14:16" x14ac:dyDescent="0.3">
      <c r="N2666" s="376"/>
      <c r="P2666" s="376"/>
    </row>
    <row r="2667" spans="14:16" x14ac:dyDescent="0.3">
      <c r="N2667" s="376"/>
      <c r="P2667" s="376"/>
    </row>
    <row r="2668" spans="14:16" x14ac:dyDescent="0.3">
      <c r="N2668" s="376"/>
      <c r="P2668" s="376"/>
    </row>
    <row r="2669" spans="14:16" x14ac:dyDescent="0.3">
      <c r="N2669" s="376"/>
      <c r="P2669" s="376"/>
    </row>
    <row r="2670" spans="14:16" x14ac:dyDescent="0.3">
      <c r="N2670" s="376"/>
      <c r="P2670" s="376"/>
    </row>
    <row r="2671" spans="14:16" x14ac:dyDescent="0.3">
      <c r="N2671" s="376"/>
      <c r="P2671" s="376"/>
    </row>
    <row r="2672" spans="14:16" x14ac:dyDescent="0.3">
      <c r="N2672" s="376"/>
      <c r="P2672" s="376"/>
    </row>
    <row r="2673" spans="14:16" x14ac:dyDescent="0.3">
      <c r="N2673" s="376"/>
      <c r="P2673" s="376"/>
    </row>
    <row r="2674" spans="14:16" x14ac:dyDescent="0.3">
      <c r="N2674" s="376"/>
      <c r="P2674" s="376"/>
    </row>
    <row r="2675" spans="14:16" x14ac:dyDescent="0.3">
      <c r="N2675" s="376"/>
      <c r="P2675" s="376"/>
    </row>
    <row r="2676" spans="14:16" x14ac:dyDescent="0.3">
      <c r="N2676" s="376"/>
      <c r="P2676" s="376"/>
    </row>
    <row r="2677" spans="14:16" x14ac:dyDescent="0.3">
      <c r="N2677" s="376"/>
      <c r="P2677" s="376"/>
    </row>
    <row r="2678" spans="14:16" x14ac:dyDescent="0.3">
      <c r="N2678" s="376"/>
      <c r="P2678" s="376"/>
    </row>
    <row r="2679" spans="14:16" x14ac:dyDescent="0.3">
      <c r="N2679" s="376"/>
      <c r="P2679" s="376"/>
    </row>
    <row r="2680" spans="14:16" x14ac:dyDescent="0.3">
      <c r="N2680" s="376"/>
      <c r="P2680" s="376"/>
    </row>
    <row r="2681" spans="14:16" x14ac:dyDescent="0.3">
      <c r="N2681" s="376"/>
      <c r="P2681" s="376"/>
    </row>
    <row r="2682" spans="14:16" x14ac:dyDescent="0.3">
      <c r="N2682" s="376"/>
      <c r="P2682" s="376"/>
    </row>
    <row r="2683" spans="14:16" x14ac:dyDescent="0.3">
      <c r="N2683" s="376"/>
      <c r="P2683" s="376"/>
    </row>
    <row r="2684" spans="14:16" x14ac:dyDescent="0.3">
      <c r="N2684" s="376"/>
      <c r="P2684" s="376"/>
    </row>
    <row r="2685" spans="14:16" x14ac:dyDescent="0.3">
      <c r="N2685" s="376"/>
      <c r="P2685" s="376"/>
    </row>
    <row r="2686" spans="14:16" x14ac:dyDescent="0.3">
      <c r="N2686" s="376"/>
      <c r="P2686" s="376"/>
    </row>
    <row r="2687" spans="14:16" x14ac:dyDescent="0.3">
      <c r="N2687" s="376"/>
      <c r="P2687" s="376"/>
    </row>
    <row r="2688" spans="14:16" x14ac:dyDescent="0.3">
      <c r="N2688" s="376"/>
      <c r="P2688" s="376"/>
    </row>
    <row r="2689" spans="14:16" x14ac:dyDescent="0.3">
      <c r="N2689" s="376"/>
      <c r="P2689" s="376"/>
    </row>
    <row r="2690" spans="14:16" x14ac:dyDescent="0.3">
      <c r="N2690" s="376"/>
      <c r="P2690" s="376"/>
    </row>
    <row r="2691" spans="14:16" x14ac:dyDescent="0.3">
      <c r="N2691" s="376"/>
      <c r="P2691" s="376"/>
    </row>
    <row r="2692" spans="14:16" x14ac:dyDescent="0.3">
      <c r="N2692" s="376"/>
      <c r="P2692" s="376"/>
    </row>
    <row r="2693" spans="14:16" x14ac:dyDescent="0.3">
      <c r="N2693" s="376"/>
      <c r="P2693" s="376"/>
    </row>
    <row r="2694" spans="14:16" x14ac:dyDescent="0.3">
      <c r="N2694" s="376"/>
      <c r="P2694" s="376"/>
    </row>
    <row r="2695" spans="14:16" x14ac:dyDescent="0.3">
      <c r="N2695" s="376"/>
      <c r="P2695" s="376"/>
    </row>
    <row r="2696" spans="14:16" x14ac:dyDescent="0.3">
      <c r="N2696" s="376"/>
      <c r="P2696" s="376"/>
    </row>
    <row r="2697" spans="14:16" x14ac:dyDescent="0.3">
      <c r="N2697" s="376"/>
      <c r="P2697" s="376"/>
    </row>
    <row r="2698" spans="14:16" x14ac:dyDescent="0.3">
      <c r="N2698" s="376"/>
      <c r="P2698" s="376"/>
    </row>
    <row r="2699" spans="14:16" x14ac:dyDescent="0.3">
      <c r="N2699" s="376"/>
      <c r="P2699" s="376"/>
    </row>
    <row r="2700" spans="14:16" x14ac:dyDescent="0.3">
      <c r="N2700" s="376"/>
      <c r="P2700" s="376"/>
    </row>
    <row r="2701" spans="14:16" x14ac:dyDescent="0.3">
      <c r="N2701" s="376"/>
      <c r="P2701" s="376"/>
    </row>
    <row r="2702" spans="14:16" x14ac:dyDescent="0.3">
      <c r="N2702" s="376"/>
      <c r="P2702" s="376"/>
    </row>
    <row r="2703" spans="14:16" x14ac:dyDescent="0.3">
      <c r="N2703" s="376"/>
      <c r="P2703" s="376"/>
    </row>
    <row r="2704" spans="14:16" x14ac:dyDescent="0.3">
      <c r="N2704" s="376"/>
      <c r="P2704" s="376"/>
    </row>
    <row r="2705" spans="14:16" x14ac:dyDescent="0.3">
      <c r="N2705" s="376"/>
      <c r="P2705" s="376"/>
    </row>
    <row r="2706" spans="14:16" x14ac:dyDescent="0.3">
      <c r="N2706" s="376"/>
      <c r="P2706" s="376"/>
    </row>
    <row r="2707" spans="14:16" x14ac:dyDescent="0.3">
      <c r="N2707" s="376"/>
      <c r="P2707" s="376"/>
    </row>
    <row r="2708" spans="14:16" x14ac:dyDescent="0.3">
      <c r="N2708" s="376"/>
      <c r="P2708" s="376"/>
    </row>
    <row r="2709" spans="14:16" x14ac:dyDescent="0.3">
      <c r="N2709" s="376"/>
      <c r="P2709" s="376"/>
    </row>
    <row r="2710" spans="14:16" x14ac:dyDescent="0.3">
      <c r="N2710" s="376"/>
      <c r="P2710" s="376"/>
    </row>
    <row r="2711" spans="14:16" x14ac:dyDescent="0.3">
      <c r="N2711" s="376"/>
      <c r="P2711" s="376"/>
    </row>
    <row r="2712" spans="14:16" x14ac:dyDescent="0.3">
      <c r="N2712" s="376"/>
      <c r="P2712" s="376"/>
    </row>
    <row r="2713" spans="14:16" x14ac:dyDescent="0.3">
      <c r="N2713" s="376"/>
      <c r="P2713" s="376"/>
    </row>
    <row r="2714" spans="14:16" x14ac:dyDescent="0.3">
      <c r="N2714" s="376"/>
      <c r="P2714" s="376"/>
    </row>
    <row r="2715" spans="14:16" x14ac:dyDescent="0.3">
      <c r="N2715" s="376"/>
      <c r="P2715" s="376"/>
    </row>
    <row r="2716" spans="14:16" x14ac:dyDescent="0.3">
      <c r="N2716" s="376"/>
      <c r="P2716" s="376"/>
    </row>
    <row r="2717" spans="14:16" x14ac:dyDescent="0.3">
      <c r="N2717" s="376"/>
      <c r="P2717" s="376"/>
    </row>
    <row r="2718" spans="14:16" x14ac:dyDescent="0.3">
      <c r="N2718" s="376"/>
      <c r="P2718" s="376"/>
    </row>
    <row r="2719" spans="14:16" x14ac:dyDescent="0.3">
      <c r="N2719" s="376"/>
      <c r="P2719" s="376"/>
    </row>
    <row r="2720" spans="14:16" x14ac:dyDescent="0.3">
      <c r="N2720" s="376"/>
      <c r="P2720" s="376"/>
    </row>
    <row r="2721" spans="14:16" x14ac:dyDescent="0.3">
      <c r="N2721" s="376"/>
      <c r="P2721" s="376"/>
    </row>
    <row r="2722" spans="14:16" x14ac:dyDescent="0.3">
      <c r="N2722" s="376"/>
      <c r="P2722" s="376"/>
    </row>
    <row r="2723" spans="14:16" x14ac:dyDescent="0.3">
      <c r="N2723" s="376"/>
      <c r="P2723" s="376"/>
    </row>
    <row r="2724" spans="14:16" x14ac:dyDescent="0.3">
      <c r="N2724" s="376"/>
      <c r="P2724" s="376"/>
    </row>
    <row r="2725" spans="14:16" x14ac:dyDescent="0.3">
      <c r="N2725" s="376"/>
      <c r="P2725" s="376"/>
    </row>
    <row r="2726" spans="14:16" x14ac:dyDescent="0.3">
      <c r="N2726" s="376"/>
      <c r="P2726" s="376"/>
    </row>
    <row r="2727" spans="14:16" x14ac:dyDescent="0.3">
      <c r="N2727" s="376"/>
      <c r="P2727" s="376"/>
    </row>
    <row r="2728" spans="14:16" x14ac:dyDescent="0.3">
      <c r="P2728" s="376"/>
    </row>
    <row r="2729" spans="14:16" x14ac:dyDescent="0.3">
      <c r="P2729" s="376"/>
    </row>
    <row r="2730" spans="14:16" x14ac:dyDescent="0.3">
      <c r="P2730" s="376"/>
    </row>
    <row r="2731" spans="14:16" x14ac:dyDescent="0.3">
      <c r="P2731" s="376"/>
    </row>
    <row r="2732" spans="14:16" x14ac:dyDescent="0.3">
      <c r="P2732" s="376"/>
    </row>
    <row r="2733" spans="14:16" x14ac:dyDescent="0.3">
      <c r="P2733" s="376"/>
    </row>
    <row r="2734" spans="14:16" x14ac:dyDescent="0.3">
      <c r="P2734" s="376"/>
    </row>
    <row r="2735" spans="14:16" x14ac:dyDescent="0.3">
      <c r="P2735" s="376"/>
    </row>
    <row r="2736" spans="14:16" x14ac:dyDescent="0.3">
      <c r="P2736" s="376"/>
    </row>
    <row r="2737" spans="16:16" x14ac:dyDescent="0.3">
      <c r="P2737" s="376"/>
    </row>
    <row r="2738" spans="16:16" x14ac:dyDescent="0.3">
      <c r="P2738" s="376"/>
    </row>
    <row r="2739" spans="16:16" x14ac:dyDescent="0.3">
      <c r="P2739" s="376"/>
    </row>
    <row r="2740" spans="16:16" x14ac:dyDescent="0.3">
      <c r="P2740" s="376"/>
    </row>
    <row r="2741" spans="16:16" x14ac:dyDescent="0.3">
      <c r="P2741" s="376"/>
    </row>
    <row r="2742" spans="16:16" x14ac:dyDescent="0.3">
      <c r="P2742" s="376"/>
    </row>
    <row r="2743" spans="16:16" x14ac:dyDescent="0.3">
      <c r="P2743" s="376"/>
    </row>
    <row r="2744" spans="16:16" x14ac:dyDescent="0.3">
      <c r="P2744" s="376"/>
    </row>
    <row r="2745" spans="16:16" x14ac:dyDescent="0.3">
      <c r="P2745" s="376"/>
    </row>
    <row r="2746" spans="16:16" x14ac:dyDescent="0.3">
      <c r="P2746" s="376"/>
    </row>
    <row r="2747" spans="16:16" x14ac:dyDescent="0.3">
      <c r="P2747" s="376"/>
    </row>
    <row r="2748" spans="16:16" x14ac:dyDescent="0.3">
      <c r="P2748" s="376"/>
    </row>
    <row r="2749" spans="16:16" x14ac:dyDescent="0.3">
      <c r="P2749" s="376"/>
    </row>
    <row r="2750" spans="16:16" x14ac:dyDescent="0.3">
      <c r="P2750" s="376"/>
    </row>
    <row r="2751" spans="16:16" x14ac:dyDescent="0.3">
      <c r="P2751" s="376"/>
    </row>
    <row r="2752" spans="16:16" x14ac:dyDescent="0.3">
      <c r="P2752" s="376"/>
    </row>
    <row r="2753" spans="16:16" x14ac:dyDescent="0.3">
      <c r="P2753" s="376"/>
    </row>
    <row r="2754" spans="16:16" x14ac:dyDescent="0.3">
      <c r="P2754" s="376"/>
    </row>
    <row r="2755" spans="16:16" x14ac:dyDescent="0.3">
      <c r="P2755" s="376"/>
    </row>
    <row r="2756" spans="16:16" x14ac:dyDescent="0.3">
      <c r="P2756" s="376"/>
    </row>
    <row r="2757" spans="16:16" x14ac:dyDescent="0.3">
      <c r="P2757" s="376"/>
    </row>
    <row r="2758" spans="16:16" x14ac:dyDescent="0.3">
      <c r="P2758" s="376"/>
    </row>
    <row r="2759" spans="16:16" x14ac:dyDescent="0.3">
      <c r="P2759" s="376"/>
    </row>
    <row r="2760" spans="16:16" x14ac:dyDescent="0.3">
      <c r="P2760" s="376"/>
    </row>
    <row r="2761" spans="16:16" x14ac:dyDescent="0.3">
      <c r="P2761" s="376"/>
    </row>
    <row r="2762" spans="16:16" x14ac:dyDescent="0.3">
      <c r="P2762" s="376"/>
    </row>
    <row r="2763" spans="16:16" x14ac:dyDescent="0.3">
      <c r="P2763" s="376"/>
    </row>
    <row r="2764" spans="16:16" x14ac:dyDescent="0.3">
      <c r="P2764" s="376"/>
    </row>
    <row r="2765" spans="16:16" x14ac:dyDescent="0.3">
      <c r="P2765" s="376"/>
    </row>
    <row r="2766" spans="16:16" x14ac:dyDescent="0.3">
      <c r="P2766" s="376"/>
    </row>
    <row r="2767" spans="16:16" x14ac:dyDescent="0.3">
      <c r="P2767" s="376"/>
    </row>
    <row r="2768" spans="16:16" x14ac:dyDescent="0.3">
      <c r="P2768" s="376"/>
    </row>
    <row r="2769" spans="16:16" x14ac:dyDescent="0.3">
      <c r="P2769" s="376"/>
    </row>
    <row r="2770" spans="16:16" x14ac:dyDescent="0.3">
      <c r="P2770" s="376"/>
    </row>
    <row r="2771" spans="16:16" x14ac:dyDescent="0.3">
      <c r="P2771" s="376"/>
    </row>
    <row r="2772" spans="16:16" x14ac:dyDescent="0.3">
      <c r="P2772" s="376"/>
    </row>
    <row r="2773" spans="16:16" x14ac:dyDescent="0.3">
      <c r="P2773" s="376"/>
    </row>
    <row r="2774" spans="16:16" x14ac:dyDescent="0.3">
      <c r="P2774" s="376"/>
    </row>
    <row r="2775" spans="16:16" x14ac:dyDescent="0.3">
      <c r="P2775" s="376"/>
    </row>
    <row r="2776" spans="16:16" x14ac:dyDescent="0.3">
      <c r="P2776" s="376"/>
    </row>
    <row r="2777" spans="16:16" x14ac:dyDescent="0.3">
      <c r="P2777" s="376"/>
    </row>
    <row r="2778" spans="16:16" x14ac:dyDescent="0.3">
      <c r="P2778" s="376"/>
    </row>
    <row r="2779" spans="16:16" x14ac:dyDescent="0.3">
      <c r="P2779" s="376"/>
    </row>
    <row r="2780" spans="16:16" x14ac:dyDescent="0.3">
      <c r="P2780" s="376"/>
    </row>
    <row r="2781" spans="16:16" x14ac:dyDescent="0.3">
      <c r="P2781" s="376"/>
    </row>
    <row r="2782" spans="16:16" x14ac:dyDescent="0.3">
      <c r="P2782" s="376"/>
    </row>
    <row r="2783" spans="16:16" x14ac:dyDescent="0.3">
      <c r="P2783" s="376"/>
    </row>
    <row r="2784" spans="16:16" x14ac:dyDescent="0.3">
      <c r="P2784" s="376"/>
    </row>
    <row r="2785" spans="16:16" x14ac:dyDescent="0.3">
      <c r="P2785" s="376"/>
    </row>
    <row r="2786" spans="16:16" x14ac:dyDescent="0.3">
      <c r="P2786" s="376"/>
    </row>
    <row r="2787" spans="16:16" x14ac:dyDescent="0.3">
      <c r="P2787" s="376"/>
    </row>
    <row r="2788" spans="16:16" x14ac:dyDescent="0.3">
      <c r="P2788" s="376"/>
    </row>
    <row r="2789" spans="16:16" x14ac:dyDescent="0.3">
      <c r="P2789" s="376"/>
    </row>
    <row r="2790" spans="16:16" x14ac:dyDescent="0.3">
      <c r="P2790" s="376"/>
    </row>
    <row r="2791" spans="16:16" x14ac:dyDescent="0.3">
      <c r="P2791" s="376"/>
    </row>
    <row r="2792" spans="16:16" x14ac:dyDescent="0.3">
      <c r="P2792" s="376"/>
    </row>
    <row r="2793" spans="16:16" x14ac:dyDescent="0.3">
      <c r="P2793" s="376"/>
    </row>
    <row r="2794" spans="16:16" x14ac:dyDescent="0.3">
      <c r="P2794" s="376"/>
    </row>
    <row r="2795" spans="16:16" x14ac:dyDescent="0.3">
      <c r="P2795" s="376"/>
    </row>
    <row r="2796" spans="16:16" x14ac:dyDescent="0.3">
      <c r="P2796" s="376"/>
    </row>
    <row r="2797" spans="16:16" x14ac:dyDescent="0.3">
      <c r="P2797" s="376"/>
    </row>
    <row r="2798" spans="16:16" x14ac:dyDescent="0.3">
      <c r="P2798" s="376"/>
    </row>
    <row r="2799" spans="16:16" x14ac:dyDescent="0.3">
      <c r="P2799" s="376"/>
    </row>
    <row r="2800" spans="16:16" x14ac:dyDescent="0.3">
      <c r="P2800" s="376"/>
    </row>
    <row r="2801" spans="16:16" x14ac:dyDescent="0.3">
      <c r="P2801" s="376"/>
    </row>
    <row r="2802" spans="16:16" x14ac:dyDescent="0.3">
      <c r="P2802" s="376"/>
    </row>
    <row r="2803" spans="16:16" x14ac:dyDescent="0.3">
      <c r="P2803" s="376"/>
    </row>
    <row r="2804" spans="16:16" x14ac:dyDescent="0.3">
      <c r="P2804" s="376"/>
    </row>
    <row r="2805" spans="16:16" x14ac:dyDescent="0.3">
      <c r="P2805" s="376"/>
    </row>
    <row r="2806" spans="16:16" x14ac:dyDescent="0.3">
      <c r="P2806" s="376"/>
    </row>
    <row r="2807" spans="16:16" x14ac:dyDescent="0.3">
      <c r="P2807" s="376"/>
    </row>
    <row r="2808" spans="16:16" x14ac:dyDescent="0.3">
      <c r="P2808" s="376"/>
    </row>
    <row r="2809" spans="16:16" x14ac:dyDescent="0.3">
      <c r="P2809" s="376"/>
    </row>
    <row r="2810" spans="16:16" x14ac:dyDescent="0.3">
      <c r="P2810" s="376"/>
    </row>
    <row r="2811" spans="16:16" x14ac:dyDescent="0.3">
      <c r="P2811" s="376"/>
    </row>
    <row r="2812" spans="16:16" x14ac:dyDescent="0.3">
      <c r="P2812" s="376"/>
    </row>
    <row r="2813" spans="16:16" x14ac:dyDescent="0.3">
      <c r="P2813" s="376"/>
    </row>
    <row r="2814" spans="16:16" x14ac:dyDescent="0.3">
      <c r="P2814" s="376"/>
    </row>
    <row r="2815" spans="16:16" x14ac:dyDescent="0.3">
      <c r="P2815" s="376"/>
    </row>
    <row r="2816" spans="16:16" x14ac:dyDescent="0.3">
      <c r="P2816" s="376"/>
    </row>
    <row r="2817" spans="16:16" x14ac:dyDescent="0.3">
      <c r="P2817" s="376"/>
    </row>
    <row r="2818" spans="16:16" x14ac:dyDescent="0.3">
      <c r="P2818" s="376"/>
    </row>
    <row r="2819" spans="16:16" x14ac:dyDescent="0.3">
      <c r="P2819"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heetViews>
  <sheetFormatPr defaultColWidth="9.109375" defaultRowHeight="14.4" x14ac:dyDescent="0.3"/>
  <cols>
    <col min="1" max="1" width="4.44140625" customWidth="1"/>
    <col min="2" max="2" width="7.44140625" style="811" customWidth="1"/>
    <col min="3" max="3" width="22.6640625" customWidth="1"/>
    <col min="4" max="4" width="7.88671875" customWidth="1"/>
    <col min="5" max="5" width="8.33203125" customWidth="1"/>
    <col min="6" max="6" width="18.6640625" customWidth="1"/>
    <col min="7" max="7" width="16.88671875" customWidth="1"/>
    <col min="8" max="8" width="9.33203125" customWidth="1"/>
    <col min="9" max="9" width="4.44140625" customWidth="1"/>
    <col min="10" max="10" width="6.6640625" customWidth="1"/>
    <col min="11" max="11" width="13.5546875" customWidth="1"/>
    <col min="12" max="12" width="7.88671875" customWidth="1"/>
    <col min="13" max="13" width="7.109375" customWidth="1"/>
    <col min="14" max="14" width="6.6640625" customWidth="1"/>
    <col min="15" max="15" width="16.88671875" bestFit="1" customWidth="1"/>
    <col min="16" max="17" width="15" bestFit="1" customWidth="1"/>
    <col min="18" max="18" width="18.88671875" bestFit="1" customWidth="1"/>
    <col min="19" max="19" width="6.33203125" bestFit="1" customWidth="1"/>
  </cols>
  <sheetData>
    <row r="1" spans="1:15" s="898" customFormat="1" x14ac:dyDescent="0.3">
      <c r="A1" s="277" t="s">
        <v>11029</v>
      </c>
      <c r="I1" s="277" t="s">
        <v>11030</v>
      </c>
    </row>
    <row r="2" spans="1:15" s="898" customFormat="1" x14ac:dyDescent="0.3"/>
    <row r="3" spans="1:15" x14ac:dyDescent="0.3">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x14ac:dyDescent="0.3">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x14ac:dyDescent="0.3">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x14ac:dyDescent="0.3">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x14ac:dyDescent="0.3">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x14ac:dyDescent="0.3">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x14ac:dyDescent="0.3">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x14ac:dyDescent="0.3">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x14ac:dyDescent="0.3">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x14ac:dyDescent="0.3">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x14ac:dyDescent="0.3">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x14ac:dyDescent="0.3">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x14ac:dyDescent="0.3">
      <c r="A15" s="815">
        <f>VLOOKUP(C15,'C. Auto'!$B$15:$C$778,2,FALSE)</f>
        <v>672</v>
      </c>
      <c r="B15" s="814" t="s">
        <v>831</v>
      </c>
      <c r="C15" s="815" t="str">
        <f t="shared" si="2"/>
        <v>Suzuki, Swift</v>
      </c>
      <c r="D15" s="815">
        <f t="shared" si="3"/>
        <v>672</v>
      </c>
      <c r="E15" s="813" t="s">
        <v>2213</v>
      </c>
      <c r="F15" s="813" t="s">
        <v>336</v>
      </c>
      <c r="G15" s="816">
        <v>2.8499E-2</v>
      </c>
      <c r="H15" s="815"/>
      <c r="I15" s="815"/>
    </row>
    <row r="16" spans="1:15" x14ac:dyDescent="0.3">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x14ac:dyDescent="0.3">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x14ac:dyDescent="0.3">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x14ac:dyDescent="0.3">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x14ac:dyDescent="0.3">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x14ac:dyDescent="0.3">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x14ac:dyDescent="0.3">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x14ac:dyDescent="0.3">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x14ac:dyDescent="0.3">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x14ac:dyDescent="0.3">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x14ac:dyDescent="0.3">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x14ac:dyDescent="0.3">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x14ac:dyDescent="0.3">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x14ac:dyDescent="0.3">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x14ac:dyDescent="0.3">
      <c r="A30" s="815">
        <f>VLOOKUP(C30,'C. Auto'!$B$15:$C$778,2,FALSE)</f>
        <v>583</v>
      </c>
      <c r="B30" s="814" t="s">
        <v>770</v>
      </c>
      <c r="C30" s="815" t="str">
        <f t="shared" si="2"/>
        <v>Nissan, X-Trail</v>
      </c>
      <c r="D30" s="815">
        <f t="shared" si="3"/>
        <v>583</v>
      </c>
      <c r="E30" s="813" t="s">
        <v>2202</v>
      </c>
      <c r="F30" s="813" t="s">
        <v>282</v>
      </c>
      <c r="G30" s="816">
        <v>4.3482E-2</v>
      </c>
      <c r="H30" s="815"/>
      <c r="I30" s="815"/>
    </row>
    <row r="31" spans="1:9" x14ac:dyDescent="0.3">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x14ac:dyDescent="0.3">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x14ac:dyDescent="0.3">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x14ac:dyDescent="0.3">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x14ac:dyDescent="0.3">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x14ac:dyDescent="0.3">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x14ac:dyDescent="0.3">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x14ac:dyDescent="0.3">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x14ac:dyDescent="0.3">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x14ac:dyDescent="0.3">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x14ac:dyDescent="0.3">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x14ac:dyDescent="0.3">
      <c r="A42" s="815">
        <f>VLOOKUP(C42,'C. Auto'!$B$15:$C$778,2,FALSE)</f>
        <v>208</v>
      </c>
      <c r="B42" s="814" t="s">
        <v>3468</v>
      </c>
      <c r="C42" s="815" t="str">
        <f t="shared" si="2"/>
        <v>Ford, Fiesta</v>
      </c>
      <c r="D42" s="815">
        <f t="shared" si="3"/>
        <v>208</v>
      </c>
      <c r="E42" s="813" t="s">
        <v>3547</v>
      </c>
      <c r="F42" s="813" t="s">
        <v>3557</v>
      </c>
      <c r="G42" s="816">
        <v>2.7531E-2</v>
      </c>
      <c r="H42" s="815"/>
      <c r="I42" s="815"/>
    </row>
    <row r="43" spans="1:9" x14ac:dyDescent="0.3">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x14ac:dyDescent="0.3">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x14ac:dyDescent="0.3">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x14ac:dyDescent="0.3">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x14ac:dyDescent="0.3">
      <c r="A47" s="810"/>
      <c r="C47" s="810"/>
      <c r="D47" s="810"/>
    </row>
    <row r="48" spans="1:9" x14ac:dyDescent="0.3">
      <c r="A48" s="810"/>
      <c r="C48" s="810"/>
      <c r="D48" s="810"/>
    </row>
    <row r="49" spans="1:4" x14ac:dyDescent="0.3">
      <c r="A49" s="810"/>
      <c r="C49" s="810"/>
      <c r="D49" s="810"/>
    </row>
    <row r="50" spans="1:4" x14ac:dyDescent="0.3">
      <c r="A50" s="810"/>
      <c r="C50" s="810"/>
      <c r="D50" s="810"/>
    </row>
    <row r="51" spans="1:4" x14ac:dyDescent="0.3">
      <c r="A51" s="810"/>
      <c r="C51" s="810"/>
      <c r="D51" s="810"/>
    </row>
    <row r="52" spans="1:4" x14ac:dyDescent="0.3">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0" t="s">
        <v>1547</v>
      </c>
      <c r="B1" s="10"/>
      <c r="C1" s="10"/>
      <c r="D1" s="10"/>
      <c r="E1" s="10"/>
      <c r="F1" s="10"/>
    </row>
    <row r="2" spans="1:6" ht="15" thickTop="1" x14ac:dyDescent="0.3"/>
    <row r="3" spans="1:6" x14ac:dyDescent="0.3">
      <c r="B3" s="11" t="s">
        <v>1545</v>
      </c>
    </row>
    <row r="4" spans="1:6" x14ac:dyDescent="0.3">
      <c r="A4" s="2" t="s">
        <v>429</v>
      </c>
      <c r="B4" s="2" t="s">
        <v>430</v>
      </c>
      <c r="C4" s="3" t="s">
        <v>431</v>
      </c>
      <c r="D4" s="2" t="s">
        <v>1546</v>
      </c>
      <c r="E4" s="2" t="s">
        <v>2099</v>
      </c>
    </row>
    <row r="5" spans="1:6" x14ac:dyDescent="0.3">
      <c r="A5" s="12">
        <v>0</v>
      </c>
      <c r="B5" s="12" t="s">
        <v>2106</v>
      </c>
      <c r="C5" s="13">
        <f>A5</f>
        <v>0</v>
      </c>
      <c r="D5" s="18">
        <v>0</v>
      </c>
      <c r="E5" s="18">
        <v>0</v>
      </c>
    </row>
    <row r="6" spans="1:6" x14ac:dyDescent="0.3">
      <c r="A6" s="12">
        <v>1</v>
      </c>
      <c r="B6" s="12" t="s">
        <v>482</v>
      </c>
      <c r="C6" s="13">
        <f>A6</f>
        <v>1</v>
      </c>
      <c r="D6" s="18">
        <v>276.69</v>
      </c>
      <c r="E6" s="18">
        <v>274.62</v>
      </c>
    </row>
    <row r="7" spans="1:6" x14ac:dyDescent="0.3">
      <c r="A7" s="300">
        <v>2</v>
      </c>
      <c r="B7" s="300" t="s">
        <v>534</v>
      </c>
      <c r="C7" s="13">
        <f>A7</f>
        <v>2</v>
      </c>
      <c r="D7" s="18">
        <v>288.02</v>
      </c>
      <c r="E7" s="18">
        <v>285.86</v>
      </c>
    </row>
    <row r="8" spans="1:6" x14ac:dyDescent="0.3">
      <c r="A8" s="12">
        <v>3</v>
      </c>
      <c r="B8" s="300" t="s">
        <v>3621</v>
      </c>
      <c r="C8" s="13">
        <f>A8</f>
        <v>3</v>
      </c>
      <c r="D8" s="18">
        <v>0</v>
      </c>
      <c r="E8" s="18">
        <v>0</v>
      </c>
    </row>
    <row r="11" spans="1:6" x14ac:dyDescent="0.3">
      <c r="B11" s="11" t="s">
        <v>1548</v>
      </c>
    </row>
    <row r="12" spans="1:6" x14ac:dyDescent="0.3">
      <c r="A12" s="2" t="s">
        <v>429</v>
      </c>
      <c r="B12" s="2" t="s">
        <v>430</v>
      </c>
      <c r="C12" s="3" t="s">
        <v>431</v>
      </c>
      <c r="D12" s="2" t="s">
        <v>482</v>
      </c>
      <c r="E12" s="2" t="s">
        <v>1549</v>
      </c>
    </row>
    <row r="13" spans="1:6" x14ac:dyDescent="0.3">
      <c r="A13" s="12">
        <v>1</v>
      </c>
      <c r="B13" s="30" t="s">
        <v>1561</v>
      </c>
      <c r="C13" s="13">
        <f t="shared" ref="C13:C18" si="0">A13</f>
        <v>1</v>
      </c>
      <c r="D13" s="19">
        <v>1</v>
      </c>
      <c r="E13" s="19">
        <v>1</v>
      </c>
    </row>
    <row r="14" spans="1:6" x14ac:dyDescent="0.3">
      <c r="A14" s="12">
        <v>2</v>
      </c>
      <c r="B14" s="30" t="s">
        <v>1562</v>
      </c>
      <c r="C14" s="13">
        <f t="shared" si="0"/>
        <v>2</v>
      </c>
      <c r="D14" s="19">
        <v>1.4843999999999999</v>
      </c>
      <c r="E14" s="19">
        <v>1.5031000000000001</v>
      </c>
    </row>
    <row r="15" spans="1:6" x14ac:dyDescent="0.3">
      <c r="A15" s="12">
        <v>3</v>
      </c>
      <c r="B15" s="30" t="s">
        <v>1563</v>
      </c>
      <c r="C15" s="13">
        <f t="shared" si="0"/>
        <v>3</v>
      </c>
      <c r="D15" s="19">
        <v>1.9689000000000001</v>
      </c>
      <c r="E15" s="19">
        <v>2.0248400000000002</v>
      </c>
    </row>
    <row r="16" spans="1:6" x14ac:dyDescent="0.3">
      <c r="A16" s="12">
        <v>4</v>
      </c>
      <c r="B16" s="30" t="s">
        <v>1564</v>
      </c>
      <c r="C16" s="13">
        <f t="shared" si="0"/>
        <v>4</v>
      </c>
      <c r="D16" s="19">
        <v>2.9173</v>
      </c>
      <c r="E16" s="19">
        <v>3.1449199999999999</v>
      </c>
    </row>
    <row r="17" spans="1:11" x14ac:dyDescent="0.3">
      <c r="A17" s="12">
        <v>5</v>
      </c>
      <c r="B17" s="30" t="s">
        <v>1565</v>
      </c>
      <c r="C17" s="13">
        <f t="shared" si="0"/>
        <v>5</v>
      </c>
      <c r="D17" s="19">
        <v>3.8609</v>
      </c>
      <c r="E17" s="19">
        <v>4.3333300000000001</v>
      </c>
    </row>
    <row r="18" spans="1:11" x14ac:dyDescent="0.3">
      <c r="A18" s="12">
        <v>6</v>
      </c>
      <c r="B18" s="30" t="s">
        <v>1566</v>
      </c>
      <c r="C18" s="13">
        <f t="shared" si="0"/>
        <v>6</v>
      </c>
      <c r="D18" s="19">
        <v>4.8033000000000001</v>
      </c>
      <c r="E18" s="19">
        <v>5.6832200000000004</v>
      </c>
    </row>
    <row r="19" spans="1:11" x14ac:dyDescent="0.3">
      <c r="I19" s="705"/>
    </row>
    <row r="21" spans="1:11" x14ac:dyDescent="0.3">
      <c r="B21" s="11" t="s">
        <v>1567</v>
      </c>
      <c r="F21" s="290" t="s">
        <v>3166</v>
      </c>
    </row>
    <row r="22" spans="1:11" x14ac:dyDescent="0.3">
      <c r="A22" s="2" t="s">
        <v>429</v>
      </c>
      <c r="B22" s="2" t="s">
        <v>430</v>
      </c>
      <c r="C22" s="3" t="s">
        <v>431</v>
      </c>
      <c r="D22" s="2" t="s">
        <v>2152</v>
      </c>
      <c r="E22" s="192" t="s">
        <v>1546</v>
      </c>
      <c r="F22" s="289" t="str">
        <f ca="1">IF(ID_INCREMENTO_RC=0,"",IF(ID_INCREMENTO_RC=1,CONCATENATE(", "&amp;B24&amp;".00"),IF(ID_INCREMENTO_RC=2,CONCATENATE(", "&amp;B25&amp;".00"))))</f>
        <v/>
      </c>
    </row>
    <row r="23" spans="1:11" x14ac:dyDescent="0.3">
      <c r="A23" s="12">
        <v>0</v>
      </c>
      <c r="B23" s="30" t="s">
        <v>1568</v>
      </c>
      <c r="C23" s="13">
        <f>A23</f>
        <v>0</v>
      </c>
      <c r="D23" s="39" t="b">
        <v>0</v>
      </c>
      <c r="E23" s="98" t="s">
        <v>2169</v>
      </c>
    </row>
    <row r="24" spans="1:11" x14ac:dyDescent="0.3">
      <c r="A24" s="12">
        <v>1</v>
      </c>
      <c r="B24" s="30" t="s">
        <v>3171</v>
      </c>
      <c r="C24" s="13">
        <f>A24</f>
        <v>1</v>
      </c>
      <c r="D24" s="39" t="b">
        <v>1</v>
      </c>
      <c r="E24" s="98">
        <v>14</v>
      </c>
      <c r="F24" s="98" t="s">
        <v>3141</v>
      </c>
    </row>
    <row r="25" spans="1:11" x14ac:dyDescent="0.3">
      <c r="A25" s="12">
        <v>2</v>
      </c>
      <c r="B25" s="30" t="s">
        <v>4065</v>
      </c>
      <c r="C25" s="13">
        <f>A25</f>
        <v>2</v>
      </c>
      <c r="D25" s="39" t="b">
        <v>1</v>
      </c>
      <c r="E25" s="98">
        <v>15</v>
      </c>
      <c r="F25" s="98" t="s">
        <v>3142</v>
      </c>
    </row>
    <row r="26" spans="1:11" x14ac:dyDescent="0.3">
      <c r="A26" s="12"/>
      <c r="B26" s="41"/>
      <c r="C26" s="13"/>
      <c r="D26" s="39"/>
      <c r="E26" s="98"/>
    </row>
    <row r="28" spans="1:11" x14ac:dyDescent="0.3">
      <c r="K28" s="705"/>
    </row>
    <row r="29" spans="1:11" x14ac:dyDescent="0.3">
      <c r="B29" s="11" t="s">
        <v>1575</v>
      </c>
    </row>
    <row r="30" spans="1:11" x14ac:dyDescent="0.3">
      <c r="A30" s="2" t="s">
        <v>429</v>
      </c>
      <c r="B30" s="2" t="s">
        <v>430</v>
      </c>
      <c r="C30" s="3" t="s">
        <v>431</v>
      </c>
      <c r="D30" s="2" t="s">
        <v>1579</v>
      </c>
      <c r="E30" s="2" t="s">
        <v>1616</v>
      </c>
      <c r="F30" s="2" t="s">
        <v>4944</v>
      </c>
    </row>
    <row r="31" spans="1:11" x14ac:dyDescent="0.3">
      <c r="A31" s="12">
        <v>1</v>
      </c>
      <c r="B31" s="30" t="s">
        <v>1576</v>
      </c>
      <c r="C31" s="13">
        <f>A31</f>
        <v>1</v>
      </c>
      <c r="D31" s="19" t="b">
        <v>1</v>
      </c>
      <c r="E31" s="676" t="b">
        <v>1</v>
      </c>
      <c r="F31" s="676" t="s">
        <v>5064</v>
      </c>
    </row>
    <row r="32" spans="1:11" x14ac:dyDescent="0.3">
      <c r="A32" s="12">
        <v>2</v>
      </c>
      <c r="B32" s="30" t="s">
        <v>1577</v>
      </c>
      <c r="C32" s="13">
        <f>A32</f>
        <v>2</v>
      </c>
      <c r="D32" s="19" t="b">
        <v>1</v>
      </c>
      <c r="E32" s="676" t="b">
        <v>0</v>
      </c>
      <c r="F32" s="676" t="s">
        <v>5065</v>
      </c>
    </row>
    <row r="33" spans="1:9" x14ac:dyDescent="0.3">
      <c r="A33" s="12">
        <v>3</v>
      </c>
      <c r="B33" s="30" t="s">
        <v>1578</v>
      </c>
      <c r="C33" s="13">
        <f>A33</f>
        <v>3</v>
      </c>
      <c r="D33" s="19" t="b">
        <v>0</v>
      </c>
      <c r="E33" s="676" t="b">
        <v>0</v>
      </c>
      <c r="F33" s="676" t="s">
        <v>5066</v>
      </c>
    </row>
    <row r="35" spans="1:9" x14ac:dyDescent="0.3">
      <c r="I35" s="705"/>
    </row>
    <row r="36" spans="1:9" x14ac:dyDescent="0.3">
      <c r="B36" s="11" t="s">
        <v>1583</v>
      </c>
    </row>
    <row r="37" spans="1:9" x14ac:dyDescent="0.3">
      <c r="A37" s="2" t="s">
        <v>429</v>
      </c>
      <c r="B37" s="2" t="s">
        <v>430</v>
      </c>
      <c r="C37" s="3" t="s">
        <v>431</v>
      </c>
      <c r="D37" s="2" t="s">
        <v>1594</v>
      </c>
      <c r="E37" s="29" t="s">
        <v>1595</v>
      </c>
      <c r="F37" s="2" t="s">
        <v>1611</v>
      </c>
    </row>
    <row r="38" spans="1:9" x14ac:dyDescent="0.3">
      <c r="A38" s="12">
        <v>1</v>
      </c>
      <c r="B38" s="30" t="s">
        <v>1584</v>
      </c>
      <c r="C38" s="13">
        <f t="shared" ref="C38:C47" si="1">A38</f>
        <v>1</v>
      </c>
      <c r="D38" s="19" t="b">
        <v>1</v>
      </c>
      <c r="E38" s="12">
        <v>3</v>
      </c>
      <c r="F38" t="b">
        <v>0</v>
      </c>
    </row>
    <row r="39" spans="1:9" x14ac:dyDescent="0.3">
      <c r="A39" s="12">
        <v>2</v>
      </c>
      <c r="B39" s="30" t="s">
        <v>1585</v>
      </c>
      <c r="C39" s="13">
        <f t="shared" si="1"/>
        <v>2</v>
      </c>
      <c r="D39" s="19" t="b">
        <v>1</v>
      </c>
      <c r="E39" s="12">
        <v>5</v>
      </c>
      <c r="F39" t="b">
        <v>1</v>
      </c>
    </row>
    <row r="40" spans="1:9" x14ac:dyDescent="0.3">
      <c r="A40" s="12">
        <v>3</v>
      </c>
      <c r="B40" s="30" t="s">
        <v>1586</v>
      </c>
      <c r="C40" s="13">
        <f t="shared" si="1"/>
        <v>3</v>
      </c>
      <c r="D40" s="19" t="b">
        <v>1</v>
      </c>
      <c r="E40" s="12">
        <v>6</v>
      </c>
      <c r="F40" t="b">
        <v>1</v>
      </c>
    </row>
    <row r="41" spans="1:9" x14ac:dyDescent="0.3">
      <c r="A41" s="12">
        <v>4</v>
      </c>
      <c r="B41" s="12" t="s">
        <v>1587</v>
      </c>
      <c r="C41" s="13">
        <f t="shared" si="1"/>
        <v>4</v>
      </c>
      <c r="D41" t="b">
        <v>1</v>
      </c>
      <c r="E41" s="12">
        <v>7</v>
      </c>
      <c r="F41" t="b">
        <v>1</v>
      </c>
    </row>
    <row r="42" spans="1:9" x14ac:dyDescent="0.3">
      <c r="A42" s="12">
        <v>5</v>
      </c>
      <c r="B42" s="12" t="s">
        <v>1588</v>
      </c>
      <c r="C42" s="13">
        <f t="shared" si="1"/>
        <v>5</v>
      </c>
      <c r="D42" t="b">
        <v>1</v>
      </c>
      <c r="E42" s="12">
        <v>8</v>
      </c>
      <c r="F42" t="b">
        <v>1</v>
      </c>
    </row>
    <row r="43" spans="1:9" x14ac:dyDescent="0.3">
      <c r="A43" s="12">
        <v>6</v>
      </c>
      <c r="B43" s="12" t="s">
        <v>1589</v>
      </c>
      <c r="C43" s="13">
        <f t="shared" si="1"/>
        <v>6</v>
      </c>
      <c r="D43" t="b">
        <v>0</v>
      </c>
      <c r="E43" s="12">
        <v>3</v>
      </c>
      <c r="F43" t="b">
        <v>0</v>
      </c>
    </row>
    <row r="44" spans="1:9" x14ac:dyDescent="0.3">
      <c r="A44" s="12">
        <v>7</v>
      </c>
      <c r="B44" s="12" t="s">
        <v>1590</v>
      </c>
      <c r="C44" s="13">
        <f t="shared" si="1"/>
        <v>7</v>
      </c>
      <c r="D44" t="b">
        <v>0</v>
      </c>
      <c r="E44" s="12">
        <v>5</v>
      </c>
      <c r="F44" t="b">
        <v>1</v>
      </c>
    </row>
    <row r="45" spans="1:9" x14ac:dyDescent="0.3">
      <c r="A45" s="12">
        <v>8</v>
      </c>
      <c r="B45" s="12" t="s">
        <v>1591</v>
      </c>
      <c r="C45" s="13">
        <f t="shared" si="1"/>
        <v>8</v>
      </c>
      <c r="D45" t="b">
        <v>0</v>
      </c>
      <c r="E45" s="12">
        <v>6</v>
      </c>
      <c r="F45" t="b">
        <v>1</v>
      </c>
    </row>
    <row r="46" spans="1:9" x14ac:dyDescent="0.3">
      <c r="A46" s="12">
        <v>9</v>
      </c>
      <c r="B46" s="12" t="s">
        <v>1592</v>
      </c>
      <c r="C46" s="13">
        <f t="shared" si="1"/>
        <v>9</v>
      </c>
      <c r="D46" t="b">
        <v>0</v>
      </c>
      <c r="E46" s="12">
        <v>7</v>
      </c>
      <c r="F46" t="b">
        <v>1</v>
      </c>
    </row>
    <row r="47" spans="1:9" x14ac:dyDescent="0.3">
      <c r="A47" s="12">
        <v>10</v>
      </c>
      <c r="B47" s="12" t="s">
        <v>1593</v>
      </c>
      <c r="C47" s="13">
        <f t="shared" si="1"/>
        <v>10</v>
      </c>
      <c r="D47" t="b">
        <v>0</v>
      </c>
      <c r="E47" s="12">
        <v>8</v>
      </c>
      <c r="F47" t="b">
        <v>1</v>
      </c>
    </row>
    <row r="49" spans="1:9" x14ac:dyDescent="0.3">
      <c r="I49" s="705"/>
    </row>
    <row r="51" spans="1:9" x14ac:dyDescent="0.3">
      <c r="B51" s="241" t="s">
        <v>5090</v>
      </c>
      <c r="F51" s="290" t="s">
        <v>3166</v>
      </c>
    </row>
    <row r="52" spans="1:9" x14ac:dyDescent="0.3">
      <c r="A52" s="2" t="s">
        <v>429</v>
      </c>
      <c r="B52" s="2" t="s">
        <v>430</v>
      </c>
      <c r="C52" s="3" t="s">
        <v>431</v>
      </c>
      <c r="D52" s="2" t="s">
        <v>2346</v>
      </c>
      <c r="E52" s="2" t="s">
        <v>2348</v>
      </c>
      <c r="F52" s="289" t="str">
        <f ca="1">IF(ID_INDEMN_AÑO1=1,"",IF(ID_INDEMN_AÑO1=2,", Indemnización Valor Factura primeros 2 años",IF(ID_INDEMN_AÑO1=3,"")))</f>
        <v/>
      </c>
    </row>
    <row r="53" spans="1:9" x14ac:dyDescent="0.3">
      <c r="A53" s="239">
        <v>1</v>
      </c>
      <c r="B53" s="30" t="s">
        <v>1568</v>
      </c>
      <c r="C53" s="13">
        <f>A53</f>
        <v>1</v>
      </c>
      <c r="D53" s="19">
        <v>4.4999999999999998E-2</v>
      </c>
      <c r="E53" s="240">
        <v>12</v>
      </c>
    </row>
    <row r="54" spans="1:9" x14ac:dyDescent="0.3">
      <c r="A54" s="239">
        <v>2</v>
      </c>
      <c r="B54" s="30" t="s">
        <v>1569</v>
      </c>
      <c r="C54" s="13">
        <f>A54</f>
        <v>2</v>
      </c>
      <c r="D54" s="19">
        <v>0.125</v>
      </c>
      <c r="E54" s="240">
        <v>24</v>
      </c>
    </row>
    <row r="55" spans="1:9" x14ac:dyDescent="0.3">
      <c r="A55" s="239"/>
      <c r="B55" s="30"/>
      <c r="C55" s="13"/>
      <c r="D55" s="19"/>
    </row>
    <row r="57" spans="1:9" x14ac:dyDescent="0.3">
      <c r="B57" s="1" t="s">
        <v>434</v>
      </c>
    </row>
    <row r="58" spans="1:9" x14ac:dyDescent="0.3">
      <c r="B58" s="14" t="s">
        <v>1580</v>
      </c>
      <c r="C58" s="15">
        <v>4.8300000000000001E-3</v>
      </c>
    </row>
    <row r="59" spans="1:9" x14ac:dyDescent="0.3">
      <c r="B59" s="14" t="s">
        <v>1581</v>
      </c>
      <c r="C59" s="15">
        <v>350</v>
      </c>
    </row>
    <row r="60" spans="1:9" x14ac:dyDescent="0.3">
      <c r="B60" s="14" t="s">
        <v>2102</v>
      </c>
      <c r="C60" s="15">
        <v>487.2</v>
      </c>
    </row>
    <row r="63" spans="1:9" x14ac:dyDescent="0.3">
      <c r="B63" s="292" t="s">
        <v>3173</v>
      </c>
    </row>
    <row r="64" spans="1:9" x14ac:dyDescent="0.3">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x14ac:dyDescent="0.3">
      <c r="B65" s="293" t="s">
        <v>3172</v>
      </c>
      <c r="C65" t="s">
        <v>3175</v>
      </c>
    </row>
    <row r="66" spans="1:6" x14ac:dyDescent="0.3">
      <c r="B66" s="293" t="s">
        <v>3174</v>
      </c>
      <c r="C66" t="s">
        <v>3176</v>
      </c>
    </row>
    <row r="68" spans="1:6" x14ac:dyDescent="0.3">
      <c r="B68" s="11" t="s">
        <v>1570</v>
      </c>
      <c r="F68" s="392"/>
    </row>
    <row r="69" spans="1:6" x14ac:dyDescent="0.3">
      <c r="A69" s="2" t="s">
        <v>429</v>
      </c>
      <c r="B69" s="2" t="s">
        <v>430</v>
      </c>
      <c r="C69" s="3" t="s">
        <v>431</v>
      </c>
      <c r="D69" s="2" t="s">
        <v>1571</v>
      </c>
      <c r="E69" s="290" t="s">
        <v>3166</v>
      </c>
      <c r="F69" s="393"/>
    </row>
    <row r="70" spans="1:6" x14ac:dyDescent="0.3">
      <c r="A70" s="391">
        <v>1</v>
      </c>
      <c r="B70" s="391" t="s">
        <v>1569</v>
      </c>
      <c r="C70" s="23">
        <f>A70</f>
        <v>1</v>
      </c>
      <c r="D70" t="b">
        <v>1</v>
      </c>
      <c r="E70" s="289" t="str">
        <f ca="1">IF(ID_SERVICIO_PREMIUM=1,"",".")</f>
        <v/>
      </c>
    </row>
    <row r="71" spans="1:6" x14ac:dyDescent="0.3">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677" customWidth="1"/>
    <col min="7" max="7" width="27.44140625" customWidth="1"/>
  </cols>
  <sheetData>
    <row r="1" spans="1:8" x14ac:dyDescent="0.3">
      <c r="A1" s="317" t="s">
        <v>2113</v>
      </c>
      <c r="B1" s="317" t="s">
        <v>4941</v>
      </c>
      <c r="C1" s="317" t="s">
        <v>1546</v>
      </c>
      <c r="D1" s="317" t="s">
        <v>4954</v>
      </c>
      <c r="E1" s="317" t="s">
        <v>1574</v>
      </c>
      <c r="F1" s="317" t="s">
        <v>5074</v>
      </c>
      <c r="G1" s="317" t="s">
        <v>5073</v>
      </c>
    </row>
    <row r="2" spans="1:8" ht="15" customHeight="1" x14ac:dyDescent="0.3">
      <c r="A2" s="599" t="s">
        <v>5067</v>
      </c>
      <c r="B2" s="599" t="s">
        <v>4945</v>
      </c>
      <c r="C2" s="684" t="s">
        <v>4950</v>
      </c>
      <c r="D2" s="599" t="s">
        <v>1627</v>
      </c>
      <c r="E2" s="599" t="s">
        <v>5064</v>
      </c>
      <c r="F2" s="599">
        <v>1</v>
      </c>
      <c r="G2" s="685" t="s">
        <v>5734</v>
      </c>
      <c r="H2" s="677" t="s">
        <v>488</v>
      </c>
    </row>
    <row r="3" spans="1:8" x14ac:dyDescent="0.3">
      <c r="A3" s="599" t="s">
        <v>5067</v>
      </c>
      <c r="B3" s="599" t="s">
        <v>4945</v>
      </c>
      <c r="C3" s="684" t="s">
        <v>4950</v>
      </c>
      <c r="D3" s="599" t="s">
        <v>1627</v>
      </c>
      <c r="E3" s="599" t="s">
        <v>5065</v>
      </c>
      <c r="F3" s="599">
        <v>2</v>
      </c>
      <c r="G3" s="685" t="s">
        <v>5735</v>
      </c>
      <c r="H3" s="677" t="s">
        <v>488</v>
      </c>
    </row>
    <row r="4" spans="1:8" x14ac:dyDescent="0.3">
      <c r="A4" s="599" t="s">
        <v>5067</v>
      </c>
      <c r="B4" s="599" t="s">
        <v>4945</v>
      </c>
      <c r="C4" s="684" t="s">
        <v>4950</v>
      </c>
      <c r="D4" s="599" t="s">
        <v>1627</v>
      </c>
      <c r="E4" s="599" t="s">
        <v>5066</v>
      </c>
      <c r="F4" s="599">
        <v>3</v>
      </c>
      <c r="G4" s="685" t="s">
        <v>5736</v>
      </c>
      <c r="H4" s="677" t="s">
        <v>488</v>
      </c>
    </row>
    <row r="5" spans="1:8" ht="15" customHeight="1" x14ac:dyDescent="0.3">
      <c r="A5" s="599" t="s">
        <v>5067</v>
      </c>
      <c r="B5" s="599" t="s">
        <v>4945</v>
      </c>
      <c r="C5" s="684" t="s">
        <v>4950</v>
      </c>
      <c r="D5" s="599" t="s">
        <v>1628</v>
      </c>
      <c r="E5" s="599" t="s">
        <v>5064</v>
      </c>
      <c r="F5" s="599">
        <v>4</v>
      </c>
      <c r="G5" s="808" t="s">
        <v>5737</v>
      </c>
      <c r="H5" s="677" t="s">
        <v>488</v>
      </c>
    </row>
    <row r="6" spans="1:8" x14ac:dyDescent="0.3">
      <c r="A6" s="599" t="s">
        <v>5067</v>
      </c>
      <c r="B6" s="599" t="s">
        <v>4945</v>
      </c>
      <c r="C6" s="684" t="s">
        <v>4950</v>
      </c>
      <c r="D6" s="599" t="s">
        <v>1628</v>
      </c>
      <c r="E6" s="599" t="s">
        <v>5065</v>
      </c>
      <c r="F6" s="599">
        <v>5</v>
      </c>
      <c r="G6" s="685" t="s">
        <v>5738</v>
      </c>
      <c r="H6" s="677" t="s">
        <v>488</v>
      </c>
    </row>
    <row r="7" spans="1:8" x14ac:dyDescent="0.3">
      <c r="A7" s="599" t="s">
        <v>5067</v>
      </c>
      <c r="B7" s="599" t="s">
        <v>4945</v>
      </c>
      <c r="C7" s="684" t="s">
        <v>4950</v>
      </c>
      <c r="D7" s="599" t="s">
        <v>1628</v>
      </c>
      <c r="E7" s="599" t="s">
        <v>5066</v>
      </c>
      <c r="F7" s="599">
        <v>6</v>
      </c>
      <c r="G7" s="685" t="s">
        <v>5739</v>
      </c>
      <c r="H7" s="677" t="s">
        <v>488</v>
      </c>
    </row>
    <row r="8" spans="1:8" ht="15" customHeight="1" x14ac:dyDescent="0.3">
      <c r="A8" s="678"/>
      <c r="B8" s="678"/>
      <c r="C8" s="678"/>
      <c r="D8" s="678"/>
      <c r="E8" s="678"/>
      <c r="F8" s="678"/>
      <c r="G8" s="686"/>
      <c r="H8" s="677" t="s">
        <v>488</v>
      </c>
    </row>
    <row r="9" spans="1:8" x14ac:dyDescent="0.3">
      <c r="A9" s="599" t="s">
        <v>5067</v>
      </c>
      <c r="B9" s="599" t="s">
        <v>4945</v>
      </c>
      <c r="C9" s="684" t="s">
        <v>4951</v>
      </c>
      <c r="D9" s="599" t="s">
        <v>1627</v>
      </c>
      <c r="E9" s="599" t="s">
        <v>5064</v>
      </c>
      <c r="F9" s="599">
        <v>7</v>
      </c>
      <c r="G9" s="685" t="s">
        <v>5740</v>
      </c>
      <c r="H9" s="677" t="s">
        <v>488</v>
      </c>
    </row>
    <row r="10" spans="1:8" x14ac:dyDescent="0.3">
      <c r="A10" s="599" t="s">
        <v>5067</v>
      </c>
      <c r="B10" s="599" t="s">
        <v>4945</v>
      </c>
      <c r="C10" s="684" t="s">
        <v>4951</v>
      </c>
      <c r="D10" s="599" t="s">
        <v>1627</v>
      </c>
      <c r="E10" s="599" t="s">
        <v>5065</v>
      </c>
      <c r="F10" s="599">
        <v>8</v>
      </c>
      <c r="G10" s="685" t="s">
        <v>5741</v>
      </c>
      <c r="H10" s="677" t="s">
        <v>488</v>
      </c>
    </row>
    <row r="11" spans="1:8" x14ac:dyDescent="0.3">
      <c r="A11" s="599" t="s">
        <v>5067</v>
      </c>
      <c r="B11" s="599" t="s">
        <v>4945</v>
      </c>
      <c r="C11" s="684" t="s">
        <v>4951</v>
      </c>
      <c r="D11" s="599" t="s">
        <v>1627</v>
      </c>
      <c r="E11" s="599" t="s">
        <v>5066</v>
      </c>
      <c r="F11" s="599">
        <v>9</v>
      </c>
      <c r="G11" s="685" t="s">
        <v>5742</v>
      </c>
      <c r="H11" s="677" t="s">
        <v>488</v>
      </c>
    </row>
    <row r="12" spans="1:8" x14ac:dyDescent="0.3">
      <c r="A12" s="599" t="s">
        <v>5067</v>
      </c>
      <c r="B12" s="599" t="s">
        <v>4945</v>
      </c>
      <c r="C12" s="684" t="s">
        <v>4951</v>
      </c>
      <c r="D12" s="599" t="s">
        <v>1628</v>
      </c>
      <c r="E12" s="599" t="s">
        <v>5064</v>
      </c>
      <c r="F12" s="599">
        <v>10</v>
      </c>
      <c r="G12" s="808" t="s">
        <v>5743</v>
      </c>
      <c r="H12" s="677" t="s">
        <v>488</v>
      </c>
    </row>
    <row r="13" spans="1:8" x14ac:dyDescent="0.3">
      <c r="A13" s="599" t="s">
        <v>5067</v>
      </c>
      <c r="B13" s="599" t="s">
        <v>4945</v>
      </c>
      <c r="C13" s="684" t="s">
        <v>4951</v>
      </c>
      <c r="D13" s="599" t="s">
        <v>1628</v>
      </c>
      <c r="E13" s="599" t="s">
        <v>5065</v>
      </c>
      <c r="F13" s="599">
        <v>11</v>
      </c>
      <c r="G13" s="685" t="s">
        <v>5744</v>
      </c>
      <c r="H13" s="677" t="s">
        <v>488</v>
      </c>
    </row>
    <row r="14" spans="1:8" x14ac:dyDescent="0.3">
      <c r="A14" s="599" t="s">
        <v>5067</v>
      </c>
      <c r="B14" s="599" t="s">
        <v>4945</v>
      </c>
      <c r="C14" s="684" t="s">
        <v>4951</v>
      </c>
      <c r="D14" s="599" t="s">
        <v>1628</v>
      </c>
      <c r="E14" s="599" t="s">
        <v>5066</v>
      </c>
      <c r="F14" s="599">
        <v>12</v>
      </c>
      <c r="G14" s="685" t="s">
        <v>5745</v>
      </c>
      <c r="H14" s="677" t="s">
        <v>488</v>
      </c>
    </row>
    <row r="15" spans="1:8" x14ac:dyDescent="0.3">
      <c r="A15" s="678"/>
      <c r="B15" s="678"/>
      <c r="C15" s="678"/>
      <c r="D15" s="678"/>
      <c r="E15" s="678"/>
      <c r="F15" s="678"/>
      <c r="G15" s="686"/>
      <c r="H15" s="677" t="s">
        <v>488</v>
      </c>
    </row>
    <row r="16" spans="1:8" x14ac:dyDescent="0.3">
      <c r="A16" s="599" t="s">
        <v>5067</v>
      </c>
      <c r="B16" s="684" t="s">
        <v>4946</v>
      </c>
      <c r="C16" s="599" t="s">
        <v>4951</v>
      </c>
      <c r="D16" s="599" t="s">
        <v>1627</v>
      </c>
      <c r="E16" s="599" t="s">
        <v>5064</v>
      </c>
      <c r="F16" s="599">
        <v>13</v>
      </c>
      <c r="G16" s="685" t="s">
        <v>5746</v>
      </c>
      <c r="H16" s="677" t="s">
        <v>488</v>
      </c>
    </row>
    <row r="17" spans="1:8" x14ac:dyDescent="0.3">
      <c r="A17" s="599" t="s">
        <v>5067</v>
      </c>
      <c r="B17" s="684" t="s">
        <v>4946</v>
      </c>
      <c r="C17" s="599" t="s">
        <v>4951</v>
      </c>
      <c r="D17" s="599" t="s">
        <v>1628</v>
      </c>
      <c r="E17" s="599" t="s">
        <v>5064</v>
      </c>
      <c r="F17" s="599">
        <v>14</v>
      </c>
      <c r="G17" s="690" t="s">
        <v>5747</v>
      </c>
      <c r="H17" s="677" t="s">
        <v>488</v>
      </c>
    </row>
    <row r="18" spans="1:8" x14ac:dyDescent="0.3">
      <c r="A18" s="678"/>
      <c r="B18" s="678"/>
      <c r="C18" s="678"/>
      <c r="D18" s="678"/>
      <c r="E18" s="678"/>
      <c r="F18" s="678"/>
      <c r="G18" s="686"/>
      <c r="H18" s="677" t="s">
        <v>488</v>
      </c>
    </row>
    <row r="19" spans="1:8" x14ac:dyDescent="0.3">
      <c r="A19" s="687" t="s">
        <v>5068</v>
      </c>
      <c r="B19" s="688" t="s">
        <v>4945</v>
      </c>
      <c r="C19" s="688" t="s">
        <v>4950</v>
      </c>
      <c r="D19" s="688" t="s">
        <v>1627</v>
      </c>
      <c r="E19" s="688" t="s">
        <v>5064</v>
      </c>
      <c r="F19" s="688">
        <v>15</v>
      </c>
      <c r="G19" s="689" t="s">
        <v>5748</v>
      </c>
      <c r="H19" s="677" t="s">
        <v>488</v>
      </c>
    </row>
    <row r="20" spans="1:8" x14ac:dyDescent="0.3">
      <c r="A20" s="687" t="s">
        <v>5068</v>
      </c>
      <c r="B20" s="688" t="s">
        <v>4945</v>
      </c>
      <c r="C20" s="688" t="s">
        <v>4950</v>
      </c>
      <c r="D20" s="688" t="s">
        <v>1627</v>
      </c>
      <c r="E20" s="688" t="s">
        <v>5065</v>
      </c>
      <c r="F20" s="688">
        <v>16</v>
      </c>
      <c r="G20" s="689" t="s">
        <v>5749</v>
      </c>
      <c r="H20" s="677" t="s">
        <v>488</v>
      </c>
    </row>
    <row r="21" spans="1:8" x14ac:dyDescent="0.3">
      <c r="A21" s="687" t="s">
        <v>5068</v>
      </c>
      <c r="B21" s="688" t="s">
        <v>4945</v>
      </c>
      <c r="C21" s="688" t="s">
        <v>4950</v>
      </c>
      <c r="D21" s="688" t="s">
        <v>1627</v>
      </c>
      <c r="E21" s="688" t="s">
        <v>5066</v>
      </c>
      <c r="F21" s="688">
        <v>17</v>
      </c>
      <c r="G21" s="689" t="s">
        <v>5750</v>
      </c>
      <c r="H21" s="677" t="s">
        <v>488</v>
      </c>
    </row>
    <row r="22" spans="1:8" x14ac:dyDescent="0.3">
      <c r="A22" s="687" t="s">
        <v>5068</v>
      </c>
      <c r="B22" s="688" t="s">
        <v>4945</v>
      </c>
      <c r="C22" s="688" t="s">
        <v>4950</v>
      </c>
      <c r="D22" s="688" t="s">
        <v>1628</v>
      </c>
      <c r="E22" s="688" t="s">
        <v>5064</v>
      </c>
      <c r="F22" s="688">
        <v>18</v>
      </c>
      <c r="G22" s="809" t="s">
        <v>5737</v>
      </c>
      <c r="H22" s="677" t="s">
        <v>488</v>
      </c>
    </row>
    <row r="23" spans="1:8" x14ac:dyDescent="0.3">
      <c r="A23" s="687" t="s">
        <v>5068</v>
      </c>
      <c r="B23" s="688" t="s">
        <v>4945</v>
      </c>
      <c r="C23" s="688" t="s">
        <v>4950</v>
      </c>
      <c r="D23" s="688" t="s">
        <v>1628</v>
      </c>
      <c r="E23" s="688" t="s">
        <v>5065</v>
      </c>
      <c r="F23" s="688">
        <v>19</v>
      </c>
      <c r="G23" s="689" t="s">
        <v>5751</v>
      </c>
      <c r="H23" s="677" t="s">
        <v>488</v>
      </c>
    </row>
    <row r="24" spans="1:8" x14ac:dyDescent="0.3">
      <c r="A24" s="687" t="s">
        <v>5068</v>
      </c>
      <c r="B24" s="688" t="s">
        <v>4945</v>
      </c>
      <c r="C24" s="688" t="s">
        <v>4950</v>
      </c>
      <c r="D24" s="688" t="s">
        <v>1628</v>
      </c>
      <c r="E24" s="688" t="s">
        <v>5066</v>
      </c>
      <c r="F24" s="688">
        <v>20</v>
      </c>
      <c r="G24" s="689" t="s">
        <v>5752</v>
      </c>
      <c r="H24" s="677" t="s">
        <v>488</v>
      </c>
    </row>
    <row r="27" spans="1:8" x14ac:dyDescent="0.3">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heetViews>
  <sheetFormatPr defaultColWidth="9.109375" defaultRowHeight="14.4" x14ac:dyDescent="0.3"/>
  <cols>
    <col min="1" max="1" width="23" customWidth="1"/>
    <col min="2" max="2" width="13.109375" customWidth="1"/>
    <col min="3" max="3" width="27.109375" customWidth="1"/>
    <col min="4" max="4" width="22.109375" customWidth="1"/>
    <col min="5" max="5" width="2.44140625" customWidth="1"/>
    <col min="6" max="6" width="12.109375" customWidth="1"/>
    <col min="7" max="7" width="13.88671875" customWidth="1"/>
    <col min="8" max="8" width="29.109375" bestFit="1" customWidth="1"/>
    <col min="9" max="9" width="11.5546875" bestFit="1" customWidth="1"/>
    <col min="10" max="10" width="1.6640625" customWidth="1"/>
    <col min="11" max="11" width="22" bestFit="1" customWidth="1"/>
  </cols>
  <sheetData>
    <row r="1" spans="1:8" x14ac:dyDescent="0.3">
      <c r="A1" s="277" t="s">
        <v>2113</v>
      </c>
      <c r="F1" s="277" t="s">
        <v>5080</v>
      </c>
    </row>
    <row r="2" spans="1:8" s="501" customFormat="1" x14ac:dyDescent="0.3">
      <c r="A2" s="675"/>
      <c r="B2" s="675"/>
      <c r="D2"/>
      <c r="F2"/>
      <c r="G2"/>
      <c r="H2"/>
    </row>
    <row r="3" spans="1:8" x14ac:dyDescent="0.3">
      <c r="A3" s="317" t="s">
        <v>2113</v>
      </c>
      <c r="B3" s="317" t="s">
        <v>4944</v>
      </c>
      <c r="F3" s="317" t="s">
        <v>2113</v>
      </c>
      <c r="G3" s="317" t="s">
        <v>4941</v>
      </c>
      <c r="H3" s="317" t="s">
        <v>5078</v>
      </c>
    </row>
    <row r="4" spans="1:8" x14ac:dyDescent="0.3">
      <c r="A4" s="676" t="s">
        <v>4937</v>
      </c>
      <c r="B4" s="676" t="s">
        <v>5067</v>
      </c>
      <c r="F4" s="692" t="s">
        <v>5067</v>
      </c>
      <c r="G4" s="692" t="s">
        <v>4945</v>
      </c>
      <c r="H4" s="89" t="s">
        <v>4220</v>
      </c>
    </row>
    <row r="5" spans="1:8" x14ac:dyDescent="0.3">
      <c r="A5" s="676" t="s">
        <v>5069</v>
      </c>
      <c r="B5" s="676" t="s">
        <v>5068</v>
      </c>
      <c r="F5" s="692" t="s">
        <v>5067</v>
      </c>
      <c r="G5" s="692" t="s">
        <v>4946</v>
      </c>
      <c r="H5" s="89" t="s">
        <v>5076</v>
      </c>
    </row>
    <row r="6" spans="1:8" x14ac:dyDescent="0.3">
      <c r="F6" s="692" t="s">
        <v>5068</v>
      </c>
      <c r="G6" s="692" t="s">
        <v>4945</v>
      </c>
      <c r="H6" s="89" t="s">
        <v>5077</v>
      </c>
    </row>
    <row r="7" spans="1:8" x14ac:dyDescent="0.3">
      <c r="A7" s="277" t="s">
        <v>4941</v>
      </c>
      <c r="C7" s="898"/>
    </row>
    <row r="8" spans="1:8" x14ac:dyDescent="0.3">
      <c r="F8" s="277" t="s">
        <v>5086</v>
      </c>
    </row>
    <row r="9" spans="1:8" x14ac:dyDescent="0.3">
      <c r="A9" s="317" t="s">
        <v>4941</v>
      </c>
      <c r="B9" s="317" t="s">
        <v>4944</v>
      </c>
    </row>
    <row r="10" spans="1:8" x14ac:dyDescent="0.3">
      <c r="A10" s="613" t="s">
        <v>4942</v>
      </c>
      <c r="B10" s="558" t="s">
        <v>4945</v>
      </c>
      <c r="F10" s="317" t="s">
        <v>4941</v>
      </c>
      <c r="G10" s="317" t="s">
        <v>4948</v>
      </c>
      <c r="H10" s="317" t="s">
        <v>5084</v>
      </c>
    </row>
    <row r="11" spans="1:8" x14ac:dyDescent="0.3">
      <c r="A11" s="613" t="s">
        <v>4943</v>
      </c>
      <c r="B11" s="558" t="s">
        <v>4946</v>
      </c>
      <c r="F11" s="156" t="s">
        <v>4946</v>
      </c>
      <c r="G11" s="692" t="s">
        <v>4951</v>
      </c>
      <c r="H11" s="156" t="s">
        <v>4943</v>
      </c>
    </row>
    <row r="12" spans="1:8" x14ac:dyDescent="0.3">
      <c r="G12" s="675"/>
    </row>
    <row r="13" spans="1:8" s="501" customFormat="1" x14ac:dyDescent="0.3">
      <c r="A13" s="277" t="s">
        <v>4948</v>
      </c>
      <c r="B13"/>
      <c r="C13"/>
      <c r="D13"/>
    </row>
    <row r="14" spans="1:8" s="501" customFormat="1" x14ac:dyDescent="0.3">
      <c r="A14"/>
      <c r="B14"/>
      <c r="C14" s="888"/>
      <c r="D14"/>
    </row>
    <row r="15" spans="1:8" x14ac:dyDescent="0.3">
      <c r="A15" s="317" t="s">
        <v>4948</v>
      </c>
      <c r="B15" s="317" t="s">
        <v>4944</v>
      </c>
      <c r="C15" s="317" t="s">
        <v>3635</v>
      </c>
      <c r="D15" s="317" t="s">
        <v>11020</v>
      </c>
    </row>
    <row r="16" spans="1:8" x14ac:dyDescent="0.3">
      <c r="A16" s="558" t="s">
        <v>3157</v>
      </c>
      <c r="B16" s="558" t="s">
        <v>4950</v>
      </c>
      <c r="C16" s="56">
        <v>2.5000000000000001E-2</v>
      </c>
      <c r="D16" s="56" t="b">
        <v>0</v>
      </c>
    </row>
    <row r="17" spans="1:4" x14ac:dyDescent="0.3">
      <c r="A17" s="558" t="s">
        <v>4949</v>
      </c>
      <c r="B17" s="558" t="s">
        <v>4951</v>
      </c>
      <c r="C17" s="56">
        <v>2.5000000000000001E-2</v>
      </c>
      <c r="D17" s="56" t="b">
        <v>0</v>
      </c>
    </row>
    <row r="18" spans="1:4" x14ac:dyDescent="0.3">
      <c r="A18" s="913" t="s">
        <v>11031</v>
      </c>
      <c r="B18" s="876" t="s">
        <v>11010</v>
      </c>
      <c r="C18" s="56">
        <v>0.01</v>
      </c>
      <c r="D18" s="56" t="b">
        <v>1</v>
      </c>
    </row>
    <row r="21" spans="1:4" x14ac:dyDescent="0.3">
      <c r="A21" s="277" t="s">
        <v>5000</v>
      </c>
    </row>
    <row r="22" spans="1:4" x14ac:dyDescent="0.3">
      <c r="A22" s="614"/>
      <c r="B22" s="614"/>
      <c r="C22" s="614"/>
    </row>
    <row r="23" spans="1:4" x14ac:dyDescent="0.3">
      <c r="A23" s="317" t="s">
        <v>5000</v>
      </c>
      <c r="B23" s="317" t="s">
        <v>4944</v>
      </c>
      <c r="C23" s="614"/>
    </row>
    <row r="24" spans="1:4" x14ac:dyDescent="0.3">
      <c r="A24" s="615" t="s">
        <v>5001</v>
      </c>
      <c r="B24" s="615" t="s">
        <v>5003</v>
      </c>
      <c r="C24" s="614"/>
    </row>
    <row r="25" spans="1:4" x14ac:dyDescent="0.3">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277" t="s">
        <v>3333</v>
      </c>
    </row>
    <row r="4" spans="1:1" x14ac:dyDescent="0.3">
      <c r="A4" s="268"/>
    </row>
    <row r="5" spans="1:1" x14ac:dyDescent="0.3">
      <c r="A5" s="268"/>
    </row>
    <row r="6" spans="1:1" x14ac:dyDescent="0.3">
      <c r="A6" s="268"/>
    </row>
    <row r="7" spans="1:1" x14ac:dyDescent="0.3">
      <c r="A7" s="268"/>
    </row>
    <row r="8" spans="1:1" x14ac:dyDescent="0.3">
      <c r="A8" s="268"/>
    </row>
    <row r="9" spans="1:1" x14ac:dyDescent="0.3">
      <c r="A9" s="268"/>
    </row>
    <row r="10" spans="1:1" x14ac:dyDescent="0.3">
      <c r="A10" s="268"/>
    </row>
    <row r="11" spans="1:1" x14ac:dyDescent="0.3">
      <c r="A11" s="268"/>
    </row>
    <row r="12" spans="1:1" x14ac:dyDescent="0.3">
      <c r="A12" s="268"/>
    </row>
    <row r="13" spans="1:1" x14ac:dyDescent="0.3">
      <c r="A13" s="268"/>
    </row>
    <row r="14" spans="1:1" x14ac:dyDescent="0.3">
      <c r="A14" s="268"/>
    </row>
    <row r="15" spans="1:1" x14ac:dyDescent="0.3">
      <c r="A15" s="268"/>
    </row>
    <row r="16" spans="1:1" x14ac:dyDescent="0.3">
      <c r="A16" s="268"/>
    </row>
    <row r="17" spans="1:5" x14ac:dyDescent="0.3">
      <c r="A17" s="268"/>
    </row>
    <row r="18" spans="1:5" x14ac:dyDescent="0.3">
      <c r="A18" s="268"/>
    </row>
    <row r="19" spans="1:5" x14ac:dyDescent="0.3">
      <c r="A19" s="268"/>
    </row>
    <row r="20" spans="1:5" x14ac:dyDescent="0.3">
      <c r="A20" s="268"/>
      <c r="E20" s="299"/>
    </row>
    <row r="21" spans="1:5" x14ac:dyDescent="0.3">
      <c r="A21" s="268"/>
    </row>
    <row r="22" spans="1:5" x14ac:dyDescent="0.3">
      <c r="A22" s="268"/>
    </row>
    <row r="23" spans="1:5" x14ac:dyDescent="0.3">
      <c r="A23" s="268"/>
    </row>
    <row r="24" spans="1:5" x14ac:dyDescent="0.3">
      <c r="A24" s="268"/>
    </row>
    <row r="25" spans="1:5" x14ac:dyDescent="0.3">
      <c r="A25" s="268"/>
    </row>
    <row r="26" spans="1:5" x14ac:dyDescent="0.3">
      <c r="A26" s="268"/>
    </row>
    <row r="27" spans="1:5" x14ac:dyDescent="0.3">
      <c r="A27" s="268"/>
    </row>
    <row r="28" spans="1:5" x14ac:dyDescent="0.3">
      <c r="A28" s="268"/>
    </row>
    <row r="29" spans="1:5" x14ac:dyDescent="0.3">
      <c r="A29" s="268"/>
    </row>
    <row r="30" spans="1:5" x14ac:dyDescent="0.3">
      <c r="A30" s="268"/>
    </row>
    <row r="31" spans="1:5" x14ac:dyDescent="0.3">
      <c r="A31" s="268"/>
    </row>
    <row r="32" spans="1:5" x14ac:dyDescent="0.3">
      <c r="A32" s="268"/>
    </row>
    <row r="33" spans="1:1" x14ac:dyDescent="0.3">
      <c r="A33" s="268"/>
    </row>
    <row r="34" spans="1:1" x14ac:dyDescent="0.3">
      <c r="A34" s="268"/>
    </row>
    <row r="35" spans="1:1" x14ac:dyDescent="0.3">
      <c r="A35" s="268"/>
    </row>
    <row r="36" spans="1:1" x14ac:dyDescent="0.3">
      <c r="A36" s="268"/>
    </row>
    <row r="37" spans="1:1" x14ac:dyDescent="0.3">
      <c r="A37" s="268"/>
    </row>
    <row r="38" spans="1:1" x14ac:dyDescent="0.3">
      <c r="A38" s="268"/>
    </row>
    <row r="39" spans="1:1" x14ac:dyDescent="0.3">
      <c r="A39" s="268"/>
    </row>
    <row r="40" spans="1:1" x14ac:dyDescent="0.3">
      <c r="A40" s="268"/>
    </row>
    <row r="41" spans="1:1" x14ac:dyDescent="0.3">
      <c r="A41" s="268"/>
    </row>
    <row r="42" spans="1:1" x14ac:dyDescent="0.3">
      <c r="A42" s="268"/>
    </row>
    <row r="43" spans="1:1" x14ac:dyDescent="0.3">
      <c r="A43" s="268"/>
    </row>
    <row r="44" spans="1:1" x14ac:dyDescent="0.3">
      <c r="A44" s="268"/>
    </row>
    <row r="45" spans="1:1" x14ac:dyDescent="0.3">
      <c r="A45" s="268"/>
    </row>
    <row r="46" spans="1:1" x14ac:dyDescent="0.3">
      <c r="A46" s="268"/>
    </row>
    <row r="47" spans="1:1" x14ac:dyDescent="0.3">
      <c r="A47" s="268"/>
    </row>
    <row r="48" spans="1:1" x14ac:dyDescent="0.3">
      <c r="A48" s="268"/>
    </row>
    <row r="49" spans="1:4" x14ac:dyDescent="0.3">
      <c r="A49" s="268"/>
    </row>
    <row r="50" spans="1:4" x14ac:dyDescent="0.3">
      <c r="A50" s="268"/>
    </row>
    <row r="51" spans="1:4" x14ac:dyDescent="0.3">
      <c r="A51" s="268"/>
    </row>
    <row r="52" spans="1:4" x14ac:dyDescent="0.3">
      <c r="A52" s="268"/>
    </row>
    <row r="53" spans="1:4" x14ac:dyDescent="0.3">
      <c r="A53" s="268"/>
    </row>
    <row r="54" spans="1:4" x14ac:dyDescent="0.3">
      <c r="A54" s="268"/>
    </row>
    <row r="55" spans="1:4" x14ac:dyDescent="0.3">
      <c r="A55" s="268"/>
    </row>
    <row r="56" spans="1:4" x14ac:dyDescent="0.3">
      <c r="A56" s="268"/>
    </row>
    <row r="57" spans="1:4" x14ac:dyDescent="0.3">
      <c r="A57" s="268"/>
    </row>
    <row r="58" spans="1:4" x14ac:dyDescent="0.3">
      <c r="A58" s="268"/>
    </row>
    <row r="59" spans="1:4" x14ac:dyDescent="0.3">
      <c r="A59" s="268"/>
    </row>
    <row r="60" spans="1:4" x14ac:dyDescent="0.3">
      <c r="A60" s="268"/>
      <c r="D60" s="461"/>
    </row>
    <row r="61" spans="1:4" x14ac:dyDescent="0.3">
      <c r="A61" s="268"/>
    </row>
    <row r="62" spans="1:4" x14ac:dyDescent="0.3">
      <c r="A62" s="268"/>
    </row>
    <row r="63" spans="1:4" x14ac:dyDescent="0.3">
      <c r="A63" s="268"/>
    </row>
    <row r="64" spans="1:4" x14ac:dyDescent="0.3">
      <c r="A64" s="268"/>
      <c r="D64" s="461"/>
    </row>
    <row r="65" spans="1:4" x14ac:dyDescent="0.3">
      <c r="A65" s="268"/>
      <c r="D65" s="461"/>
    </row>
    <row r="66" spans="1:4" x14ac:dyDescent="0.3">
      <c r="A66" s="268"/>
    </row>
    <row r="67" spans="1:4" x14ac:dyDescent="0.3">
      <c r="A67" s="268"/>
    </row>
    <row r="68" spans="1:4" x14ac:dyDescent="0.3">
      <c r="A68" s="268"/>
    </row>
    <row r="69" spans="1:4" x14ac:dyDescent="0.3">
      <c r="A69" s="268"/>
    </row>
    <row r="70" spans="1:4" x14ac:dyDescent="0.3">
      <c r="A70" s="268"/>
    </row>
    <row r="71" spans="1:4" x14ac:dyDescent="0.3">
      <c r="A71" s="268"/>
    </row>
    <row r="72" spans="1:4" x14ac:dyDescent="0.3">
      <c r="A72" s="268"/>
    </row>
    <row r="73" spans="1:4" x14ac:dyDescent="0.3">
      <c r="A73" s="268"/>
    </row>
    <row r="74" spans="1:4" x14ac:dyDescent="0.3">
      <c r="A74" s="268"/>
    </row>
    <row r="75" spans="1:4" x14ac:dyDescent="0.3">
      <c r="A75" s="268"/>
    </row>
    <row r="76" spans="1:4" x14ac:dyDescent="0.3">
      <c r="A76" s="268"/>
    </row>
    <row r="77" spans="1:4" x14ac:dyDescent="0.3">
      <c r="A77" s="268"/>
    </row>
    <row r="78" spans="1:4" x14ac:dyDescent="0.3">
      <c r="A78" s="268"/>
    </row>
    <row r="79" spans="1:4" x14ac:dyDescent="0.3">
      <c r="A79" s="268"/>
    </row>
    <row r="80" spans="1:4" x14ac:dyDescent="0.3">
      <c r="A80" s="268"/>
    </row>
    <row r="81" spans="1:1" x14ac:dyDescent="0.3">
      <c r="A81" s="268"/>
    </row>
    <row r="82" spans="1:1" x14ac:dyDescent="0.3">
      <c r="A82" s="268"/>
    </row>
    <row r="83" spans="1:1" x14ac:dyDescent="0.3">
      <c r="A83" s="268"/>
    </row>
    <row r="84" spans="1:1" x14ac:dyDescent="0.3">
      <c r="A84" s="268"/>
    </row>
    <row r="85" spans="1:1" x14ac:dyDescent="0.3">
      <c r="A85" s="268"/>
    </row>
    <row r="86" spans="1:1" x14ac:dyDescent="0.3">
      <c r="A86" s="268"/>
    </row>
    <row r="95" spans="1:1" x14ac:dyDescent="0.3">
      <c r="A95" s="268"/>
    </row>
    <row r="96" spans="1:1" x14ac:dyDescent="0.3">
      <c r="A96" s="268"/>
    </row>
    <row r="97" spans="1:4" x14ac:dyDescent="0.3">
      <c r="A97" s="268"/>
    </row>
    <row r="98" spans="1:4" x14ac:dyDescent="0.3">
      <c r="A98" s="268"/>
    </row>
    <row r="99" spans="1:4" x14ac:dyDescent="0.3">
      <c r="A99" s="268"/>
    </row>
    <row r="100" spans="1:4" x14ac:dyDescent="0.3">
      <c r="A100" s="268"/>
    </row>
    <row r="101" spans="1:4" x14ac:dyDescent="0.3">
      <c r="A101" s="268"/>
    </row>
    <row r="102" spans="1:4" x14ac:dyDescent="0.3">
      <c r="A102" s="268"/>
    </row>
    <row r="103" spans="1:4" x14ac:dyDescent="0.3">
      <c r="A103" s="268"/>
    </row>
    <row r="104" spans="1:4" x14ac:dyDescent="0.3">
      <c r="A104" s="268"/>
    </row>
    <row r="105" spans="1:4" x14ac:dyDescent="0.3">
      <c r="A105" s="268"/>
    </row>
    <row r="106" spans="1:4" x14ac:dyDescent="0.3">
      <c r="A106" s="268"/>
    </row>
    <row r="107" spans="1:4" x14ac:dyDescent="0.3">
      <c r="A107" s="268"/>
      <c r="D107" s="501"/>
    </row>
    <row r="108" spans="1:4" x14ac:dyDescent="0.3">
      <c r="A108" s="268"/>
      <c r="B108" s="501"/>
      <c r="C108" s="501"/>
      <c r="D108" s="461"/>
    </row>
    <row r="109" spans="1:4" x14ac:dyDescent="0.3">
      <c r="A109" s="268"/>
      <c r="B109" s="501"/>
      <c r="C109" s="501"/>
      <c r="D109" s="461"/>
    </row>
    <row r="110" spans="1:4" x14ac:dyDescent="0.3">
      <c r="A110" s="268"/>
      <c r="B110" s="501"/>
      <c r="C110" s="501"/>
      <c r="D110" s="461"/>
    </row>
    <row r="111" spans="1:4" x14ac:dyDescent="0.3">
      <c r="A111" s="268"/>
    </row>
    <row r="112" spans="1:4" x14ac:dyDescent="0.3">
      <c r="A112" s="268"/>
    </row>
    <row r="113" spans="1:4" x14ac:dyDescent="0.3">
      <c r="A113" s="268"/>
    </row>
    <row r="114" spans="1:4" x14ac:dyDescent="0.3">
      <c r="A114" s="268"/>
      <c r="B114" s="501"/>
      <c r="C114" s="501"/>
      <c r="D114" s="501"/>
    </row>
    <row r="115" spans="1:4" x14ac:dyDescent="0.3">
      <c r="A115" s="268"/>
    </row>
    <row r="116" spans="1:4" x14ac:dyDescent="0.3">
      <c r="A116" s="268"/>
      <c r="B116" s="501"/>
      <c r="C116" s="501"/>
      <c r="D116" s="501"/>
    </row>
    <row r="117" spans="1:4" x14ac:dyDescent="0.3">
      <c r="A117" s="268"/>
    </row>
    <row r="118" spans="1:4" x14ac:dyDescent="0.3">
      <c r="A118" s="268"/>
      <c r="D118" s="501"/>
    </row>
    <row r="119" spans="1:4" x14ac:dyDescent="0.3">
      <c r="A119" s="268"/>
    </row>
    <row r="120" spans="1:4" x14ac:dyDescent="0.3">
      <c r="A120" s="268"/>
      <c r="B120" s="501"/>
      <c r="C120" s="501"/>
      <c r="D120" s="501"/>
    </row>
    <row r="121" spans="1:4" x14ac:dyDescent="0.3">
      <c r="A121" s="268"/>
    </row>
    <row r="122" spans="1:4" x14ac:dyDescent="0.3">
      <c r="A122" s="268"/>
    </row>
    <row r="123" spans="1:4" x14ac:dyDescent="0.3">
      <c r="A123" s="268"/>
    </row>
    <row r="124" spans="1:4" x14ac:dyDescent="0.3">
      <c r="A124" s="268"/>
    </row>
    <row r="125" spans="1:4" x14ac:dyDescent="0.3">
      <c r="A125" s="268"/>
      <c r="D125" s="461"/>
    </row>
    <row r="126" spans="1:4" x14ac:dyDescent="0.3">
      <c r="A126" s="268"/>
    </row>
    <row r="127" spans="1:4" x14ac:dyDescent="0.3">
      <c r="A127" s="268"/>
    </row>
    <row r="128" spans="1:4" x14ac:dyDescent="0.3">
      <c r="A128" s="268"/>
    </row>
    <row r="129" spans="1:4" x14ac:dyDescent="0.3">
      <c r="A129" s="268"/>
    </row>
    <row r="130" spans="1:4" x14ac:dyDescent="0.3">
      <c r="A130" s="268"/>
    </row>
    <row r="131" spans="1:4" x14ac:dyDescent="0.3">
      <c r="A131" s="268"/>
    </row>
    <row r="132" spans="1:4" x14ac:dyDescent="0.3">
      <c r="A132" s="268"/>
      <c r="B132" s="501"/>
      <c r="C132" s="501"/>
      <c r="D132" s="501"/>
    </row>
    <row r="133" spans="1:4" x14ac:dyDescent="0.3">
      <c r="A133" s="268"/>
      <c r="B133" s="501"/>
      <c r="C133" s="501"/>
      <c r="D133" s="461"/>
    </row>
    <row r="134" spans="1:4" x14ac:dyDescent="0.3">
      <c r="A134" s="268"/>
      <c r="B134" s="501"/>
      <c r="C134" s="501"/>
      <c r="D134" s="461"/>
    </row>
    <row r="135" spans="1:4" x14ac:dyDescent="0.3">
      <c r="A135" s="268"/>
      <c r="B135" s="501"/>
      <c r="C135" s="501"/>
      <c r="D135" s="501"/>
    </row>
    <row r="136" spans="1:4" x14ac:dyDescent="0.3">
      <c r="A136" s="268"/>
      <c r="B136" s="501"/>
      <c r="C136" s="501"/>
      <c r="D136" s="501"/>
    </row>
    <row r="137" spans="1:4" x14ac:dyDescent="0.3">
      <c r="A137" s="268"/>
      <c r="B137" s="501"/>
      <c r="C137" s="501"/>
      <c r="D137" s="501"/>
    </row>
    <row r="138" spans="1:4" x14ac:dyDescent="0.3">
      <c r="A138" s="268"/>
      <c r="B138" s="501"/>
      <c r="C138" s="501"/>
      <c r="D138" s="501"/>
    </row>
    <row r="139" spans="1:4" x14ac:dyDescent="0.3">
      <c r="A139" s="268"/>
    </row>
    <row r="140" spans="1:4" x14ac:dyDescent="0.3">
      <c r="A140" s="268"/>
    </row>
    <row r="141" spans="1:4" x14ac:dyDescent="0.3">
      <c r="A141" s="268"/>
      <c r="B141" s="501"/>
      <c r="C141" s="501"/>
      <c r="D141" s="501"/>
    </row>
    <row r="142" spans="1:4" x14ac:dyDescent="0.3">
      <c r="A142" s="268"/>
      <c r="B142" s="501"/>
      <c r="C142" s="501"/>
      <c r="D142" s="501"/>
    </row>
    <row r="143" spans="1:4" x14ac:dyDescent="0.3">
      <c r="A143" s="268"/>
      <c r="B143" s="501"/>
      <c r="C143" s="501"/>
      <c r="D143" s="501"/>
    </row>
    <row r="144" spans="1:4" x14ac:dyDescent="0.3">
      <c r="A144" s="268"/>
      <c r="B144" s="501"/>
      <c r="C144" s="501"/>
      <c r="D144" s="501"/>
    </row>
    <row r="145" spans="1:4" x14ac:dyDescent="0.3">
      <c r="A145" s="268"/>
      <c r="B145" s="501"/>
      <c r="C145" s="501"/>
      <c r="D145" s="501"/>
    </row>
    <row r="146" spans="1:4" x14ac:dyDescent="0.3">
      <c r="A146" s="268"/>
      <c r="B146" s="501"/>
      <c r="C146" s="501"/>
      <c r="D146" s="501"/>
    </row>
    <row r="147" spans="1:4" x14ac:dyDescent="0.3">
      <c r="A147" s="268"/>
      <c r="B147" s="501"/>
      <c r="C147" s="501"/>
      <c r="D147" s="501"/>
    </row>
    <row r="148" spans="1:4" x14ac:dyDescent="0.3">
      <c r="A148" s="268"/>
      <c r="B148" s="501"/>
      <c r="C148" s="501"/>
      <c r="D148" s="501"/>
    </row>
    <row r="149" spans="1:4" x14ac:dyDescent="0.3">
      <c r="A149" s="268"/>
      <c r="B149" s="501"/>
      <c r="C149" s="501"/>
      <c r="D149" s="501"/>
    </row>
    <row r="150" spans="1:4" x14ac:dyDescent="0.3">
      <c r="A150" s="268"/>
      <c r="B150" s="501"/>
      <c r="C150" s="501"/>
      <c r="D150" s="501"/>
    </row>
    <row r="151" spans="1:4" x14ac:dyDescent="0.3">
      <c r="A151" s="268"/>
      <c r="B151" s="501"/>
      <c r="C151" s="501"/>
      <c r="D151" s="501"/>
    </row>
    <row r="152" spans="1:4" x14ac:dyDescent="0.3">
      <c r="A152" s="557"/>
      <c r="B152" s="278"/>
      <c r="C152" s="278"/>
      <c r="D152" s="278"/>
    </row>
    <row r="154" spans="1:4" x14ac:dyDescent="0.3">
      <c r="D154" s="277"/>
    </row>
    <row r="156" spans="1:4" x14ac:dyDescent="0.3">
      <c r="A156" s="559"/>
      <c r="B156" s="559"/>
      <c r="C156" s="560"/>
      <c r="D156" s="561"/>
    </row>
    <row r="159" spans="1:4" x14ac:dyDescent="0.3">
      <c r="D159" s="501"/>
    </row>
    <row r="160" spans="1:4" x14ac:dyDescent="0.3">
      <c r="A160" s="559"/>
      <c r="B160" s="559"/>
      <c r="C160" s="560"/>
      <c r="D160" s="561"/>
    </row>
    <row r="161" spans="1:4" x14ac:dyDescent="0.3">
      <c r="D161" s="501"/>
    </row>
    <row r="162" spans="1:4" x14ac:dyDescent="0.3">
      <c r="D162" s="287"/>
    </row>
    <row r="164" spans="1:4" x14ac:dyDescent="0.3">
      <c r="A164" s="559"/>
      <c r="B164" s="559"/>
      <c r="C164" s="560"/>
      <c r="D164" s="561"/>
    </row>
    <row r="165" spans="1:4" x14ac:dyDescent="0.3">
      <c r="D165" s="287"/>
    </row>
    <row r="167" spans="1:4" x14ac:dyDescent="0.3">
      <c r="A167" s="559"/>
      <c r="B167" s="559"/>
      <c r="C167" s="560"/>
      <c r="D167" s="561"/>
    </row>
    <row r="168" spans="1:4" x14ac:dyDescent="0.3">
      <c r="D168" s="287"/>
    </row>
    <row r="169" spans="1:4" x14ac:dyDescent="0.3">
      <c r="D169" s="287"/>
    </row>
    <row r="171" spans="1:4" x14ac:dyDescent="0.3">
      <c r="A171" s="557"/>
      <c r="B171" s="278"/>
      <c r="C171" s="278"/>
      <c r="D171" s="278"/>
    </row>
    <row r="172" spans="1:4" x14ac:dyDescent="0.3">
      <c r="D172" s="501"/>
    </row>
    <row r="173" spans="1:4" x14ac:dyDescent="0.3">
      <c r="D173" s="501"/>
    </row>
    <row r="174" spans="1:4" x14ac:dyDescent="0.3">
      <c r="D174" s="501"/>
    </row>
    <row r="175" spans="1:4" x14ac:dyDescent="0.3">
      <c r="D175" s="501"/>
    </row>
    <row r="176" spans="1:4" x14ac:dyDescent="0.3">
      <c r="D176" s="501"/>
    </row>
    <row r="177" spans="4:4" x14ac:dyDescent="0.3">
      <c r="D177" s="501"/>
    </row>
    <row r="178" spans="4:4" x14ac:dyDescent="0.3">
      <c r="D178" s="501"/>
    </row>
    <row r="179" spans="4:4" x14ac:dyDescent="0.3">
      <c r="D179" s="501"/>
    </row>
    <row r="180" spans="4:4" x14ac:dyDescent="0.3">
      <c r="D180" s="501"/>
    </row>
    <row r="181" spans="4:4" x14ac:dyDescent="0.3">
      <c r="D181" s="501"/>
    </row>
    <row r="182" spans="4:4" x14ac:dyDescent="0.3">
      <c r="D182" s="501"/>
    </row>
    <row r="183" spans="4:4" x14ac:dyDescent="0.3">
      <c r="D183" s="501"/>
    </row>
    <row r="184" spans="4:4" x14ac:dyDescent="0.3">
      <c r="D184" s="588"/>
    </row>
    <row r="185" spans="4:4" x14ac:dyDescent="0.3">
      <c r="D185" s="588"/>
    </row>
    <row r="186" spans="4:4" x14ac:dyDescent="0.3">
      <c r="D186" s="588"/>
    </row>
    <row r="187" spans="4:4" x14ac:dyDescent="0.3">
      <c r="D187" s="588"/>
    </row>
    <row r="188" spans="4:4" x14ac:dyDescent="0.3">
      <c r="D188" s="589"/>
    </row>
    <row r="189" spans="4:4" x14ac:dyDescent="0.3">
      <c r="D189" s="589"/>
    </row>
    <row r="190" spans="4:4" x14ac:dyDescent="0.3">
      <c r="D190" s="612"/>
    </row>
    <row r="191" spans="4:4" x14ac:dyDescent="0.3">
      <c r="D191" s="612"/>
    </row>
    <row r="192" spans="4:4" x14ac:dyDescent="0.3">
      <c r="D192" s="612"/>
    </row>
    <row r="193" spans="1:4" x14ac:dyDescent="0.3">
      <c r="D193" s="612"/>
    </row>
    <row r="194" spans="1:4" x14ac:dyDescent="0.3">
      <c r="D194" s="612"/>
    </row>
    <row r="195" spans="1:4" x14ac:dyDescent="0.3">
      <c r="D195" s="612"/>
    </row>
    <row r="196" spans="1:4" x14ac:dyDescent="0.3">
      <c r="D196" s="614"/>
    </row>
    <row r="197" spans="1:4" x14ac:dyDescent="0.3">
      <c r="D197" s="614"/>
    </row>
    <row r="198" spans="1:4" x14ac:dyDescent="0.3">
      <c r="D198" s="618"/>
    </row>
    <row r="199" spans="1:4" x14ac:dyDescent="0.3">
      <c r="D199" s="618"/>
    </row>
    <row r="200" spans="1:4" x14ac:dyDescent="0.3">
      <c r="D200" s="618"/>
    </row>
    <row r="201" spans="1:4" x14ac:dyDescent="0.3">
      <c r="D201" s="618"/>
    </row>
    <row r="202" spans="1:4" x14ac:dyDescent="0.3">
      <c r="D202" s="618"/>
    </row>
    <row r="203" spans="1:4" x14ac:dyDescent="0.3">
      <c r="D203" s="618"/>
    </row>
    <row r="204" spans="1:4" x14ac:dyDescent="0.3">
      <c r="D204" s="618"/>
    </row>
    <row r="205" spans="1:4" x14ac:dyDescent="0.3">
      <c r="D205" s="621"/>
    </row>
    <row r="206" spans="1:4" x14ac:dyDescent="0.3">
      <c r="D206" s="668"/>
    </row>
    <row r="207" spans="1:4" x14ac:dyDescent="0.3">
      <c r="D207" s="668"/>
    </row>
    <row r="208" spans="1:4" x14ac:dyDescent="0.3">
      <c r="A208" s="557"/>
      <c r="B208" s="278"/>
      <c r="C208" s="278"/>
      <c r="D208" s="278"/>
    </row>
    <row r="209" spans="1:4" x14ac:dyDescent="0.3">
      <c r="D209" s="675"/>
    </row>
    <row r="210" spans="1:4" x14ac:dyDescent="0.3">
      <c r="D210" s="675"/>
    </row>
    <row r="211" spans="1:4" x14ac:dyDescent="0.3">
      <c r="D211" s="675"/>
    </row>
    <row r="212" spans="1:4" x14ac:dyDescent="0.3">
      <c r="D212" s="675"/>
    </row>
    <row r="213" spans="1:4" x14ac:dyDescent="0.3">
      <c r="D213" s="677"/>
    </row>
    <row r="214" spans="1:4" x14ac:dyDescent="0.3">
      <c r="D214" s="677"/>
    </row>
    <row r="215" spans="1:4" x14ac:dyDescent="0.3">
      <c r="D215" s="677"/>
    </row>
    <row r="216" spans="1:4" x14ac:dyDescent="0.3">
      <c r="D216" s="682"/>
    </row>
    <row r="217" spans="1:4" x14ac:dyDescent="0.3">
      <c r="D217" s="682"/>
    </row>
    <row r="218" spans="1:4" x14ac:dyDescent="0.3">
      <c r="D218" s="691"/>
    </row>
    <row r="219" spans="1:4" x14ac:dyDescent="0.3">
      <c r="D219" s="691"/>
    </row>
    <row r="220" spans="1:4" x14ac:dyDescent="0.3">
      <c r="D220" s="693"/>
    </row>
    <row r="221" spans="1:4" x14ac:dyDescent="0.3">
      <c r="A221" s="557"/>
      <c r="B221" s="278"/>
      <c r="C221" s="278"/>
      <c r="D221" s="278"/>
    </row>
    <row r="222" spans="1:4" x14ac:dyDescent="0.3">
      <c r="D222" s="694"/>
    </row>
    <row r="223" spans="1:4" x14ac:dyDescent="0.3">
      <c r="D223" s="694"/>
    </row>
    <row r="224" spans="1:4" x14ac:dyDescent="0.3">
      <c r="D224" s="277"/>
    </row>
    <row r="225" spans="1:4" x14ac:dyDescent="0.3">
      <c r="D225" s="701"/>
    </row>
    <row r="226" spans="1:4" x14ac:dyDescent="0.3">
      <c r="D226" s="702"/>
    </row>
    <row r="227" spans="1:4" x14ac:dyDescent="0.3">
      <c r="D227" s="702"/>
    </row>
    <row r="228" spans="1:4" x14ac:dyDescent="0.3">
      <c r="A228" s="268"/>
      <c r="B228" s="703"/>
      <c r="C228" s="703"/>
      <c r="D228" s="703"/>
    </row>
    <row r="229" spans="1:4" x14ac:dyDescent="0.3">
      <c r="A229" s="268"/>
      <c r="B229" s="703"/>
      <c r="C229" s="703"/>
      <c r="D229" s="703"/>
    </row>
    <row r="230" spans="1:4" x14ac:dyDescent="0.3">
      <c r="A230" s="268"/>
      <c r="B230" s="705"/>
      <c r="C230" s="705"/>
      <c r="D230" s="705"/>
    </row>
    <row r="231" spans="1:4" x14ac:dyDescent="0.3">
      <c r="A231" s="268"/>
      <c r="B231" s="705"/>
      <c r="C231" s="705"/>
      <c r="D231" s="705"/>
    </row>
    <row r="232" spans="1:4" x14ac:dyDescent="0.3">
      <c r="A232" s="268"/>
      <c r="B232" s="705"/>
      <c r="C232" s="705"/>
      <c r="D232" s="705"/>
    </row>
    <row r="233" spans="1:4" x14ac:dyDescent="0.3">
      <c r="A233" s="268"/>
      <c r="B233" s="705"/>
      <c r="C233" s="705"/>
      <c r="D233" s="705"/>
    </row>
    <row r="234" spans="1:4" x14ac:dyDescent="0.3">
      <c r="A234" s="268"/>
      <c r="B234" s="705"/>
      <c r="C234" s="705"/>
      <c r="D234" s="705"/>
    </row>
    <row r="235" spans="1:4" x14ac:dyDescent="0.3">
      <c r="A235" s="268"/>
      <c r="B235" s="707"/>
      <c r="C235" s="707"/>
      <c r="D235" s="707"/>
    </row>
    <row r="236" spans="1:4" x14ac:dyDescent="0.3">
      <c r="A236" s="268"/>
      <c r="B236" s="707"/>
      <c r="C236" s="707"/>
      <c r="D236" s="707"/>
    </row>
    <row r="237" spans="1:4" x14ac:dyDescent="0.3">
      <c r="A237" s="268"/>
      <c r="B237" s="713"/>
      <c r="C237" s="713"/>
      <c r="D237" s="713"/>
    </row>
    <row r="239" spans="1:4" x14ac:dyDescent="0.3">
      <c r="A239" s="557"/>
      <c r="B239" s="278"/>
      <c r="C239" s="278"/>
      <c r="D239" s="278"/>
    </row>
    <row r="240" spans="1:4" x14ac:dyDescent="0.3">
      <c r="D240" s="720"/>
    </row>
    <row r="242" spans="1:4" x14ac:dyDescent="0.3">
      <c r="D242" s="277"/>
    </row>
    <row r="243" spans="1:4" x14ac:dyDescent="0.3">
      <c r="D243" s="720"/>
    </row>
    <row r="244" spans="1:4" x14ac:dyDescent="0.3">
      <c r="D244" s="720"/>
    </row>
    <row r="245" spans="1:4" x14ac:dyDescent="0.3">
      <c r="D245" s="720"/>
    </row>
    <row r="247" spans="1:4" x14ac:dyDescent="0.3">
      <c r="D247" s="277"/>
    </row>
    <row r="248" spans="1:4" x14ac:dyDescent="0.3">
      <c r="D248" s="287"/>
    </row>
    <row r="249" spans="1:4" x14ac:dyDescent="0.3">
      <c r="D249" s="287"/>
    </row>
    <row r="250" spans="1:4" x14ac:dyDescent="0.3">
      <c r="D250" s="287"/>
    </row>
    <row r="251" spans="1:4" x14ac:dyDescent="0.3">
      <c r="D251" s="287"/>
    </row>
    <row r="253" spans="1:4" x14ac:dyDescent="0.3">
      <c r="A253" s="268"/>
    </row>
    <row r="254" spans="1:4" x14ac:dyDescent="0.3">
      <c r="A254" s="268"/>
    </row>
    <row r="256" spans="1:4" x14ac:dyDescent="0.3">
      <c r="A256" s="557"/>
      <c r="B256" s="278"/>
      <c r="C256" s="278"/>
      <c r="D256" s="278"/>
    </row>
    <row r="257" spans="1:4" x14ac:dyDescent="0.3">
      <c r="A257" s="268"/>
      <c r="B257" s="723"/>
      <c r="C257" s="723"/>
      <c r="D257" s="723"/>
    </row>
    <row r="258" spans="1:4" x14ac:dyDescent="0.3">
      <c r="A258" s="268"/>
      <c r="B258" s="724"/>
      <c r="C258" s="724"/>
      <c r="D258" s="724"/>
    </row>
    <row r="259" spans="1:4" x14ac:dyDescent="0.3">
      <c r="A259" s="268"/>
    </row>
    <row r="260" spans="1:4" x14ac:dyDescent="0.3">
      <c r="A260" s="268"/>
    </row>
    <row r="262" spans="1:4" x14ac:dyDescent="0.3">
      <c r="A262" s="557"/>
      <c r="B262" s="278"/>
      <c r="C262" s="278"/>
      <c r="D262" s="278"/>
    </row>
    <row r="263" spans="1:4" x14ac:dyDescent="0.3">
      <c r="D263" s="732"/>
    </row>
    <row r="265" spans="1:4" x14ac:dyDescent="0.3">
      <c r="D265" s="277"/>
    </row>
    <row r="266" spans="1:4" x14ac:dyDescent="0.3">
      <c r="D266" s="732"/>
    </row>
    <row r="267" spans="1:4" x14ac:dyDescent="0.3">
      <c r="D267" s="732"/>
    </row>
    <row r="268" spans="1:4" x14ac:dyDescent="0.3">
      <c r="D268" s="732"/>
    </row>
    <row r="269" spans="1:4" x14ac:dyDescent="0.3">
      <c r="D269" s="732"/>
    </row>
    <row r="270" spans="1:4" x14ac:dyDescent="0.3">
      <c r="D270" s="277"/>
    </row>
    <row r="271" spans="1:4" x14ac:dyDescent="0.3">
      <c r="D271" s="287"/>
    </row>
    <row r="272" spans="1:4" x14ac:dyDescent="0.3">
      <c r="D272" s="287"/>
    </row>
    <row r="273" spans="4:7" x14ac:dyDescent="0.3">
      <c r="D273" s="287"/>
    </row>
    <row r="274" spans="4:7" x14ac:dyDescent="0.3">
      <c r="D274" s="287"/>
    </row>
    <row r="275" spans="4:7" x14ac:dyDescent="0.3">
      <c r="D275" s="268"/>
    </row>
    <row r="276" spans="4:7" x14ac:dyDescent="0.3">
      <c r="D276" s="268"/>
      <c r="E276" s="733"/>
      <c r="F276" s="733"/>
      <c r="G276" s="733"/>
    </row>
    <row r="277" spans="4:7" x14ac:dyDescent="0.3">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2016-08-03T00:05:07Z</dcterms:modified>
</cp:coreProperties>
</file>